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<sst xmlns="http://schemas.openxmlformats.org/spreadsheetml/2006/main" count="248" uniqueCount="51">
  <si>
    <t>Fine Structure Energy Levels for Mg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</si>
  <si>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</si>
  <si>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</si>
  <si>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</si>
  <si>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</si>
  <si>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</si>
  <si>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</si>
  <si>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</si>
  <si>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</si>
  <si>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</si>
  <si>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</si>
  <si>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</si>
  <si>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</si>
  <si>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</si>
  <si>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</si>
  <si>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</si>
  <si>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</si>
  <si>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</si>
  <si>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</si>
  <si>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</si>
  <si>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</si>
  <si>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</si>
  <si>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</si>
  <si>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</si>
  <si>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2p.3s</t>
  </si>
  <si>
    <t>2p.3p</t>
  </si>
  <si>
    <t>2p.3d</t>
  </si>
  <si>
    <t>3F</t>
  </si>
  <si>
    <t>1F</t>
  </si>
  <si>
    <t>2s.4s</t>
  </si>
  <si>
    <t>2s.4p</t>
  </si>
  <si>
    <t>2s.4d</t>
  </si>
  <si>
    <t>2s.4f</t>
  </si>
  <si>
    <t>2p.4s</t>
  </si>
  <si>
    <t>2p.4p</t>
  </si>
  <si>
    <t>2p.4d</t>
  </si>
  <si>
    <t>2p.4f</t>
  </si>
  <si>
    <t>3G</t>
  </si>
  <si>
    <t>1G</t>
  </si>
  <si>
    <t>2s.5s</t>
  </si>
  <si>
    <t>2s.5p</t>
  </si>
  <si>
    <t>2s.5d</t>
  </si>
  <si>
    <t>A-values for fine-structure transitions in Mg IX</t>
  </si>
  <si>
    <t>k</t>
  </si>
  <si>
    <t>WL Vac (A)</t>
  </si>
  <si>
    <t>A (s-1)</t>
  </si>
  <si>
    <t>A2E1(s-1)</t>
  </si>
  <si>
    <t>Effective Collision Strengths for Mg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</si>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</sst>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HYPERLINK("http://141.218.60.56/~jnz1568/getInfo.php?workbook=12_04.xlsx&amp;sheet=E0&amp;row=4&amp;col=10&amp;number=0&amp;sourceID=14","0")</f>
        <v>0</v>
      </c>
    </row>
    <row r="5" spans="1:10">
      <c r="A5" s="3">
        <v>12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HYPERLINK("http://141.218.60.56/~jnz1568/getInfo.php?workbook=12_04.xlsx&amp;sheet=E0&amp;row=5&amp;col=10&amp;number=140504&amp;sourceID=14","140504")</f>
        <v>140504</v>
      </c>
    </row>
    <row r="6" spans="1:10">
      <c r="A6" s="3">
        <v>12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HYPERLINK("http://141.218.60.56/~jnz1568/getInfo.php?workbook=12_04.xlsx&amp;sheet=E0&amp;row=6&amp;col=10&amp;number=141631&amp;sourceID=14","141631")</f>
        <v>141631</v>
      </c>
    </row>
    <row r="7" spans="1:10">
      <c r="A7" s="3">
        <v>12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HYPERLINK("http://141.218.60.56/~jnz1568/getInfo.php?workbook=12_04.xlsx&amp;sheet=E0&amp;row=7&amp;col=10&amp;number=144091&amp;sourceID=14","144091")</f>
        <v>144091</v>
      </c>
    </row>
    <row r="8" spans="1:10">
      <c r="A8" s="3">
        <v>12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HYPERLINK("http://141.218.60.56/~jnz1568/getInfo.php?workbook=12_04.xlsx&amp;sheet=E0&amp;row=8&amp;col=10&amp;number=271687&amp;sourceID=14","271687")</f>
        <v>271687</v>
      </c>
    </row>
    <row r="9" spans="1:10">
      <c r="A9" s="3">
        <v>12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HYPERLINK("http://141.218.60.56/~jnz1568/getInfo.php?workbook=12_04.xlsx&amp;sheet=E0&amp;row=9&amp;col=10&amp;number=365856&amp;sourceID=14","365856")</f>
        <v>365856</v>
      </c>
    </row>
    <row r="10" spans="1:10">
      <c r="A10" s="3">
        <v>12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HYPERLINK("http://141.218.60.56/~jnz1568/getInfo.php?workbook=12_04.xlsx&amp;sheet=E0&amp;row=10&amp;col=10&amp;number=367159&amp;sourceID=14","367159")</f>
        <v>367159</v>
      </c>
    </row>
    <row r="11" spans="1:10">
      <c r="A11" s="3">
        <v>12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HYPERLINK("http://141.218.60.56/~jnz1568/getInfo.php?workbook=12_04.xlsx&amp;sheet=E0&amp;row=11&amp;col=10&amp;number=369330&amp;sourceID=14","369330")</f>
        <v>369330</v>
      </c>
    </row>
    <row r="12" spans="1:10">
      <c r="A12" s="3">
        <v>12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HYPERLINK("http://141.218.60.56/~jnz1568/getInfo.php?workbook=12_04.xlsx&amp;sheet=E0&amp;row=12&amp;col=10&amp;number=405100&amp;sourceID=14","405100")</f>
        <v>405100</v>
      </c>
    </row>
    <row r="13" spans="1:10">
      <c r="A13" s="3">
        <v>12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HYPERLINK("http://141.218.60.56/~jnz1568/getInfo.php?workbook=12_04.xlsx&amp;sheet=E0&amp;row=13&amp;col=10&amp;number=499633&amp;sourceID=14","499633")</f>
        <v>499633</v>
      </c>
    </row>
    <row r="14" spans="1:10">
      <c r="A14" s="3">
        <v>12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HYPERLINK("http://141.218.60.56/~jnz1568/getInfo.php?workbook=12_04.xlsx&amp;sheet=E0&amp;row=14&amp;col=10&amp;number=1532450&amp;sourceID=14","1532450")</f>
        <v>1532450</v>
      </c>
    </row>
    <row r="15" spans="1:10">
      <c r="A15" s="3">
        <v>12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HYPERLINK("http://141.218.60.56/~jnz1568/getInfo.php?workbook=12_04.xlsx&amp;sheet=E0&amp;row=15&amp;col=10&amp;number=1558080&amp;sourceID=14","1558080")</f>
        <v>1558080</v>
      </c>
    </row>
    <row r="16" spans="1:10">
      <c r="A16" s="3">
        <v>12</v>
      </c>
      <c r="B16" s="3">
        <v>4</v>
      </c>
      <c r="C16" s="3">
        <v>13</v>
      </c>
      <c r="D16" s="3" t="s">
        <v>21</v>
      </c>
      <c r="E16" s="3" t="s">
        <v>16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HYPERLINK("http://141.218.60.56/~jnz1568/getInfo.php?workbook=12_04.xlsx&amp;sheet=E0&amp;row=16&amp;col=10&amp;number=1593600&amp;sourceID=14","1593600")</f>
        <v>1593600</v>
      </c>
    </row>
    <row r="17" spans="1:10">
      <c r="A17" s="3">
        <v>12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HYPERLINK("http://141.218.60.56/~jnz1568/getInfo.php?workbook=12_04.xlsx&amp;sheet=E0&amp;row=17&amp;col=10&amp;number=1597500&amp;sourceID=14","1597500")</f>
        <v>1597500</v>
      </c>
    </row>
    <row r="18" spans="1:10">
      <c r="A18" s="3">
        <v>12</v>
      </c>
      <c r="B18" s="3">
        <v>4</v>
      </c>
      <c r="C18" s="3">
        <v>15</v>
      </c>
      <c r="D18" s="3" t="s">
        <v>21</v>
      </c>
      <c r="E18" s="3" t="s">
        <v>15</v>
      </c>
      <c r="F18" s="3">
        <v>3</v>
      </c>
      <c r="G18" s="3">
        <v>1</v>
      </c>
      <c r="H18" s="3">
        <v>1</v>
      </c>
      <c r="I18" s="3">
        <v>1</v>
      </c>
      <c r="J18" s="4" t="str">
        <f>HYPERLINK("http://141.218.60.56/~jnz1568/getInfo.php?workbook=12_04.xlsx&amp;sheet=E0&amp;row=18&amp;col=10&amp;number=1597500&amp;sourceID=14","1597500")</f>
        <v>1597500</v>
      </c>
    </row>
    <row r="19" spans="1:10">
      <c r="A19" s="3">
        <v>12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HYPERLINK("http://141.218.60.56/~jnz1568/getInfo.php?workbook=12_04.xlsx&amp;sheet=E0&amp;row=19&amp;col=10&amp;number=1597500&amp;sourceID=14","1597500")</f>
        <v>1597500</v>
      </c>
    </row>
    <row r="20" spans="1:10">
      <c r="A20" s="3">
        <v>12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HYPERLINK("http://141.218.60.56/~jnz1568/getInfo.php?workbook=12_04.xlsx&amp;sheet=E0&amp;row=20&amp;col=10&amp;number=1631040&amp;sourceID=14","1631040")</f>
        <v>1631040</v>
      </c>
    </row>
    <row r="21" spans="1:10">
      <c r="A21" s="3">
        <v>12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HYPERLINK("http://141.218.60.56/~jnz1568/getInfo.php?workbook=12_04.xlsx&amp;sheet=E0&amp;row=21&amp;col=10&amp;number=1631170&amp;sourceID=14","1631170")</f>
        <v>1631170</v>
      </c>
    </row>
    <row r="22" spans="1:10">
      <c r="A22" s="3">
        <v>12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HYPERLINK("http://141.218.60.56/~jnz1568/getInfo.php?workbook=12_04.xlsx&amp;sheet=E0&amp;row=22&amp;col=10&amp;number=1631320&amp;sourceID=14","1631320")</f>
        <v>1631320</v>
      </c>
    </row>
    <row r="23" spans="1:10">
      <c r="A23" s="3">
        <v>12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HYPERLINK("http://141.218.60.56/~jnz1568/getInfo.php?workbook=12_04.xlsx&amp;sheet=E0&amp;row=23&amp;col=10&amp;number=1654580&amp;sourceID=14","1654580")</f>
        <v>1654580</v>
      </c>
    </row>
    <row r="24" spans="1:10">
      <c r="A24" s="3">
        <v>12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HYPERLINK("http://141.218.60.56/~jnz1568/getInfo.php?workbook=12_04.xlsx&amp;sheet=E0&amp;row=24&amp;col=10&amp;number=1710140&amp;sourceID=14","1710140")</f>
        <v>1710140</v>
      </c>
    </row>
    <row r="25" spans="1:10">
      <c r="A25" s="3">
        <v>12</v>
      </c>
      <c r="B25" s="3">
        <v>4</v>
      </c>
      <c r="C25" s="3">
        <v>22</v>
      </c>
      <c r="D25" s="3" t="s">
        <v>24</v>
      </c>
      <c r="E25" s="3" t="s">
        <v>15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HYPERLINK("http://141.218.60.56/~jnz1568/getInfo.php?workbook=12_04.xlsx&amp;sheet=E0&amp;row=25&amp;col=10&amp;number=1711250&amp;sourceID=14","1711250")</f>
        <v>1711250</v>
      </c>
    </row>
    <row r="26" spans="1:10">
      <c r="A26" s="3">
        <v>12</v>
      </c>
      <c r="B26" s="3">
        <v>4</v>
      </c>
      <c r="C26" s="3">
        <v>23</v>
      </c>
      <c r="D26" s="3" t="s">
        <v>24</v>
      </c>
      <c r="E26" s="3" t="s">
        <v>15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HYPERLINK("http://141.218.60.56/~jnz1568/getInfo.php?workbook=12_04.xlsx&amp;sheet=E0&amp;row=26&amp;col=10&amp;number=1713900&amp;sourceID=14","1713900")</f>
        <v>1713900</v>
      </c>
    </row>
    <row r="27" spans="1:10">
      <c r="A27" s="3">
        <v>12</v>
      </c>
      <c r="B27" s="3">
        <v>4</v>
      </c>
      <c r="C27" s="3">
        <v>24</v>
      </c>
      <c r="D27" s="3" t="s">
        <v>24</v>
      </c>
      <c r="E27" s="3" t="s">
        <v>16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HYPERLINK("http://141.218.60.56/~jnz1568/getInfo.php?workbook=12_04.xlsx&amp;sheet=E0&amp;row=27&amp;col=10&amp;number=1743040&amp;sourceID=14","1743040")</f>
        <v>1743040</v>
      </c>
    </row>
    <row r="28" spans="1:10">
      <c r="A28" s="3">
        <v>12</v>
      </c>
      <c r="B28" s="3">
        <v>4</v>
      </c>
      <c r="C28" s="3">
        <v>25</v>
      </c>
      <c r="D28" s="3" t="s">
        <v>25</v>
      </c>
      <c r="E28" s="3" t="s">
        <v>16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HYPERLINK("http://141.218.60.56/~jnz1568/getInfo.php?workbook=12_04.xlsx&amp;sheet=E0&amp;row=28&amp;col=10&amp;number=1748120&amp;sourceID=14","1748120")</f>
        <v>1748120</v>
      </c>
    </row>
    <row r="29" spans="1:10">
      <c r="A29" s="3">
        <v>12</v>
      </c>
      <c r="B29" s="3">
        <v>4</v>
      </c>
      <c r="C29" s="3">
        <v>26</v>
      </c>
      <c r="D29" s="3" t="s">
        <v>25</v>
      </c>
      <c r="E29" s="3" t="s">
        <v>23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HYPERLINK("http://141.218.60.56/~jnz1568/getInfo.php?workbook=12_04.xlsx&amp;sheet=E0&amp;row=29&amp;col=10&amp;number=1755470&amp;sourceID=14","1755470")</f>
        <v>1755470</v>
      </c>
    </row>
    <row r="30" spans="1:10">
      <c r="A30" s="3">
        <v>12</v>
      </c>
      <c r="B30" s="3">
        <v>4</v>
      </c>
      <c r="C30" s="3">
        <v>27</v>
      </c>
      <c r="D30" s="3" t="s">
        <v>25</v>
      </c>
      <c r="E30" s="3" t="s">
        <v>23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HYPERLINK("http://141.218.60.56/~jnz1568/getInfo.php?workbook=12_04.xlsx&amp;sheet=E0&amp;row=30&amp;col=10&amp;number=1756470&amp;sourceID=14","1756470")</f>
        <v>1756470</v>
      </c>
    </row>
    <row r="31" spans="1:10">
      <c r="A31" s="3">
        <v>12</v>
      </c>
      <c r="B31" s="3">
        <v>4</v>
      </c>
      <c r="C31" s="3">
        <v>28</v>
      </c>
      <c r="D31" s="3" t="s">
        <v>25</v>
      </c>
      <c r="E31" s="3" t="s">
        <v>23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HYPERLINK("http://141.218.60.56/~jnz1568/getInfo.php?workbook=12_04.xlsx&amp;sheet=E0&amp;row=31&amp;col=10&amp;number=1758970&amp;sourceID=14","1758970")</f>
        <v>1758970</v>
      </c>
    </row>
    <row r="32" spans="1:10">
      <c r="A32" s="3">
        <v>12</v>
      </c>
      <c r="B32" s="3">
        <v>4</v>
      </c>
      <c r="C32" s="3">
        <v>29</v>
      </c>
      <c r="D32" s="3" t="s">
        <v>25</v>
      </c>
      <c r="E32" s="3" t="s">
        <v>20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HYPERLINK("http://141.218.60.56/~jnz1568/getInfo.php?workbook=12_04.xlsx&amp;sheet=E0&amp;row=32&amp;col=10&amp;number=1770380&amp;sourceID=14","1770380")</f>
        <v>1770380</v>
      </c>
    </row>
    <row r="33" spans="1:10">
      <c r="A33" s="3">
        <v>12</v>
      </c>
      <c r="B33" s="3">
        <v>4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HYPERLINK("http://141.218.60.56/~jnz1568/getInfo.php?workbook=12_04.xlsx&amp;sheet=E0&amp;row=33&amp;col=10&amp;number=0&amp;sourceID=14","0")</f>
        <v>0</v>
      </c>
    </row>
    <row r="34" spans="1:10">
      <c r="A34" s="3">
        <v>12</v>
      </c>
      <c r="B34" s="3">
        <v>4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HYPERLINK("http://141.218.60.56/~jnz1568/getInfo.php?workbook=12_04.xlsx&amp;sheet=E0&amp;row=34&amp;col=10&amp;number=1778690&amp;sourceID=14","1778690")</f>
        <v>1778690</v>
      </c>
    </row>
    <row r="35" spans="1:10">
      <c r="A35" s="3">
        <v>12</v>
      </c>
      <c r="B35" s="3">
        <v>4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HYPERLINK("http://141.218.60.56/~jnz1568/getInfo.php?workbook=12_04.xlsx&amp;sheet=E0&amp;row=35&amp;col=10&amp;number=1779990&amp;sourceID=14","1779990")</f>
        <v>1779990</v>
      </c>
    </row>
    <row r="36" spans="1:10">
      <c r="A36" s="3">
        <v>12</v>
      </c>
      <c r="B36" s="3">
        <v>4</v>
      </c>
      <c r="C36" s="3">
        <v>33</v>
      </c>
      <c r="D36" s="3" t="s">
        <v>26</v>
      </c>
      <c r="E36" s="3" t="s">
        <v>27</v>
      </c>
      <c r="F36" s="3">
        <v>3</v>
      </c>
      <c r="G36" s="3">
        <v>3</v>
      </c>
      <c r="H36" s="3">
        <v>1</v>
      </c>
      <c r="I36" s="3">
        <v>2</v>
      </c>
      <c r="J36" s="4" t="str">
        <f>HYPERLINK("http://141.218.60.56/~jnz1568/getInfo.php?workbook=12_04.xlsx&amp;sheet=E0&amp;row=36&amp;col=10&amp;number=0&amp;sourceID=14","0")</f>
        <v>0</v>
      </c>
    </row>
    <row r="37" spans="1:10">
      <c r="A37" s="3">
        <v>12</v>
      </c>
      <c r="B37" s="3">
        <v>4</v>
      </c>
      <c r="C37" s="3">
        <v>34</v>
      </c>
      <c r="D37" s="3" t="s">
        <v>26</v>
      </c>
      <c r="E37" s="3" t="s">
        <v>27</v>
      </c>
      <c r="F37" s="3">
        <v>3</v>
      </c>
      <c r="G37" s="3">
        <v>3</v>
      </c>
      <c r="H37" s="3">
        <v>1</v>
      </c>
      <c r="I37" s="3">
        <v>3</v>
      </c>
      <c r="J37" s="4" t="str">
        <f>HYPERLINK("http://141.218.60.56/~jnz1568/getInfo.php?workbook=12_04.xlsx&amp;sheet=E0&amp;row=37&amp;col=10&amp;number=0&amp;sourceID=14","0")</f>
        <v>0</v>
      </c>
    </row>
    <row r="38" spans="1:10">
      <c r="A38" s="3">
        <v>12</v>
      </c>
      <c r="B38" s="3">
        <v>4</v>
      </c>
      <c r="C38" s="3">
        <v>35</v>
      </c>
      <c r="D38" s="3" t="s">
        <v>26</v>
      </c>
      <c r="E38" s="3" t="s">
        <v>18</v>
      </c>
      <c r="F38" s="3">
        <v>1</v>
      </c>
      <c r="G38" s="3">
        <v>2</v>
      </c>
      <c r="H38" s="3">
        <v>0</v>
      </c>
      <c r="I38" s="3">
        <v>2</v>
      </c>
      <c r="J38" s="4" t="str">
        <f>HYPERLINK("http://141.218.60.56/~jnz1568/getInfo.php?workbook=12_04.xlsx&amp;sheet=E0&amp;row=38&amp;col=10&amp;number=1789640&amp;sourceID=14","1789640")</f>
        <v>1789640</v>
      </c>
    </row>
    <row r="39" spans="1:10">
      <c r="A39" s="3">
        <v>12</v>
      </c>
      <c r="B39" s="3">
        <v>4</v>
      </c>
      <c r="C39" s="3">
        <v>36</v>
      </c>
      <c r="D39" s="3" t="s">
        <v>26</v>
      </c>
      <c r="E39" s="3" t="s">
        <v>27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HYPERLINK("http://141.218.60.56/~jnz1568/getInfo.php?workbook=12_04.xlsx&amp;sheet=E0&amp;row=39&amp;col=10&amp;number=0&amp;sourceID=14","0")</f>
        <v>0</v>
      </c>
    </row>
    <row r="40" spans="1:10">
      <c r="A40" s="3">
        <v>12</v>
      </c>
      <c r="B40" s="3">
        <v>4</v>
      </c>
      <c r="C40" s="3">
        <v>37</v>
      </c>
      <c r="D40" s="3" t="s">
        <v>25</v>
      </c>
      <c r="E40" s="3" t="s">
        <v>18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HYPERLINK("http://141.218.60.56/~jnz1568/getInfo.php?workbook=12_04.xlsx&amp;sheet=E0&amp;row=40&amp;col=10&amp;number=1795870&amp;sourceID=14","1795870")</f>
        <v>1795870</v>
      </c>
    </row>
    <row r="41" spans="1:10">
      <c r="A41" s="3">
        <v>12</v>
      </c>
      <c r="B41" s="3">
        <v>4</v>
      </c>
      <c r="C41" s="3">
        <v>38</v>
      </c>
      <c r="D41" s="3" t="s">
        <v>26</v>
      </c>
      <c r="E41" s="3" t="s">
        <v>23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HYPERLINK("http://141.218.60.56/~jnz1568/getInfo.php?workbook=12_04.xlsx&amp;sheet=E0&amp;row=41&amp;col=10&amp;number=1807320&amp;sourceID=14","1807320")</f>
        <v>1807320</v>
      </c>
    </row>
    <row r="42" spans="1:10">
      <c r="A42" s="3">
        <v>12</v>
      </c>
      <c r="B42" s="3">
        <v>4</v>
      </c>
      <c r="C42" s="3">
        <v>39</v>
      </c>
      <c r="D42" s="3" t="s">
        <v>26</v>
      </c>
      <c r="E42" s="3" t="s">
        <v>23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HYPERLINK("http://141.218.60.56/~jnz1568/getInfo.php?workbook=12_04.xlsx&amp;sheet=E0&amp;row=42&amp;col=10&amp;number=1807860&amp;sourceID=14","1807860")</f>
        <v>1807860</v>
      </c>
    </row>
    <row r="43" spans="1:10">
      <c r="A43" s="3">
        <v>12</v>
      </c>
      <c r="B43" s="3">
        <v>4</v>
      </c>
      <c r="C43" s="3">
        <v>40</v>
      </c>
      <c r="D43" s="3" t="s">
        <v>26</v>
      </c>
      <c r="E43" s="3" t="s">
        <v>23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HYPERLINK("http://141.218.60.56/~jnz1568/getInfo.php?workbook=12_04.xlsx&amp;sheet=E0&amp;row=43&amp;col=10&amp;number=1808860&amp;sourceID=14","1808860")</f>
        <v>1808860</v>
      </c>
    </row>
    <row r="44" spans="1:10">
      <c r="A44" s="3">
        <v>12</v>
      </c>
      <c r="B44" s="3">
        <v>4</v>
      </c>
      <c r="C44" s="3">
        <v>41</v>
      </c>
      <c r="D44" s="3" t="s">
        <v>26</v>
      </c>
      <c r="E44" s="3" t="s">
        <v>15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HYPERLINK("http://141.218.60.56/~jnz1568/getInfo.php?workbook=12_04.xlsx&amp;sheet=E0&amp;row=44&amp;col=10&amp;number=1815220&amp;sourceID=14","1815220")</f>
        <v>1815220</v>
      </c>
    </row>
    <row r="45" spans="1:10">
      <c r="A45" s="3">
        <v>12</v>
      </c>
      <c r="B45" s="3">
        <v>4</v>
      </c>
      <c r="C45" s="3">
        <v>42</v>
      </c>
      <c r="D45" s="3" t="s">
        <v>26</v>
      </c>
      <c r="E45" s="3" t="s">
        <v>15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HYPERLINK("http://141.218.60.56/~jnz1568/getInfo.php?workbook=12_04.xlsx&amp;sheet=E0&amp;row=45&amp;col=10&amp;number=1816210&amp;sourceID=14","1816210")</f>
        <v>1816210</v>
      </c>
    </row>
    <row r="46" spans="1:10">
      <c r="A46" s="3">
        <v>12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HYPERLINK("http://141.218.60.56/~jnz1568/getInfo.php?workbook=12_04.xlsx&amp;sheet=E0&amp;row=46&amp;col=10&amp;number=1816730&amp;sourceID=14","1816730")</f>
        <v>1816730</v>
      </c>
    </row>
    <row r="47" spans="1:10">
      <c r="A47" s="3">
        <v>12</v>
      </c>
      <c r="B47" s="3">
        <v>4</v>
      </c>
      <c r="C47" s="3">
        <v>44</v>
      </c>
      <c r="D47" s="3" t="s">
        <v>25</v>
      </c>
      <c r="E47" s="3" t="s">
        <v>13</v>
      </c>
      <c r="F47" s="3">
        <v>1</v>
      </c>
      <c r="G47" s="3">
        <v>0</v>
      </c>
      <c r="H47" s="3">
        <v>0</v>
      </c>
      <c r="I47" s="3">
        <v>0</v>
      </c>
      <c r="J47" s="4" t="str">
        <f>HYPERLINK("http://141.218.60.56/~jnz1568/getInfo.php?workbook=12_04.xlsx&amp;sheet=E0&amp;row=47&amp;col=10&amp;number=0&amp;sourceID=14","0")</f>
        <v>0</v>
      </c>
    </row>
    <row r="48" spans="1:10">
      <c r="A48" s="3">
        <v>12</v>
      </c>
      <c r="B48" s="3">
        <v>4</v>
      </c>
      <c r="C48" s="3">
        <v>45</v>
      </c>
      <c r="D48" s="3" t="s">
        <v>26</v>
      </c>
      <c r="E48" s="3" t="s">
        <v>28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HYPERLINK("http://141.218.60.56/~jnz1568/getInfo.php?workbook=12_04.xlsx&amp;sheet=E0&amp;row=48&amp;col=10&amp;number=1834690&amp;sourceID=14","1834690")</f>
        <v>1834690</v>
      </c>
    </row>
    <row r="49" spans="1:10">
      <c r="A49" s="3">
        <v>12</v>
      </c>
      <c r="B49" s="3">
        <v>4</v>
      </c>
      <c r="C49" s="3">
        <v>46</v>
      </c>
      <c r="D49" s="3" t="s">
        <v>26</v>
      </c>
      <c r="E49" s="3" t="s">
        <v>16</v>
      </c>
      <c r="F49" s="3">
        <v>1</v>
      </c>
      <c r="G49" s="3">
        <v>1</v>
      </c>
      <c r="H49" s="3">
        <v>1</v>
      </c>
      <c r="I49" s="3">
        <v>1</v>
      </c>
      <c r="J49" s="4" t="str">
        <f>HYPERLINK("http://141.218.60.56/~jnz1568/getInfo.php?workbook=12_04.xlsx&amp;sheet=E0&amp;row=49&amp;col=10&amp;number=1841560&amp;sourceID=14","1841560")</f>
        <v>1841560</v>
      </c>
    </row>
    <row r="50" spans="1:10">
      <c r="A50" s="3">
        <v>12</v>
      </c>
      <c r="B50" s="3">
        <v>4</v>
      </c>
      <c r="C50" s="3">
        <v>47</v>
      </c>
      <c r="D50" s="3" t="s">
        <v>29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HYPERLINK("http://141.218.60.56/~jnz1568/getInfo.php?workbook=12_04.xlsx&amp;sheet=E0&amp;row=50&amp;col=10&amp;number=0&amp;sourceID=14","0")</f>
        <v>0</v>
      </c>
    </row>
    <row r="51" spans="1:10">
      <c r="A51" s="3">
        <v>12</v>
      </c>
      <c r="B51" s="3">
        <v>4</v>
      </c>
      <c r="C51" s="3">
        <v>48</v>
      </c>
      <c r="D51" s="3" t="s">
        <v>29</v>
      </c>
      <c r="E51" s="3" t="s">
        <v>13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HYPERLINK("http://141.218.60.56/~jnz1568/getInfo.php?workbook=12_04.xlsx&amp;sheet=E0&amp;row=51&amp;col=10&amp;number=0&amp;sourceID=14","0")</f>
        <v>0</v>
      </c>
    </row>
    <row r="52" spans="1:10">
      <c r="A52" s="3">
        <v>12</v>
      </c>
      <c r="B52" s="3">
        <v>4</v>
      </c>
      <c r="C52" s="3">
        <v>49</v>
      </c>
      <c r="D52" s="3" t="s">
        <v>30</v>
      </c>
      <c r="E52" s="3" t="s">
        <v>15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HYPERLINK("http://141.218.60.56/~jnz1568/getInfo.php?workbook=12_04.xlsx&amp;sheet=E0&amp;row=52&amp;col=10&amp;number=0&amp;sourceID=14","0")</f>
        <v>0</v>
      </c>
    </row>
    <row r="53" spans="1:10">
      <c r="A53" s="3">
        <v>12</v>
      </c>
      <c r="B53" s="3">
        <v>4</v>
      </c>
      <c r="C53" s="3">
        <v>50</v>
      </c>
      <c r="D53" s="3" t="s">
        <v>30</v>
      </c>
      <c r="E53" s="3" t="s">
        <v>15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HYPERLINK("http://141.218.60.56/~jnz1568/getInfo.php?workbook=12_04.xlsx&amp;sheet=E0&amp;row=53&amp;col=10&amp;number=0&amp;sourceID=14","0")</f>
        <v>0</v>
      </c>
    </row>
    <row r="54" spans="1:10">
      <c r="A54" s="3">
        <v>12</v>
      </c>
      <c r="B54" s="3">
        <v>4</v>
      </c>
      <c r="C54" s="3">
        <v>51</v>
      </c>
      <c r="D54" s="3" t="s">
        <v>30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HYPERLINK("http://141.218.60.56/~jnz1568/getInfo.php?workbook=12_04.xlsx&amp;sheet=E0&amp;row=54&amp;col=10&amp;number=0&amp;sourceID=14","0")</f>
        <v>0</v>
      </c>
    </row>
    <row r="55" spans="1:10">
      <c r="A55" s="3">
        <v>12</v>
      </c>
      <c r="B55" s="3">
        <v>4</v>
      </c>
      <c r="C55" s="3">
        <v>52</v>
      </c>
      <c r="D55" s="3" t="s">
        <v>30</v>
      </c>
      <c r="E55" s="3" t="s">
        <v>16</v>
      </c>
      <c r="F55" s="3">
        <v>1</v>
      </c>
      <c r="G55" s="3">
        <v>1</v>
      </c>
      <c r="H55" s="3">
        <v>1</v>
      </c>
      <c r="I55" s="3">
        <v>1</v>
      </c>
      <c r="J55" s="4" t="str">
        <f>HYPERLINK("http://141.218.60.56/~jnz1568/getInfo.php?workbook=12_04.xlsx&amp;sheet=E0&amp;row=55&amp;col=10&amp;number=2068680&amp;sourceID=14","2068680")</f>
        <v>2068680</v>
      </c>
    </row>
    <row r="56" spans="1:10">
      <c r="A56" s="3">
        <v>12</v>
      </c>
      <c r="B56" s="3">
        <v>4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HYPERLINK("http://141.218.60.56/~jnz1568/getInfo.php?workbook=12_04.xlsx&amp;sheet=E0&amp;row=56&amp;col=10&amp;number=2079970&amp;sourceID=14","2079970")</f>
        <v>2079970</v>
      </c>
    </row>
    <row r="57" spans="1:10">
      <c r="A57" s="3">
        <v>12</v>
      </c>
      <c r="B57" s="3">
        <v>4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2</v>
      </c>
      <c r="J57" s="4" t="str">
        <f>HYPERLINK("http://141.218.60.56/~jnz1568/getInfo.php?workbook=12_04.xlsx&amp;sheet=E0&amp;row=57&amp;col=10&amp;number=2079970&amp;sourceID=14","2079970")</f>
        <v>2079970</v>
      </c>
    </row>
    <row r="58" spans="1:10">
      <c r="A58" s="3">
        <v>12</v>
      </c>
      <c r="B58" s="3">
        <v>4</v>
      </c>
      <c r="C58" s="3">
        <v>55</v>
      </c>
      <c r="D58" s="3" t="s">
        <v>31</v>
      </c>
      <c r="E58" s="3" t="s">
        <v>23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HYPERLINK("http://141.218.60.56/~jnz1568/getInfo.php?workbook=12_04.xlsx&amp;sheet=E0&amp;row=58&amp;col=10&amp;number=2080050&amp;sourceID=14","2080050")</f>
        <v>2080050</v>
      </c>
    </row>
    <row r="59" spans="1:10">
      <c r="A59" s="3">
        <v>12</v>
      </c>
      <c r="B59" s="3">
        <v>4</v>
      </c>
      <c r="C59" s="3">
        <v>56</v>
      </c>
      <c r="D59" s="3" t="s">
        <v>31</v>
      </c>
      <c r="E59" s="3" t="s">
        <v>18</v>
      </c>
      <c r="F59" s="3">
        <v>1</v>
      </c>
      <c r="G59" s="3">
        <v>2</v>
      </c>
      <c r="H59" s="3">
        <v>0</v>
      </c>
      <c r="I59" s="3">
        <v>2</v>
      </c>
      <c r="J59" s="4" t="str">
        <f>HYPERLINK("http://141.218.60.56/~jnz1568/getInfo.php?workbook=12_04.xlsx&amp;sheet=E0&amp;row=59&amp;col=10&amp;number=2087890&amp;sourceID=14","2087890")</f>
        <v>2087890</v>
      </c>
    </row>
    <row r="60" spans="1:10">
      <c r="A60" s="3">
        <v>12</v>
      </c>
      <c r="B60" s="3">
        <v>4</v>
      </c>
      <c r="C60" s="3">
        <v>57</v>
      </c>
      <c r="D60" s="3" t="s">
        <v>32</v>
      </c>
      <c r="E60" s="3" t="s">
        <v>27</v>
      </c>
      <c r="F60" s="3">
        <v>3</v>
      </c>
      <c r="G60" s="3">
        <v>3</v>
      </c>
      <c r="H60" s="3">
        <v>1</v>
      </c>
      <c r="I60" s="3">
        <v>2</v>
      </c>
      <c r="J60" s="4" t="str">
        <f>HYPERLINK("http://141.218.60.56/~jnz1568/getInfo.php?workbook=12_04.xlsx&amp;sheet=E0&amp;row=60&amp;col=10&amp;number=0&amp;sourceID=14","0")</f>
        <v>0</v>
      </c>
    </row>
    <row r="61" spans="1:10">
      <c r="A61" s="3">
        <v>12</v>
      </c>
      <c r="B61" s="3">
        <v>4</v>
      </c>
      <c r="C61" s="3">
        <v>58</v>
      </c>
      <c r="D61" s="3" t="s">
        <v>32</v>
      </c>
      <c r="E61" s="3" t="s">
        <v>27</v>
      </c>
      <c r="F61" s="3">
        <v>3</v>
      </c>
      <c r="G61" s="3">
        <v>3</v>
      </c>
      <c r="H61" s="3">
        <v>1</v>
      </c>
      <c r="I61" s="3">
        <v>3</v>
      </c>
      <c r="J61" s="4" t="str">
        <f>HYPERLINK("http://141.218.60.56/~jnz1568/getInfo.php?workbook=12_04.xlsx&amp;sheet=E0&amp;row=61&amp;col=10&amp;number=0&amp;sourceID=14","0")</f>
        <v>0</v>
      </c>
    </row>
    <row r="62" spans="1:10">
      <c r="A62" s="3">
        <v>12</v>
      </c>
      <c r="B62" s="3">
        <v>4</v>
      </c>
      <c r="C62" s="3">
        <v>59</v>
      </c>
      <c r="D62" s="3" t="s">
        <v>32</v>
      </c>
      <c r="E62" s="3" t="s">
        <v>27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HYPERLINK("http://141.218.60.56/~jnz1568/getInfo.php?workbook=12_04.xlsx&amp;sheet=E0&amp;row=62&amp;col=10&amp;number=0&amp;sourceID=14","0")</f>
        <v>0</v>
      </c>
    </row>
    <row r="63" spans="1:10">
      <c r="A63" s="3">
        <v>12</v>
      </c>
      <c r="B63" s="3">
        <v>4</v>
      </c>
      <c r="C63" s="3">
        <v>60</v>
      </c>
      <c r="D63" s="3" t="s">
        <v>32</v>
      </c>
      <c r="E63" s="3" t="s">
        <v>28</v>
      </c>
      <c r="F63" s="3">
        <v>1</v>
      </c>
      <c r="G63" s="3">
        <v>3</v>
      </c>
      <c r="H63" s="3">
        <v>1</v>
      </c>
      <c r="I63" s="3">
        <v>3</v>
      </c>
      <c r="J63" s="4" t="str">
        <f>HYPERLINK("http://141.218.60.56/~jnz1568/getInfo.php?workbook=12_04.xlsx&amp;sheet=E0&amp;row=63&amp;col=10&amp;number=0&amp;sourceID=14","0")</f>
        <v>0</v>
      </c>
    </row>
    <row r="64" spans="1:10">
      <c r="A64" s="3">
        <v>12</v>
      </c>
      <c r="B64" s="3">
        <v>4</v>
      </c>
      <c r="C64" s="3">
        <v>61</v>
      </c>
      <c r="D64" s="3" t="s">
        <v>33</v>
      </c>
      <c r="E64" s="3" t="s">
        <v>15</v>
      </c>
      <c r="F64" s="3">
        <v>3</v>
      </c>
      <c r="G64" s="3">
        <v>1</v>
      </c>
      <c r="H64" s="3">
        <v>1</v>
      </c>
      <c r="I64" s="3">
        <v>0</v>
      </c>
      <c r="J64" s="4" t="str">
        <f>HYPERLINK("http://141.218.60.56/~jnz1568/getInfo.php?workbook=12_04.xlsx&amp;sheet=E0&amp;row=64&amp;col=10&amp;number=0&amp;sourceID=14","0")</f>
        <v>0</v>
      </c>
    </row>
    <row r="65" spans="1:10">
      <c r="A65" s="3">
        <v>12</v>
      </c>
      <c r="B65" s="3">
        <v>4</v>
      </c>
      <c r="C65" s="3">
        <v>62</v>
      </c>
      <c r="D65" s="3" t="s">
        <v>33</v>
      </c>
      <c r="E65" s="3" t="s">
        <v>15</v>
      </c>
      <c r="F65" s="3">
        <v>3</v>
      </c>
      <c r="G65" s="3">
        <v>1</v>
      </c>
      <c r="H65" s="3">
        <v>1</v>
      </c>
      <c r="I65" s="3">
        <v>1</v>
      </c>
      <c r="J65" s="4" t="str">
        <f>HYPERLINK("http://141.218.60.56/~jnz1568/getInfo.php?workbook=12_04.xlsx&amp;sheet=E0&amp;row=65&amp;col=10&amp;number=0&amp;sourceID=14","0")</f>
        <v>0</v>
      </c>
    </row>
    <row r="66" spans="1:10">
      <c r="A66" s="3">
        <v>12</v>
      </c>
      <c r="B66" s="3">
        <v>4</v>
      </c>
      <c r="C66" s="3">
        <v>63</v>
      </c>
      <c r="D66" s="3" t="s">
        <v>33</v>
      </c>
      <c r="E66" s="3" t="s">
        <v>15</v>
      </c>
      <c r="F66" s="3">
        <v>3</v>
      </c>
      <c r="G66" s="3">
        <v>1</v>
      </c>
      <c r="H66" s="3">
        <v>1</v>
      </c>
      <c r="I66" s="3">
        <v>2</v>
      </c>
      <c r="J66" s="4" t="str">
        <f>HYPERLINK("http://141.218.60.56/~jnz1568/getInfo.php?workbook=12_04.xlsx&amp;sheet=E0&amp;row=66&amp;col=10&amp;number=0&amp;sourceID=14","0")</f>
        <v>0</v>
      </c>
    </row>
    <row r="67" spans="1:10">
      <c r="A67" s="3">
        <v>12</v>
      </c>
      <c r="B67" s="3">
        <v>4</v>
      </c>
      <c r="C67" s="3">
        <v>64</v>
      </c>
      <c r="D67" s="3" t="s">
        <v>33</v>
      </c>
      <c r="E67" s="3" t="s">
        <v>16</v>
      </c>
      <c r="F67" s="3">
        <v>1</v>
      </c>
      <c r="G67" s="3">
        <v>1</v>
      </c>
      <c r="H67" s="3">
        <v>1</v>
      </c>
      <c r="I67" s="3">
        <v>1</v>
      </c>
      <c r="J67" s="4" t="str">
        <f>HYPERLINK("http://141.218.60.56/~jnz1568/getInfo.php?workbook=12_04.xlsx&amp;sheet=E0&amp;row=67&amp;col=10&amp;number=0&amp;sourceID=14","0")</f>
        <v>0</v>
      </c>
    </row>
    <row r="68" spans="1:10">
      <c r="A68" s="3">
        <v>12</v>
      </c>
      <c r="B68" s="3">
        <v>4</v>
      </c>
      <c r="C68" s="3">
        <v>65</v>
      </c>
      <c r="D68" s="3" t="s">
        <v>34</v>
      </c>
      <c r="E68" s="3" t="s">
        <v>16</v>
      </c>
      <c r="F68" s="3">
        <v>1</v>
      </c>
      <c r="G68" s="3">
        <v>1</v>
      </c>
      <c r="H68" s="3">
        <v>1</v>
      </c>
      <c r="I68" s="3">
        <v>1</v>
      </c>
      <c r="J68" s="4" t="str">
        <f>HYPERLINK("http://141.218.60.56/~jnz1568/getInfo.php?workbook=12_04.xlsx&amp;sheet=E0&amp;row=68&amp;col=10&amp;number=0&amp;sourceID=14","0")</f>
        <v>0</v>
      </c>
    </row>
    <row r="69" spans="1:10">
      <c r="A69" s="3">
        <v>12</v>
      </c>
      <c r="B69" s="3">
        <v>4</v>
      </c>
      <c r="C69" s="3">
        <v>66</v>
      </c>
      <c r="D69" s="3" t="s">
        <v>34</v>
      </c>
      <c r="E69" s="3" t="s">
        <v>23</v>
      </c>
      <c r="F69" s="3">
        <v>3</v>
      </c>
      <c r="G69" s="3">
        <v>2</v>
      </c>
      <c r="H69" s="3">
        <v>0</v>
      </c>
      <c r="I69" s="3">
        <v>1</v>
      </c>
      <c r="J69" s="4" t="str">
        <f>HYPERLINK("http://141.218.60.56/~jnz1568/getInfo.php?workbook=12_04.xlsx&amp;sheet=E0&amp;row=69&amp;col=10&amp;number=0&amp;sourceID=14","0")</f>
        <v>0</v>
      </c>
    </row>
    <row r="70" spans="1:10">
      <c r="A70" s="3">
        <v>12</v>
      </c>
      <c r="B70" s="3">
        <v>4</v>
      </c>
      <c r="C70" s="3">
        <v>67</v>
      </c>
      <c r="D70" s="3" t="s">
        <v>34</v>
      </c>
      <c r="E70" s="3" t="s">
        <v>23</v>
      </c>
      <c r="F70" s="3">
        <v>3</v>
      </c>
      <c r="G70" s="3">
        <v>2</v>
      </c>
      <c r="H70" s="3">
        <v>0</v>
      </c>
      <c r="I70" s="3">
        <v>2</v>
      </c>
      <c r="J70" s="4" t="str">
        <f>HYPERLINK("http://141.218.60.56/~jnz1568/getInfo.php?workbook=12_04.xlsx&amp;sheet=E0&amp;row=70&amp;col=10&amp;number=0&amp;sourceID=14","0")</f>
        <v>0</v>
      </c>
    </row>
    <row r="71" spans="1:10">
      <c r="A71" s="3">
        <v>12</v>
      </c>
      <c r="B71" s="3">
        <v>4</v>
      </c>
      <c r="C71" s="3">
        <v>68</v>
      </c>
      <c r="D71" s="3" t="s">
        <v>34</v>
      </c>
      <c r="E71" s="3" t="s">
        <v>23</v>
      </c>
      <c r="F71" s="3">
        <v>3</v>
      </c>
      <c r="G71" s="3">
        <v>2</v>
      </c>
      <c r="H71" s="3">
        <v>0</v>
      </c>
      <c r="I71" s="3">
        <v>3</v>
      </c>
      <c r="J71" s="4" t="str">
        <f>HYPERLINK("http://141.218.60.56/~jnz1568/getInfo.php?workbook=12_04.xlsx&amp;sheet=E0&amp;row=71&amp;col=10&amp;number=2229730&amp;sourceID=14","2229730")</f>
        <v>2229730</v>
      </c>
    </row>
    <row r="72" spans="1:10">
      <c r="A72" s="3">
        <v>12</v>
      </c>
      <c r="B72" s="3">
        <v>4</v>
      </c>
      <c r="C72" s="3">
        <v>69</v>
      </c>
      <c r="D72" s="3" t="s">
        <v>34</v>
      </c>
      <c r="E72" s="3" t="s">
        <v>20</v>
      </c>
      <c r="F72" s="3">
        <v>3</v>
      </c>
      <c r="G72" s="3">
        <v>0</v>
      </c>
      <c r="H72" s="3">
        <v>0</v>
      </c>
      <c r="I72" s="3">
        <v>1</v>
      </c>
      <c r="J72" s="4" t="str">
        <f>HYPERLINK("http://141.218.60.56/~jnz1568/getInfo.php?workbook=12_04.xlsx&amp;sheet=E0&amp;row=72&amp;col=10&amp;number=0&amp;sourceID=14","0")</f>
        <v>0</v>
      </c>
    </row>
    <row r="73" spans="1:10">
      <c r="A73" s="3">
        <v>12</v>
      </c>
      <c r="B73" s="3">
        <v>4</v>
      </c>
      <c r="C73" s="3">
        <v>70</v>
      </c>
      <c r="D73" s="3" t="s">
        <v>34</v>
      </c>
      <c r="E73" s="3" t="s">
        <v>15</v>
      </c>
      <c r="F73" s="3">
        <v>3</v>
      </c>
      <c r="G73" s="3">
        <v>1</v>
      </c>
      <c r="H73" s="3">
        <v>1</v>
      </c>
      <c r="I73" s="3">
        <v>0</v>
      </c>
      <c r="J73" s="4" t="str">
        <f>HYPERLINK("http://141.218.60.56/~jnz1568/getInfo.php?workbook=12_04.xlsx&amp;sheet=E0&amp;row=73&amp;col=10&amp;number=0&amp;sourceID=14","0")</f>
        <v>0</v>
      </c>
    </row>
    <row r="74" spans="1:10">
      <c r="A74" s="3">
        <v>12</v>
      </c>
      <c r="B74" s="3">
        <v>4</v>
      </c>
      <c r="C74" s="3">
        <v>71</v>
      </c>
      <c r="D74" s="3" t="s">
        <v>34</v>
      </c>
      <c r="E74" s="3" t="s">
        <v>15</v>
      </c>
      <c r="F74" s="3">
        <v>3</v>
      </c>
      <c r="G74" s="3">
        <v>1</v>
      </c>
      <c r="H74" s="3">
        <v>1</v>
      </c>
      <c r="I74" s="3">
        <v>1</v>
      </c>
      <c r="J74" s="4" t="str">
        <f>HYPERLINK("http://141.218.60.56/~jnz1568/getInfo.php?workbook=12_04.xlsx&amp;sheet=E0&amp;row=74&amp;col=10&amp;number=0&amp;sourceID=14","0")</f>
        <v>0</v>
      </c>
    </row>
    <row r="75" spans="1:10">
      <c r="A75" s="3">
        <v>12</v>
      </c>
      <c r="B75" s="3">
        <v>4</v>
      </c>
      <c r="C75" s="3">
        <v>72</v>
      </c>
      <c r="D75" s="3" t="s">
        <v>34</v>
      </c>
      <c r="E75" s="3" t="s">
        <v>15</v>
      </c>
      <c r="F75" s="3">
        <v>3</v>
      </c>
      <c r="G75" s="3">
        <v>1</v>
      </c>
      <c r="H75" s="3">
        <v>1</v>
      </c>
      <c r="I75" s="3">
        <v>2</v>
      </c>
      <c r="J75" s="4" t="str">
        <f>HYPERLINK("http://141.218.60.56/~jnz1568/getInfo.php?workbook=12_04.xlsx&amp;sheet=E0&amp;row=75&amp;col=10&amp;number=2235350&amp;sourceID=14","2235350")</f>
        <v>2235350</v>
      </c>
    </row>
    <row r="76" spans="1:10">
      <c r="A76" s="3">
        <v>12</v>
      </c>
      <c r="B76" s="3">
        <v>4</v>
      </c>
      <c r="C76" s="3">
        <v>73</v>
      </c>
      <c r="D76" s="3" t="s">
        <v>35</v>
      </c>
      <c r="E76" s="3" t="s">
        <v>27</v>
      </c>
      <c r="F76" s="3">
        <v>3</v>
      </c>
      <c r="G76" s="3">
        <v>3</v>
      </c>
      <c r="H76" s="3">
        <v>1</v>
      </c>
      <c r="I76" s="3">
        <v>2</v>
      </c>
      <c r="J76" s="4" t="str">
        <f>HYPERLINK("http://141.218.60.56/~jnz1568/getInfo.php?workbook=12_04.xlsx&amp;sheet=E0&amp;row=76&amp;col=10&amp;number=0&amp;sourceID=14","0")</f>
        <v>0</v>
      </c>
    </row>
    <row r="77" spans="1:10">
      <c r="A77" s="3">
        <v>12</v>
      </c>
      <c r="B77" s="3">
        <v>4</v>
      </c>
      <c r="C77" s="3">
        <v>74</v>
      </c>
      <c r="D77" s="3" t="s">
        <v>35</v>
      </c>
      <c r="E77" s="3" t="s">
        <v>27</v>
      </c>
      <c r="F77" s="3">
        <v>3</v>
      </c>
      <c r="G77" s="3">
        <v>3</v>
      </c>
      <c r="H77" s="3">
        <v>1</v>
      </c>
      <c r="I77" s="3">
        <v>3</v>
      </c>
      <c r="J77" s="4" t="str">
        <f>HYPERLINK("http://141.218.60.56/~jnz1568/getInfo.php?workbook=12_04.xlsx&amp;sheet=E0&amp;row=77&amp;col=10&amp;number=0&amp;sourceID=14","0")</f>
        <v>0</v>
      </c>
    </row>
    <row r="78" spans="1:10">
      <c r="A78" s="3">
        <v>12</v>
      </c>
      <c r="B78" s="3">
        <v>4</v>
      </c>
      <c r="C78" s="3">
        <v>75</v>
      </c>
      <c r="D78" s="3" t="s">
        <v>35</v>
      </c>
      <c r="E78" s="3" t="s">
        <v>18</v>
      </c>
      <c r="F78" s="3">
        <v>1</v>
      </c>
      <c r="G78" s="3">
        <v>2</v>
      </c>
      <c r="H78" s="3">
        <v>0</v>
      </c>
      <c r="I78" s="3">
        <v>2</v>
      </c>
      <c r="J78" s="4" t="str">
        <f>HYPERLINK("http://141.218.60.56/~jnz1568/getInfo.php?workbook=12_04.xlsx&amp;sheet=E0&amp;row=78&amp;col=10&amp;number=2241210&amp;sourceID=14","2241210")</f>
        <v>2241210</v>
      </c>
    </row>
    <row r="79" spans="1:10">
      <c r="A79" s="3">
        <v>12</v>
      </c>
      <c r="B79" s="3">
        <v>4</v>
      </c>
      <c r="C79" s="3">
        <v>76</v>
      </c>
      <c r="D79" s="3" t="s">
        <v>34</v>
      </c>
      <c r="E79" s="3" t="s">
        <v>18</v>
      </c>
      <c r="F79" s="3">
        <v>1</v>
      </c>
      <c r="G79" s="3">
        <v>2</v>
      </c>
      <c r="H79" s="3">
        <v>0</v>
      </c>
      <c r="I79" s="3">
        <v>2</v>
      </c>
      <c r="J79" s="4" t="str">
        <f>HYPERLINK("http://141.218.60.56/~jnz1568/getInfo.php?workbook=12_04.xlsx&amp;sheet=E0&amp;row=79&amp;col=10&amp;number=2241080&amp;sourceID=14","2241080")</f>
        <v>2241080</v>
      </c>
    </row>
    <row r="80" spans="1:10">
      <c r="A80" s="3">
        <v>12</v>
      </c>
      <c r="B80" s="3">
        <v>4</v>
      </c>
      <c r="C80" s="3">
        <v>77</v>
      </c>
      <c r="D80" s="3" t="s">
        <v>35</v>
      </c>
      <c r="E80" s="3" t="s">
        <v>27</v>
      </c>
      <c r="F80" s="3">
        <v>3</v>
      </c>
      <c r="G80" s="3">
        <v>3</v>
      </c>
      <c r="H80" s="3">
        <v>1</v>
      </c>
      <c r="I80" s="3">
        <v>4</v>
      </c>
      <c r="J80" s="4" t="str">
        <f>HYPERLINK("http://141.218.60.56/~jnz1568/getInfo.php?workbook=12_04.xlsx&amp;sheet=E0&amp;row=80&amp;col=10&amp;number=0&amp;sourceID=14","0")</f>
        <v>0</v>
      </c>
    </row>
    <row r="81" spans="1:10">
      <c r="A81" s="3">
        <v>12</v>
      </c>
      <c r="B81" s="3">
        <v>4</v>
      </c>
      <c r="C81" s="3">
        <v>78</v>
      </c>
      <c r="D81" s="3" t="s">
        <v>35</v>
      </c>
      <c r="E81" s="3" t="s">
        <v>23</v>
      </c>
      <c r="F81" s="3">
        <v>3</v>
      </c>
      <c r="G81" s="3">
        <v>2</v>
      </c>
      <c r="H81" s="3">
        <v>0</v>
      </c>
      <c r="I81" s="3">
        <v>1</v>
      </c>
      <c r="J81" s="4" t="str">
        <f>HYPERLINK("http://141.218.60.56/~jnz1568/getInfo.php?workbook=12_04.xlsx&amp;sheet=E0&amp;row=81&amp;col=10&amp;number=0&amp;sourceID=14","0")</f>
        <v>0</v>
      </c>
    </row>
    <row r="82" spans="1:10">
      <c r="A82" s="3">
        <v>12</v>
      </c>
      <c r="B82" s="3">
        <v>4</v>
      </c>
      <c r="C82" s="3">
        <v>79</v>
      </c>
      <c r="D82" s="3" t="s">
        <v>35</v>
      </c>
      <c r="E82" s="3" t="s">
        <v>23</v>
      </c>
      <c r="F82" s="3">
        <v>3</v>
      </c>
      <c r="G82" s="3">
        <v>2</v>
      </c>
      <c r="H82" s="3">
        <v>0</v>
      </c>
      <c r="I82" s="3">
        <v>2</v>
      </c>
      <c r="J82" s="4" t="str">
        <f>HYPERLINK("http://141.218.60.56/~jnz1568/getInfo.php?workbook=12_04.xlsx&amp;sheet=E0&amp;row=82&amp;col=10&amp;number=0&amp;sourceID=14","0")</f>
        <v>0</v>
      </c>
    </row>
    <row r="83" spans="1:10">
      <c r="A83" s="3">
        <v>12</v>
      </c>
      <c r="B83" s="3">
        <v>4</v>
      </c>
      <c r="C83" s="3">
        <v>80</v>
      </c>
      <c r="D83" s="3" t="s">
        <v>36</v>
      </c>
      <c r="E83" s="3" t="s">
        <v>28</v>
      </c>
      <c r="F83" s="3">
        <v>1</v>
      </c>
      <c r="G83" s="3">
        <v>3</v>
      </c>
      <c r="H83" s="3">
        <v>1</v>
      </c>
      <c r="I83" s="3">
        <v>3</v>
      </c>
      <c r="J83" s="4" t="str">
        <f>HYPERLINK("http://141.218.60.56/~jnz1568/getInfo.php?workbook=12_04.xlsx&amp;sheet=E0&amp;row=83&amp;col=10&amp;number=0&amp;sourceID=14","0")</f>
        <v>0</v>
      </c>
    </row>
    <row r="84" spans="1:10">
      <c r="A84" s="3">
        <v>12</v>
      </c>
      <c r="B84" s="3">
        <v>4</v>
      </c>
      <c r="C84" s="3">
        <v>81</v>
      </c>
      <c r="D84" s="3" t="s">
        <v>35</v>
      </c>
      <c r="E84" s="3" t="s">
        <v>23</v>
      </c>
      <c r="F84" s="3">
        <v>3</v>
      </c>
      <c r="G84" s="3">
        <v>2</v>
      </c>
      <c r="H84" s="3">
        <v>0</v>
      </c>
      <c r="I84" s="3">
        <v>3</v>
      </c>
      <c r="J84" s="4" t="str">
        <f>HYPERLINK("http://141.218.60.56/~jnz1568/getInfo.php?workbook=12_04.xlsx&amp;sheet=E0&amp;row=84&amp;col=10&amp;number=2248250&amp;sourceID=14","2248250")</f>
        <v>2248250</v>
      </c>
    </row>
    <row r="85" spans="1:10">
      <c r="A85" s="3">
        <v>12</v>
      </c>
      <c r="B85" s="3">
        <v>4</v>
      </c>
      <c r="C85" s="3">
        <v>82</v>
      </c>
      <c r="D85" s="3" t="s">
        <v>36</v>
      </c>
      <c r="E85" s="3" t="s">
        <v>27</v>
      </c>
      <c r="F85" s="3">
        <v>3</v>
      </c>
      <c r="G85" s="3">
        <v>3</v>
      </c>
      <c r="H85" s="3">
        <v>1</v>
      </c>
      <c r="I85" s="3">
        <v>2</v>
      </c>
      <c r="J85" s="4" t="str">
        <f>HYPERLINK("http://141.218.60.56/~jnz1568/getInfo.php?workbook=12_04.xlsx&amp;sheet=E0&amp;row=85&amp;col=10&amp;number=0&amp;sourceID=14","0")</f>
        <v>0</v>
      </c>
    </row>
    <row r="86" spans="1:10">
      <c r="A86" s="3">
        <v>12</v>
      </c>
      <c r="B86" s="3">
        <v>4</v>
      </c>
      <c r="C86" s="3">
        <v>83</v>
      </c>
      <c r="D86" s="3" t="s">
        <v>36</v>
      </c>
      <c r="E86" s="3" t="s">
        <v>27</v>
      </c>
      <c r="F86" s="3">
        <v>3</v>
      </c>
      <c r="G86" s="3">
        <v>3</v>
      </c>
      <c r="H86" s="3">
        <v>1</v>
      </c>
      <c r="I86" s="3">
        <v>3</v>
      </c>
      <c r="J86" s="4" t="str">
        <f>HYPERLINK("http://141.218.60.56/~jnz1568/getInfo.php?workbook=12_04.xlsx&amp;sheet=E0&amp;row=86&amp;col=10&amp;number=0&amp;sourceID=14","0")</f>
        <v>0</v>
      </c>
    </row>
    <row r="87" spans="1:10">
      <c r="A87" s="3">
        <v>12</v>
      </c>
      <c r="B87" s="3">
        <v>4</v>
      </c>
      <c r="C87" s="3">
        <v>84</v>
      </c>
      <c r="D87" s="3" t="s">
        <v>36</v>
      </c>
      <c r="E87" s="3" t="s">
        <v>27</v>
      </c>
      <c r="F87" s="3">
        <v>3</v>
      </c>
      <c r="G87" s="3">
        <v>3</v>
      </c>
      <c r="H87" s="3">
        <v>1</v>
      </c>
      <c r="I87" s="3">
        <v>4</v>
      </c>
      <c r="J87" s="4" t="str">
        <f>HYPERLINK("http://141.218.60.56/~jnz1568/getInfo.php?workbook=12_04.xlsx&amp;sheet=E0&amp;row=87&amp;col=10&amp;number=0&amp;sourceID=14","0")</f>
        <v>0</v>
      </c>
    </row>
    <row r="88" spans="1:10">
      <c r="A88" s="3">
        <v>12</v>
      </c>
      <c r="B88" s="3">
        <v>4</v>
      </c>
      <c r="C88" s="3">
        <v>85</v>
      </c>
      <c r="D88" s="3" t="s">
        <v>35</v>
      </c>
      <c r="E88" s="3" t="s">
        <v>15</v>
      </c>
      <c r="F88" s="3">
        <v>3</v>
      </c>
      <c r="G88" s="3">
        <v>1</v>
      </c>
      <c r="H88" s="3">
        <v>1</v>
      </c>
      <c r="I88" s="3">
        <v>2</v>
      </c>
      <c r="J88" s="4" t="str">
        <f>HYPERLINK("http://141.218.60.56/~jnz1568/getInfo.php?workbook=12_04.xlsx&amp;sheet=E0&amp;row=88&amp;col=10&amp;number=2249450&amp;sourceID=14","2249450")</f>
        <v>2249450</v>
      </c>
    </row>
    <row r="89" spans="1:10">
      <c r="A89" s="3">
        <v>12</v>
      </c>
      <c r="B89" s="3">
        <v>4</v>
      </c>
      <c r="C89" s="3">
        <v>86</v>
      </c>
      <c r="D89" s="3" t="s">
        <v>35</v>
      </c>
      <c r="E89" s="3" t="s">
        <v>15</v>
      </c>
      <c r="F89" s="3">
        <v>3</v>
      </c>
      <c r="G89" s="3">
        <v>1</v>
      </c>
      <c r="H89" s="3">
        <v>1</v>
      </c>
      <c r="I89" s="3">
        <v>1</v>
      </c>
      <c r="J89" s="4" t="str">
        <f>HYPERLINK("http://141.218.60.56/~jnz1568/getInfo.php?workbook=12_04.xlsx&amp;sheet=E0&amp;row=89&amp;col=10&amp;number=2249970&amp;sourceID=14","2249970")</f>
        <v>2249970</v>
      </c>
    </row>
    <row r="90" spans="1:10">
      <c r="A90" s="3">
        <v>12</v>
      </c>
      <c r="B90" s="3">
        <v>4</v>
      </c>
      <c r="C90" s="3">
        <v>87</v>
      </c>
      <c r="D90" s="3" t="s">
        <v>35</v>
      </c>
      <c r="E90" s="3" t="s">
        <v>15</v>
      </c>
      <c r="F90" s="3">
        <v>3</v>
      </c>
      <c r="G90" s="3">
        <v>1</v>
      </c>
      <c r="H90" s="3">
        <v>1</v>
      </c>
      <c r="I90" s="3">
        <v>0</v>
      </c>
      <c r="J90" s="4" t="str">
        <f>HYPERLINK("http://141.218.60.56/~jnz1568/getInfo.php?workbook=12_04.xlsx&amp;sheet=E0&amp;row=90&amp;col=10&amp;number=0&amp;sourceID=14","0")</f>
        <v>0</v>
      </c>
    </row>
    <row r="91" spans="1:10">
      <c r="A91" s="3">
        <v>12</v>
      </c>
      <c r="B91" s="3">
        <v>4</v>
      </c>
      <c r="C91" s="3">
        <v>88</v>
      </c>
      <c r="D91" s="3" t="s">
        <v>36</v>
      </c>
      <c r="E91" s="3" t="s">
        <v>37</v>
      </c>
      <c r="F91" s="3">
        <v>3</v>
      </c>
      <c r="G91" s="3">
        <v>4</v>
      </c>
      <c r="H91" s="3">
        <v>0</v>
      </c>
      <c r="I91" s="3">
        <v>3</v>
      </c>
      <c r="J91" s="4" t="str">
        <f>HYPERLINK("http://141.218.60.56/~jnz1568/getInfo.php?workbook=12_04.xlsx&amp;sheet=E0&amp;row=91&amp;col=10&amp;number=0&amp;sourceID=14","0")</f>
        <v>0</v>
      </c>
    </row>
    <row r="92" spans="1:10">
      <c r="A92" s="3">
        <v>12</v>
      </c>
      <c r="B92" s="3">
        <v>4</v>
      </c>
      <c r="C92" s="3">
        <v>89</v>
      </c>
      <c r="D92" s="3" t="s">
        <v>36</v>
      </c>
      <c r="E92" s="3" t="s">
        <v>37</v>
      </c>
      <c r="F92" s="3">
        <v>3</v>
      </c>
      <c r="G92" s="3">
        <v>4</v>
      </c>
      <c r="H92" s="3">
        <v>0</v>
      </c>
      <c r="I92" s="3">
        <v>4</v>
      </c>
      <c r="J92" s="4" t="str">
        <f>HYPERLINK("http://141.218.60.56/~jnz1568/getInfo.php?workbook=12_04.xlsx&amp;sheet=E0&amp;row=92&amp;col=10&amp;number=0&amp;sourceID=14","0")</f>
        <v>0</v>
      </c>
    </row>
    <row r="93" spans="1:10">
      <c r="A93" s="3">
        <v>12</v>
      </c>
      <c r="B93" s="3">
        <v>4</v>
      </c>
      <c r="C93" s="3">
        <v>90</v>
      </c>
      <c r="D93" s="3" t="s">
        <v>36</v>
      </c>
      <c r="E93" s="3" t="s">
        <v>37</v>
      </c>
      <c r="F93" s="3">
        <v>3</v>
      </c>
      <c r="G93" s="3">
        <v>4</v>
      </c>
      <c r="H93" s="3">
        <v>0</v>
      </c>
      <c r="I93" s="3">
        <v>5</v>
      </c>
      <c r="J93" s="4" t="str">
        <f>HYPERLINK("http://141.218.60.56/~jnz1568/getInfo.php?workbook=12_04.xlsx&amp;sheet=E0&amp;row=93&amp;col=10&amp;number=0&amp;sourceID=14","0")</f>
        <v>0</v>
      </c>
    </row>
    <row r="94" spans="1:10">
      <c r="A94" s="3">
        <v>12</v>
      </c>
      <c r="B94" s="3">
        <v>4</v>
      </c>
      <c r="C94" s="3">
        <v>91</v>
      </c>
      <c r="D94" s="3" t="s">
        <v>36</v>
      </c>
      <c r="E94" s="3" t="s">
        <v>23</v>
      </c>
      <c r="F94" s="3">
        <v>3</v>
      </c>
      <c r="G94" s="3">
        <v>2</v>
      </c>
      <c r="H94" s="3">
        <v>0</v>
      </c>
      <c r="I94" s="3">
        <v>3</v>
      </c>
      <c r="J94" s="4" t="str">
        <f>HYPERLINK("http://141.218.60.56/~jnz1568/getInfo.php?workbook=12_04.xlsx&amp;sheet=E0&amp;row=94&amp;col=10&amp;number=0&amp;sourceID=14","0")</f>
        <v>0</v>
      </c>
    </row>
    <row r="95" spans="1:10">
      <c r="A95" s="3">
        <v>12</v>
      </c>
      <c r="B95" s="3">
        <v>4</v>
      </c>
      <c r="C95" s="3">
        <v>92</v>
      </c>
      <c r="D95" s="3" t="s">
        <v>36</v>
      </c>
      <c r="E95" s="3" t="s">
        <v>38</v>
      </c>
      <c r="F95" s="3">
        <v>1</v>
      </c>
      <c r="G95" s="3">
        <v>4</v>
      </c>
      <c r="H95" s="3">
        <v>0</v>
      </c>
      <c r="I95" s="3">
        <v>4</v>
      </c>
      <c r="J95" s="4" t="str">
        <f>HYPERLINK("http://141.218.60.56/~jnz1568/getInfo.php?workbook=12_04.xlsx&amp;sheet=E0&amp;row=95&amp;col=10&amp;number=0&amp;sourceID=14","0")</f>
        <v>0</v>
      </c>
    </row>
    <row r="96" spans="1:10">
      <c r="A96" s="3">
        <v>12</v>
      </c>
      <c r="B96" s="3">
        <v>4</v>
      </c>
      <c r="C96" s="3">
        <v>93</v>
      </c>
      <c r="D96" s="3" t="s">
        <v>36</v>
      </c>
      <c r="E96" s="3" t="s">
        <v>23</v>
      </c>
      <c r="F96" s="3">
        <v>3</v>
      </c>
      <c r="G96" s="3">
        <v>2</v>
      </c>
      <c r="H96" s="3">
        <v>0</v>
      </c>
      <c r="I96" s="3">
        <v>2</v>
      </c>
      <c r="J96" s="4" t="str">
        <f>HYPERLINK("http://141.218.60.56/~jnz1568/getInfo.php?workbook=12_04.xlsx&amp;sheet=E0&amp;row=96&amp;col=10&amp;number=0&amp;sourceID=14","0")</f>
        <v>0</v>
      </c>
    </row>
    <row r="97" spans="1:10">
      <c r="A97" s="3">
        <v>12</v>
      </c>
      <c r="B97" s="3">
        <v>4</v>
      </c>
      <c r="C97" s="3">
        <v>94</v>
      </c>
      <c r="D97" s="3" t="s">
        <v>36</v>
      </c>
      <c r="E97" s="3" t="s">
        <v>23</v>
      </c>
      <c r="F97" s="3">
        <v>3</v>
      </c>
      <c r="G97" s="3">
        <v>2</v>
      </c>
      <c r="H97" s="3">
        <v>0</v>
      </c>
      <c r="I97" s="3">
        <v>1</v>
      </c>
      <c r="J97" s="4" t="str">
        <f>HYPERLINK("http://141.218.60.56/~jnz1568/getInfo.php?workbook=12_04.xlsx&amp;sheet=E0&amp;row=97&amp;col=10&amp;number=0&amp;sourceID=14","0")</f>
        <v>0</v>
      </c>
    </row>
    <row r="98" spans="1:10">
      <c r="A98" s="3">
        <v>12</v>
      </c>
      <c r="B98" s="3">
        <v>4</v>
      </c>
      <c r="C98" s="3">
        <v>95</v>
      </c>
      <c r="D98" s="3" t="s">
        <v>34</v>
      </c>
      <c r="E98" s="3" t="s">
        <v>13</v>
      </c>
      <c r="F98" s="3">
        <v>1</v>
      </c>
      <c r="G98" s="3">
        <v>0</v>
      </c>
      <c r="H98" s="3">
        <v>0</v>
      </c>
      <c r="I98" s="3">
        <v>0</v>
      </c>
      <c r="J98" s="4" t="str">
        <f>HYPERLINK("http://141.218.60.56/~jnz1568/getInfo.php?workbook=12_04.xlsx&amp;sheet=E0&amp;row=98&amp;col=10&amp;number=0&amp;sourceID=14","0")</f>
        <v>0</v>
      </c>
    </row>
    <row r="99" spans="1:10">
      <c r="A99" s="3">
        <v>12</v>
      </c>
      <c r="B99" s="3">
        <v>4</v>
      </c>
      <c r="C99" s="3">
        <v>96</v>
      </c>
      <c r="D99" s="3" t="s">
        <v>36</v>
      </c>
      <c r="E99" s="3" t="s">
        <v>18</v>
      </c>
      <c r="F99" s="3">
        <v>1</v>
      </c>
      <c r="G99" s="3">
        <v>2</v>
      </c>
      <c r="H99" s="3">
        <v>0</v>
      </c>
      <c r="I99" s="3">
        <v>2</v>
      </c>
      <c r="J99" s="4" t="str">
        <f>HYPERLINK("http://141.218.60.56/~jnz1568/getInfo.php?workbook=12_04.xlsx&amp;sheet=E0&amp;row=99&amp;col=10&amp;number=0&amp;sourceID=14","0")</f>
        <v>0</v>
      </c>
    </row>
    <row r="100" spans="1:10">
      <c r="A100" s="3">
        <v>12</v>
      </c>
      <c r="B100" s="3">
        <v>4</v>
      </c>
      <c r="C100" s="3">
        <v>97</v>
      </c>
      <c r="D100" s="3" t="s">
        <v>35</v>
      </c>
      <c r="E100" s="3" t="s">
        <v>28</v>
      </c>
      <c r="F100" s="3">
        <v>1</v>
      </c>
      <c r="G100" s="3">
        <v>3</v>
      </c>
      <c r="H100" s="3">
        <v>1</v>
      </c>
      <c r="I100" s="3">
        <v>3</v>
      </c>
      <c r="J100" s="4" t="str">
        <f>HYPERLINK("http://141.218.60.56/~jnz1568/getInfo.php?workbook=12_04.xlsx&amp;sheet=E0&amp;row=100&amp;col=10&amp;number=2256570&amp;sourceID=14","2256570")</f>
        <v>2256570</v>
      </c>
    </row>
    <row r="101" spans="1:10">
      <c r="A101" s="3">
        <v>12</v>
      </c>
      <c r="B101" s="3">
        <v>4</v>
      </c>
      <c r="C101" s="3">
        <v>98</v>
      </c>
      <c r="D101" s="3" t="s">
        <v>35</v>
      </c>
      <c r="E101" s="3" t="s">
        <v>16</v>
      </c>
      <c r="F101" s="3">
        <v>1</v>
      </c>
      <c r="G101" s="3">
        <v>1</v>
      </c>
      <c r="H101" s="3">
        <v>1</v>
      </c>
      <c r="I101" s="3">
        <v>1</v>
      </c>
      <c r="J101" s="4" t="str">
        <f>HYPERLINK("http://141.218.60.56/~jnz1568/getInfo.php?workbook=12_04.xlsx&amp;sheet=E0&amp;row=101&amp;col=10&amp;number=2258310&amp;sourceID=14","2258310")</f>
        <v>2258310</v>
      </c>
    </row>
    <row r="102" spans="1:10">
      <c r="A102" s="3">
        <v>12</v>
      </c>
      <c r="B102" s="3">
        <v>4</v>
      </c>
      <c r="C102" s="3">
        <v>99</v>
      </c>
      <c r="D102" s="3" t="s">
        <v>39</v>
      </c>
      <c r="E102" s="3" t="s">
        <v>20</v>
      </c>
      <c r="F102" s="3">
        <v>3</v>
      </c>
      <c r="G102" s="3">
        <v>0</v>
      </c>
      <c r="H102" s="3">
        <v>0</v>
      </c>
      <c r="I102" s="3">
        <v>1</v>
      </c>
      <c r="J102" s="4" t="str">
        <f>HYPERLINK("http://141.218.60.56/~jnz1568/getInfo.php?workbook=12_04.xlsx&amp;sheet=E0&amp;row=102&amp;col=10&amp;number=0&amp;sourceID=14","0")</f>
        <v>0</v>
      </c>
    </row>
    <row r="103" spans="1:10">
      <c r="A103" s="3">
        <v>12</v>
      </c>
      <c r="B103" s="3">
        <v>4</v>
      </c>
      <c r="C103" s="3">
        <v>100</v>
      </c>
      <c r="D103" s="3" t="s">
        <v>40</v>
      </c>
      <c r="E103" s="3" t="s">
        <v>15</v>
      </c>
      <c r="F103" s="3">
        <v>3</v>
      </c>
      <c r="G103" s="3">
        <v>1</v>
      </c>
      <c r="H103" s="3">
        <v>1</v>
      </c>
      <c r="I103" s="3">
        <v>0</v>
      </c>
      <c r="J103" s="4" t="str">
        <f>HYPERLINK("http://141.218.60.56/~jnz1568/getInfo.php?workbook=12_04.xlsx&amp;sheet=E0&amp;row=103&amp;col=10&amp;number=0&amp;sourceID=14","0")</f>
        <v>0</v>
      </c>
    </row>
    <row r="104" spans="1:10">
      <c r="A104" s="3">
        <v>12</v>
      </c>
      <c r="B104" s="3">
        <v>4</v>
      </c>
      <c r="C104" s="3">
        <v>101</v>
      </c>
      <c r="D104" s="3" t="s">
        <v>40</v>
      </c>
      <c r="E104" s="3" t="s">
        <v>15</v>
      </c>
      <c r="F104" s="3">
        <v>3</v>
      </c>
      <c r="G104" s="3">
        <v>1</v>
      </c>
      <c r="H104" s="3">
        <v>1</v>
      </c>
      <c r="I104" s="3">
        <v>1</v>
      </c>
      <c r="J104" s="4" t="str">
        <f>HYPERLINK("http://141.218.60.56/~jnz1568/getInfo.php?workbook=12_04.xlsx&amp;sheet=E0&amp;row=104&amp;col=10&amp;number=0&amp;sourceID=14","0")</f>
        <v>0</v>
      </c>
    </row>
    <row r="105" spans="1:10">
      <c r="A105" s="3">
        <v>12</v>
      </c>
      <c r="B105" s="3">
        <v>4</v>
      </c>
      <c r="C105" s="3">
        <v>102</v>
      </c>
      <c r="D105" s="3" t="s">
        <v>40</v>
      </c>
      <c r="E105" s="3" t="s">
        <v>15</v>
      </c>
      <c r="F105" s="3">
        <v>3</v>
      </c>
      <c r="G105" s="3">
        <v>1</v>
      </c>
      <c r="H105" s="3">
        <v>1</v>
      </c>
      <c r="I105" s="3">
        <v>2</v>
      </c>
      <c r="J105" s="4" t="str">
        <f>HYPERLINK("http://141.218.60.56/~jnz1568/getInfo.php?workbook=12_04.xlsx&amp;sheet=E0&amp;row=105&amp;col=10&amp;number=0&amp;sourceID=14","0")</f>
        <v>0</v>
      </c>
    </row>
    <row r="106" spans="1:10">
      <c r="A106" s="3">
        <v>12</v>
      </c>
      <c r="B106" s="3">
        <v>4</v>
      </c>
      <c r="C106" s="3">
        <v>103</v>
      </c>
      <c r="D106" s="3" t="s">
        <v>39</v>
      </c>
      <c r="E106" s="3" t="s">
        <v>13</v>
      </c>
      <c r="F106" s="3">
        <v>1</v>
      </c>
      <c r="G106" s="3">
        <v>0</v>
      </c>
      <c r="H106" s="3">
        <v>0</v>
      </c>
      <c r="I106" s="3">
        <v>0</v>
      </c>
      <c r="J106" s="4" t="str">
        <f>HYPERLINK("http://141.218.60.56/~jnz1568/getInfo.php?workbook=12_04.xlsx&amp;sheet=E0&amp;row=106&amp;col=10&amp;number=0&amp;sourceID=14","0")</f>
        <v>0</v>
      </c>
    </row>
    <row r="107" spans="1:10">
      <c r="A107" s="3">
        <v>12</v>
      </c>
      <c r="B107" s="3">
        <v>4</v>
      </c>
      <c r="C107" s="3">
        <v>104</v>
      </c>
      <c r="D107" s="3" t="s">
        <v>40</v>
      </c>
      <c r="E107" s="3" t="s">
        <v>16</v>
      </c>
      <c r="F107" s="3">
        <v>1</v>
      </c>
      <c r="G107" s="3">
        <v>1</v>
      </c>
      <c r="H107" s="3">
        <v>1</v>
      </c>
      <c r="I107" s="3">
        <v>1</v>
      </c>
      <c r="J107" s="4" t="str">
        <f>HYPERLINK("http://141.218.60.56/~jnz1568/getInfo.php?workbook=12_04.xlsx&amp;sheet=E0&amp;row=107&amp;col=10&amp;number=2280866&amp;sourceID=14","2280866")</f>
        <v>2280866</v>
      </c>
    </row>
    <row r="108" spans="1:10">
      <c r="A108" s="3">
        <v>12</v>
      </c>
      <c r="B108" s="3">
        <v>4</v>
      </c>
      <c r="C108" s="3">
        <v>105</v>
      </c>
      <c r="D108" s="3" t="s">
        <v>41</v>
      </c>
      <c r="E108" s="3" t="s">
        <v>23</v>
      </c>
      <c r="F108" s="3">
        <v>3</v>
      </c>
      <c r="G108" s="3">
        <v>2</v>
      </c>
      <c r="H108" s="3">
        <v>0</v>
      </c>
      <c r="I108" s="3">
        <v>1</v>
      </c>
      <c r="J108" s="4" t="str">
        <f>HYPERLINK("http://141.218.60.56/~jnz1568/getInfo.php?workbook=12_04.xlsx&amp;sheet=E0&amp;row=108&amp;col=10&amp;number=0&amp;sourceID=14","0")</f>
        <v>0</v>
      </c>
    </row>
    <row r="109" spans="1:10">
      <c r="A109" s="3">
        <v>12</v>
      </c>
      <c r="B109" s="3">
        <v>4</v>
      </c>
      <c r="C109" s="3">
        <v>106</v>
      </c>
      <c r="D109" s="3" t="s">
        <v>41</v>
      </c>
      <c r="E109" s="3" t="s">
        <v>23</v>
      </c>
      <c r="F109" s="3">
        <v>3</v>
      </c>
      <c r="G109" s="3">
        <v>2</v>
      </c>
      <c r="H109" s="3">
        <v>0</v>
      </c>
      <c r="I109" s="3">
        <v>2</v>
      </c>
      <c r="J109" s="4" t="str">
        <f>HYPERLINK("http://141.218.60.56/~jnz1568/getInfo.php?workbook=12_04.xlsx&amp;sheet=E0&amp;row=109&amp;col=10&amp;number=2284937&amp;sourceID=14","2284937")</f>
        <v>2284937</v>
      </c>
    </row>
    <row r="110" spans="1:10">
      <c r="A110" s="3">
        <v>12</v>
      </c>
      <c r="B110" s="3">
        <v>4</v>
      </c>
      <c r="C110" s="3">
        <v>107</v>
      </c>
      <c r="D110" s="3" t="s">
        <v>41</v>
      </c>
      <c r="E110" s="3" t="s">
        <v>23</v>
      </c>
      <c r="F110" s="3">
        <v>3</v>
      </c>
      <c r="G110" s="3">
        <v>2</v>
      </c>
      <c r="H110" s="3">
        <v>0</v>
      </c>
      <c r="I110" s="3">
        <v>3</v>
      </c>
      <c r="J110" s="4" t="str">
        <f>HYPERLINK("http://141.218.60.56/~jnz1568/getInfo.php?workbook=12_04.xlsx&amp;sheet=E0&amp;row=110&amp;col=10&amp;number=2284953&amp;sourceID=14","2284953")</f>
        <v>2284953</v>
      </c>
    </row>
    <row r="111" spans="1:10">
      <c r="A111" s="3">
        <v>12</v>
      </c>
      <c r="B111" s="3">
        <v>4</v>
      </c>
      <c r="C111" s="3">
        <v>108</v>
      </c>
      <c r="D111" s="3" t="s">
        <v>41</v>
      </c>
      <c r="E111" s="3" t="s">
        <v>18</v>
      </c>
      <c r="F111" s="3">
        <v>1</v>
      </c>
      <c r="G111" s="3">
        <v>2</v>
      </c>
      <c r="H111" s="3">
        <v>0</v>
      </c>
      <c r="I111" s="3">
        <v>2</v>
      </c>
      <c r="J111" s="4" t="str">
        <f>HYPERLINK("http://141.218.60.56/~jnz1568/getInfo.php?workbook=12_04.xlsx&amp;sheet=E0&amp;row=111&amp;col=10&amp;number=2288383&amp;sourceID=14","2288383")</f>
        <v>2288383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88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3.7109375" customWidth="1"/>
    <col min="5" max="5" width="12.7109375" customWidth="1"/>
    <col min="6" max="6" width="13.7109375" customWidth="1"/>
    <col min="7" max="7" width="10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12</v>
      </c>
      <c r="B4" s="3">
        <v>4</v>
      </c>
      <c r="C4" s="3">
        <v>3</v>
      </c>
      <c r="D4" s="3">
        <v>1</v>
      </c>
      <c r="E4" s="3">
        <v>706.061</v>
      </c>
      <c r="F4" s="4" t="str">
        <f>HYPERLINK("http://141.218.60.56/~jnz1568/getInfo.php?workbook=12_04.xlsx&amp;sheet=A0&amp;row=4&amp;col=6&amp;number=93200&amp;sourceID=14","93200")</f>
        <v>93200</v>
      </c>
      <c r="G4" s="4" t="str">
        <f>HYPERLINK("http://141.218.60.56/~jnz1568/getInfo.php?workbook=12_04.xlsx&amp;sheet=A0&amp;row=4&amp;col=7&amp;number=0&amp;sourceID=14","0")</f>
        <v>0</v>
      </c>
    </row>
    <row r="5" spans="1:7">
      <c r="A5" s="3">
        <v>12</v>
      </c>
      <c r="B5" s="3">
        <v>4</v>
      </c>
      <c r="C5" s="3">
        <v>4</v>
      </c>
      <c r="D5" s="3">
        <v>1</v>
      </c>
      <c r="E5" s="3">
        <v>694.007</v>
      </c>
      <c r="F5" s="4" t="str">
        <f>HYPERLINK("http://141.218.60.56/~jnz1568/getInfo.php?workbook=12_04.xlsx&amp;sheet=A0&amp;row=5&amp;col=6&amp;number=0.122&amp;sourceID=14","0.122")</f>
        <v>0.122</v>
      </c>
      <c r="G5" s="4" t="str">
        <f>HYPERLINK("http://141.218.60.56/~jnz1568/getInfo.php?workbook=12_04.xlsx&amp;sheet=A0&amp;row=5&amp;col=7&amp;number=0&amp;sourceID=14","0")</f>
        <v>0</v>
      </c>
    </row>
    <row r="6" spans="1:7">
      <c r="A6" s="3">
        <v>12</v>
      </c>
      <c r="B6" s="3">
        <v>4</v>
      </c>
      <c r="C6" s="3">
        <v>5</v>
      </c>
      <c r="D6" s="3">
        <v>1</v>
      </c>
      <c r="E6" s="3">
        <v>368.071</v>
      </c>
      <c r="F6" s="4" t="str">
        <f>HYPERLINK("http://141.218.60.56/~jnz1568/getInfo.php?workbook=12_04.xlsx&amp;sheet=A0&amp;row=6&amp;col=6&amp;number=5110000000&amp;sourceID=14","5110000000")</f>
        <v>5110000000</v>
      </c>
      <c r="G6" s="4" t="str">
        <f>HYPERLINK("http://141.218.60.56/~jnz1568/getInfo.php?workbook=12_04.xlsx&amp;sheet=A0&amp;row=6&amp;col=7&amp;number=0&amp;sourceID=14","0")</f>
        <v>0</v>
      </c>
    </row>
    <row r="7" spans="1:7">
      <c r="A7" s="3">
        <v>12</v>
      </c>
      <c r="B7" s="3">
        <v>4</v>
      </c>
      <c r="C7" s="3">
        <v>7</v>
      </c>
      <c r="D7" s="3">
        <v>1</v>
      </c>
      <c r="E7" s="3">
        <v>272.362</v>
      </c>
      <c r="F7" s="4" t="str">
        <f>HYPERLINK("http://141.218.60.56/~jnz1568/getInfo.php?workbook=12_04.xlsx&amp;sheet=A0&amp;row=7&amp;col=6&amp;number=5&amp;sourceID=14","5")</f>
        <v>5</v>
      </c>
      <c r="G7" s="4" t="str">
        <f>HYPERLINK("http://141.218.60.56/~jnz1568/getInfo.php?workbook=12_04.xlsx&amp;sheet=A0&amp;row=7&amp;col=7&amp;number=0&amp;sourceID=14","0")</f>
        <v>0</v>
      </c>
    </row>
    <row r="8" spans="1:7">
      <c r="A8" s="3">
        <v>12</v>
      </c>
      <c r="B8" s="3">
        <v>4</v>
      </c>
      <c r="C8" s="3">
        <v>8</v>
      </c>
      <c r="D8" s="3">
        <v>1</v>
      </c>
      <c r="E8" s="3">
        <v>270.761</v>
      </c>
      <c r="F8" s="4" t="str">
        <f>HYPERLINK("http://141.218.60.56/~jnz1568/getInfo.php?workbook=12_04.xlsx&amp;sheet=A0&amp;row=8&amp;col=6&amp;number=5.68&amp;sourceID=14","5.68")</f>
        <v>5.68</v>
      </c>
      <c r="G8" s="4" t="str">
        <f>HYPERLINK("http://141.218.60.56/~jnz1568/getInfo.php?workbook=12_04.xlsx&amp;sheet=A0&amp;row=8&amp;col=7&amp;number=0&amp;sourceID=14","0")</f>
        <v>0</v>
      </c>
    </row>
    <row r="9" spans="1:7">
      <c r="A9" s="3">
        <v>12</v>
      </c>
      <c r="B9" s="3">
        <v>4</v>
      </c>
      <c r="C9" s="3">
        <v>9</v>
      </c>
      <c r="D9" s="3">
        <v>1</v>
      </c>
      <c r="E9" s="3">
        <v>246.853</v>
      </c>
      <c r="F9" s="4" t="str">
        <f>HYPERLINK("http://141.218.60.56/~jnz1568/getInfo.php?workbook=12_04.xlsx&amp;sheet=A0&amp;row=9&amp;col=6&amp;number=3980&amp;sourceID=14","3980")</f>
        <v>3980</v>
      </c>
      <c r="G9" s="4" t="str">
        <f>HYPERLINK("http://141.218.60.56/~jnz1568/getInfo.php?workbook=12_04.xlsx&amp;sheet=A0&amp;row=9&amp;col=7&amp;number=0&amp;sourceID=14","0")</f>
        <v>0</v>
      </c>
    </row>
    <row r="10" spans="1:7">
      <c r="A10" s="3">
        <v>12</v>
      </c>
      <c r="B10" s="3">
        <v>4</v>
      </c>
      <c r="C10" s="3">
        <v>11</v>
      </c>
      <c r="D10" s="3">
        <v>1</v>
      </c>
      <c r="E10" s="3">
        <v>65.255</v>
      </c>
      <c r="F10" s="4" t="str">
        <f>HYPERLINK("http://141.218.60.56/~jnz1568/getInfo.php?workbook=12_04.xlsx&amp;sheet=A0&amp;row=10&amp;col=6&amp;number=13.4&amp;sourceID=14","13.4")</f>
        <v>13.4</v>
      </c>
      <c r="G10" s="4" t="str">
        <f>HYPERLINK("http://141.218.60.56/~jnz1568/getInfo.php?workbook=12_04.xlsx&amp;sheet=A0&amp;row=10&amp;col=7&amp;number=0&amp;sourceID=14","0")</f>
        <v>0</v>
      </c>
    </row>
    <row r="11" spans="1:7">
      <c r="A11" s="3">
        <v>12</v>
      </c>
      <c r="B11" s="3">
        <v>4</v>
      </c>
      <c r="C11" s="3">
        <v>13</v>
      </c>
      <c r="D11" s="3">
        <v>1</v>
      </c>
      <c r="E11" s="3">
        <v>62.751</v>
      </c>
      <c r="F11" s="4" t="str">
        <f>HYPERLINK("http://141.218.60.56/~jnz1568/getInfo.php?workbook=12_04.xlsx&amp;sheet=A0&amp;row=11&amp;col=6&amp;number=292000000000&amp;sourceID=14","292000000000")</f>
        <v>292000000000</v>
      </c>
      <c r="G11" s="4" t="str">
        <f>HYPERLINK("http://141.218.60.56/~jnz1568/getInfo.php?workbook=12_04.xlsx&amp;sheet=A0&amp;row=11&amp;col=7&amp;number=0&amp;sourceID=14","0")</f>
        <v>0</v>
      </c>
    </row>
    <row r="12" spans="1:7">
      <c r="A12" s="3">
        <v>12</v>
      </c>
      <c r="B12" s="3">
        <v>4</v>
      </c>
      <c r="C12" s="3">
        <v>15</v>
      </c>
      <c r="D12" s="3">
        <v>1</v>
      </c>
      <c r="E12" s="3">
        <v>62.598</v>
      </c>
      <c r="F12" s="4" t="str">
        <f>HYPERLINK("http://141.218.60.56/~jnz1568/getInfo.php?workbook=12_04.xlsx&amp;sheet=A0&amp;row=12&amp;col=6&amp;number=7020000000&amp;sourceID=14","7020000000")</f>
        <v>7020000000</v>
      </c>
      <c r="G12" s="4" t="str">
        <f>HYPERLINK("http://141.218.60.56/~jnz1568/getInfo.php?workbook=12_04.xlsx&amp;sheet=A0&amp;row=12&amp;col=7&amp;number=0&amp;sourceID=14","0")</f>
        <v>0</v>
      </c>
    </row>
    <row r="13" spans="1:7">
      <c r="A13" s="3">
        <v>12</v>
      </c>
      <c r="B13" s="3">
        <v>4</v>
      </c>
      <c r="C13" s="3">
        <v>16</v>
      </c>
      <c r="D13" s="3">
        <v>1</v>
      </c>
      <c r="E13" s="3">
        <v>62.598</v>
      </c>
      <c r="F13" s="4" t="str">
        <f>HYPERLINK("http://141.218.60.56/~jnz1568/getInfo.php?workbook=12_04.xlsx&amp;sheet=A0&amp;row=13&amp;col=6&amp;number=3630&amp;sourceID=14","3630")</f>
        <v>3630</v>
      </c>
      <c r="G13" s="4" t="str">
        <f>HYPERLINK("http://141.218.60.56/~jnz1568/getInfo.php?workbook=12_04.xlsx&amp;sheet=A0&amp;row=13&amp;col=7&amp;number=0&amp;sourceID=14","0")</f>
        <v>0</v>
      </c>
    </row>
    <row r="14" spans="1:7">
      <c r="A14" s="3">
        <v>12</v>
      </c>
      <c r="B14" s="3">
        <v>4</v>
      </c>
      <c r="C14" s="3">
        <v>17</v>
      </c>
      <c r="D14" s="3">
        <v>1</v>
      </c>
      <c r="E14" s="3">
        <v>61.311</v>
      </c>
      <c r="F14" s="4" t="str">
        <f>HYPERLINK("http://141.218.60.56/~jnz1568/getInfo.php?workbook=12_04.xlsx&amp;sheet=A0&amp;row=14&amp;col=6&amp;number=1.9&amp;sourceID=14","1.9")</f>
        <v>1.9</v>
      </c>
      <c r="G14" s="4" t="str">
        <f>HYPERLINK("http://141.218.60.56/~jnz1568/getInfo.php?workbook=12_04.xlsx&amp;sheet=A0&amp;row=14&amp;col=7&amp;number=0&amp;sourceID=14","0")</f>
        <v>0</v>
      </c>
    </row>
    <row r="15" spans="1:7">
      <c r="A15" s="3">
        <v>12</v>
      </c>
      <c r="B15" s="3">
        <v>4</v>
      </c>
      <c r="C15" s="3">
        <v>18</v>
      </c>
      <c r="D15" s="3">
        <v>1</v>
      </c>
      <c r="E15" s="3">
        <v>61.306</v>
      </c>
      <c r="F15" s="4" t="str">
        <f>HYPERLINK("http://141.218.60.56/~jnz1568/getInfo.php?workbook=12_04.xlsx&amp;sheet=A0&amp;row=15&amp;col=6&amp;number=2340&amp;sourceID=14","2340")</f>
        <v>2340</v>
      </c>
      <c r="G15" s="4" t="str">
        <f>HYPERLINK("http://141.218.60.56/~jnz1568/getInfo.php?workbook=12_04.xlsx&amp;sheet=A0&amp;row=15&amp;col=7&amp;number=0&amp;sourceID=14","0")</f>
        <v>0</v>
      </c>
    </row>
    <row r="16" spans="1:7">
      <c r="A16" s="3">
        <v>12</v>
      </c>
      <c r="B16" s="3">
        <v>4</v>
      </c>
      <c r="C16" s="3">
        <v>19</v>
      </c>
      <c r="D16" s="3">
        <v>1</v>
      </c>
      <c r="E16" s="3">
        <v>61.3</v>
      </c>
      <c r="F16" s="4" t="str">
        <f>HYPERLINK("http://141.218.60.56/~jnz1568/getInfo.php?workbook=12_04.xlsx&amp;sheet=A0&amp;row=16&amp;col=6&amp;number=1.63&amp;sourceID=14","1.63")</f>
        <v>1.63</v>
      </c>
      <c r="G16" s="4" t="str">
        <f>HYPERLINK("http://141.218.60.56/~jnz1568/getInfo.php?workbook=12_04.xlsx&amp;sheet=A0&amp;row=16&amp;col=7&amp;number=0&amp;sourceID=14","0")</f>
        <v>0</v>
      </c>
    </row>
    <row r="17" spans="1:7">
      <c r="A17" s="3">
        <v>12</v>
      </c>
      <c r="B17" s="3">
        <v>4</v>
      </c>
      <c r="C17" s="3">
        <v>20</v>
      </c>
      <c r="D17" s="3">
        <v>1</v>
      </c>
      <c r="E17" s="3">
        <v>60.438</v>
      </c>
      <c r="F17" s="4" t="str">
        <f>HYPERLINK("http://141.218.60.56/~jnz1568/getInfo.php?workbook=12_04.xlsx&amp;sheet=A0&amp;row=17&amp;col=6&amp;number=113000000&amp;sourceID=14","113000000")</f>
        <v>113000000</v>
      </c>
      <c r="G17" s="4" t="str">
        <f>HYPERLINK("http://141.218.60.56/~jnz1568/getInfo.php?workbook=12_04.xlsx&amp;sheet=A0&amp;row=17&amp;col=7&amp;number=0&amp;sourceID=14","0")</f>
        <v>0</v>
      </c>
    </row>
    <row r="18" spans="1:7">
      <c r="A18" s="3">
        <v>12</v>
      </c>
      <c r="B18" s="3">
        <v>4</v>
      </c>
      <c r="C18" s="3">
        <v>22</v>
      </c>
      <c r="D18" s="3">
        <v>1</v>
      </c>
      <c r="E18" s="3">
        <v>58.437</v>
      </c>
      <c r="F18" s="4" t="str">
        <f>HYPERLINK("http://141.218.60.56/~jnz1568/getInfo.php?workbook=12_04.xlsx&amp;sheet=A0&amp;row=18&amp;col=6&amp;number=81900000&amp;sourceID=14","81900000")</f>
        <v>81900000</v>
      </c>
      <c r="G18" s="4" t="str">
        <f>HYPERLINK("http://141.218.60.56/~jnz1568/getInfo.php?workbook=12_04.xlsx&amp;sheet=A0&amp;row=18&amp;col=7&amp;number=0&amp;sourceID=14","0")</f>
        <v>0</v>
      </c>
    </row>
    <row r="19" spans="1:7">
      <c r="A19" s="3">
        <v>12</v>
      </c>
      <c r="B19" s="3">
        <v>4</v>
      </c>
      <c r="C19" s="3">
        <v>23</v>
      </c>
      <c r="D19" s="3">
        <v>1</v>
      </c>
      <c r="E19" s="3">
        <v>58.347</v>
      </c>
      <c r="F19" s="4" t="str">
        <f>HYPERLINK("http://141.218.60.56/~jnz1568/getInfo.php?workbook=12_04.xlsx&amp;sheet=A0&amp;row=19&amp;col=6&amp;number=2.31&amp;sourceID=14","2.31")</f>
        <v>2.31</v>
      </c>
      <c r="G19" s="4" t="str">
        <f>HYPERLINK("http://141.218.60.56/~jnz1568/getInfo.php?workbook=12_04.xlsx&amp;sheet=A0&amp;row=19&amp;col=7&amp;number=0&amp;sourceID=14","0")</f>
        <v>0</v>
      </c>
    </row>
    <row r="20" spans="1:7">
      <c r="A20" s="3">
        <v>12</v>
      </c>
      <c r="B20" s="3">
        <v>4</v>
      </c>
      <c r="C20" s="3">
        <v>24</v>
      </c>
      <c r="D20" s="3">
        <v>1</v>
      </c>
      <c r="E20" s="3">
        <v>57.371</v>
      </c>
      <c r="F20" s="4" t="str">
        <f>HYPERLINK("http://141.218.60.56/~jnz1568/getInfo.php?workbook=12_04.xlsx&amp;sheet=A0&amp;row=20&amp;col=6&amp;number=11800000000&amp;sourceID=14","11800000000")</f>
        <v>11800000000</v>
      </c>
      <c r="G20" s="4" t="str">
        <f>HYPERLINK("http://141.218.60.56/~jnz1568/getInfo.php?workbook=12_04.xlsx&amp;sheet=A0&amp;row=20&amp;col=7&amp;number=0&amp;sourceID=14","0")</f>
        <v>0</v>
      </c>
    </row>
    <row r="21" spans="1:7">
      <c r="A21" s="3">
        <v>12</v>
      </c>
      <c r="B21" s="3">
        <v>4</v>
      </c>
      <c r="C21" s="3">
        <v>25</v>
      </c>
      <c r="D21" s="3">
        <v>1</v>
      </c>
      <c r="E21" s="3">
        <v>57.204</v>
      </c>
      <c r="F21" s="4" t="str">
        <f>HYPERLINK("http://141.218.60.56/~jnz1568/getInfo.php?workbook=12_04.xlsx&amp;sheet=A0&amp;row=21&amp;col=6&amp;number=2.52&amp;sourceID=14","2.52")</f>
        <v>2.52</v>
      </c>
      <c r="G21" s="4" t="str">
        <f>HYPERLINK("http://141.218.60.56/~jnz1568/getInfo.php?workbook=12_04.xlsx&amp;sheet=A0&amp;row=21&amp;col=7&amp;number=0&amp;sourceID=14","0")</f>
        <v>0</v>
      </c>
    </row>
    <row r="22" spans="1:7">
      <c r="A22" s="3">
        <v>12</v>
      </c>
      <c r="B22" s="3">
        <v>4</v>
      </c>
      <c r="C22" s="3">
        <v>26</v>
      </c>
      <c r="D22" s="3">
        <v>1</v>
      </c>
      <c r="E22" s="3">
        <v>56.965</v>
      </c>
      <c r="F22" s="4" t="str">
        <f>HYPERLINK("http://141.218.60.56/~jnz1568/getInfo.php?workbook=12_04.xlsx&amp;sheet=A0&amp;row=22&amp;col=6&amp;number=0.00539&amp;sourceID=14","0.00539")</f>
        <v>0.00539</v>
      </c>
      <c r="G22" s="4" t="str">
        <f>HYPERLINK("http://141.218.60.56/~jnz1568/getInfo.php?workbook=12_04.xlsx&amp;sheet=A0&amp;row=22&amp;col=7&amp;number=0&amp;sourceID=14","0")</f>
        <v>0</v>
      </c>
    </row>
    <row r="23" spans="1:7">
      <c r="A23" s="3">
        <v>12</v>
      </c>
      <c r="B23" s="3">
        <v>4</v>
      </c>
      <c r="C23" s="3">
        <v>27</v>
      </c>
      <c r="D23" s="3">
        <v>1</v>
      </c>
      <c r="E23" s="3">
        <v>56.932</v>
      </c>
      <c r="F23" s="4" t="str">
        <f>HYPERLINK("http://141.218.60.56/~jnz1568/getInfo.php?workbook=12_04.xlsx&amp;sheet=A0&amp;row=23&amp;col=6&amp;number=616&amp;sourceID=14","616")</f>
        <v>616</v>
      </c>
      <c r="G23" s="4" t="str">
        <f>HYPERLINK("http://141.218.60.56/~jnz1568/getInfo.php?workbook=12_04.xlsx&amp;sheet=A0&amp;row=23&amp;col=7&amp;number=0&amp;sourceID=14","0")</f>
        <v>0</v>
      </c>
    </row>
    <row r="24" spans="1:7">
      <c r="A24" s="3">
        <v>12</v>
      </c>
      <c r="B24" s="3">
        <v>4</v>
      </c>
      <c r="C24" s="3">
        <v>28</v>
      </c>
      <c r="D24" s="3">
        <v>1</v>
      </c>
      <c r="E24" s="3">
        <v>56.852</v>
      </c>
      <c r="F24" s="4" t="str">
        <f>HYPERLINK("http://141.218.60.56/~jnz1568/getInfo.php?workbook=12_04.xlsx&amp;sheet=A0&amp;row=24&amp;col=6&amp;number=0.00728&amp;sourceID=14","0.00728")</f>
        <v>0.00728</v>
      </c>
      <c r="G24" s="4" t="str">
        <f>HYPERLINK("http://141.218.60.56/~jnz1568/getInfo.php?workbook=12_04.xlsx&amp;sheet=A0&amp;row=24&amp;col=7&amp;number=0&amp;sourceID=14","0")</f>
        <v>0</v>
      </c>
    </row>
    <row r="25" spans="1:7">
      <c r="A25" s="3">
        <v>12</v>
      </c>
      <c r="B25" s="3">
        <v>4</v>
      </c>
      <c r="C25" s="3">
        <v>29</v>
      </c>
      <c r="D25" s="3">
        <v>1</v>
      </c>
      <c r="E25" s="3">
        <v>56.485</v>
      </c>
      <c r="F25" s="4" t="str">
        <f>HYPERLINK("http://141.218.60.56/~jnz1568/getInfo.php?workbook=12_04.xlsx&amp;sheet=A0&amp;row=25&amp;col=6&amp;number=0.074&amp;sourceID=14","0.074")</f>
        <v>0.074</v>
      </c>
      <c r="G25" s="4" t="str">
        <f>HYPERLINK("http://141.218.60.56/~jnz1568/getInfo.php?workbook=12_04.xlsx&amp;sheet=A0&amp;row=25&amp;col=7&amp;number=0&amp;sourceID=14","0")</f>
        <v>0</v>
      </c>
    </row>
    <row r="26" spans="1:7">
      <c r="A26" s="3">
        <v>12</v>
      </c>
      <c r="B26" s="3">
        <v>4</v>
      </c>
      <c r="C26" s="3">
        <v>31</v>
      </c>
      <c r="D26" s="3">
        <v>1</v>
      </c>
      <c r="E26" s="3">
        <v>56.221</v>
      </c>
      <c r="F26" s="4" t="str">
        <f>HYPERLINK("http://141.218.60.56/~jnz1568/getInfo.php?workbook=12_04.xlsx&amp;sheet=A0&amp;row=26&amp;col=6&amp;number=2.61&amp;sourceID=14","2.61")</f>
        <v>2.61</v>
      </c>
      <c r="G26" s="4" t="str">
        <f>HYPERLINK("http://141.218.60.56/~jnz1568/getInfo.php?workbook=12_04.xlsx&amp;sheet=A0&amp;row=26&amp;col=7&amp;number=0&amp;sourceID=14","0")</f>
        <v>0</v>
      </c>
    </row>
    <row r="27" spans="1:7">
      <c r="A27" s="3">
        <v>12</v>
      </c>
      <c r="B27" s="3">
        <v>4</v>
      </c>
      <c r="C27" s="3">
        <v>32</v>
      </c>
      <c r="D27" s="3">
        <v>1</v>
      </c>
      <c r="E27" s="3">
        <v>56.18</v>
      </c>
      <c r="F27" s="4" t="str">
        <f>HYPERLINK("http://141.218.60.56/~jnz1568/getInfo.php?workbook=12_04.xlsx&amp;sheet=A0&amp;row=27&amp;col=6&amp;number=2060&amp;sourceID=14","2060")</f>
        <v>2060</v>
      </c>
      <c r="G27" s="4" t="str">
        <f>HYPERLINK("http://141.218.60.56/~jnz1568/getInfo.php?workbook=12_04.xlsx&amp;sheet=A0&amp;row=27&amp;col=7&amp;number=0&amp;sourceID=14","0")</f>
        <v>0</v>
      </c>
    </row>
    <row r="28" spans="1:7">
      <c r="A28" s="3">
        <v>12</v>
      </c>
      <c r="B28" s="3">
        <v>4</v>
      </c>
      <c r="C28" s="3">
        <v>33</v>
      </c>
      <c r="D28" s="3">
        <v>1</v>
      </c>
      <c r="E28" s="3">
        <v>-55.99</v>
      </c>
      <c r="F28" s="4" t="str">
        <f>HYPERLINK("http://141.218.60.56/~jnz1568/getInfo.php?workbook=12_04.xlsx&amp;sheet=A0&amp;row=28&amp;col=6&amp;number=71.6&amp;sourceID=14","71.6")</f>
        <v>71.6</v>
      </c>
      <c r="G28" s="4" t="str">
        <f>HYPERLINK("http://141.218.60.56/~jnz1568/getInfo.php?workbook=12_04.xlsx&amp;sheet=A0&amp;row=28&amp;col=7&amp;number=0&amp;sourceID=14","0")</f>
        <v>0</v>
      </c>
    </row>
    <row r="29" spans="1:7">
      <c r="A29" s="3">
        <v>12</v>
      </c>
      <c r="B29" s="3">
        <v>4</v>
      </c>
      <c r="C29" s="3">
        <v>34</v>
      </c>
      <c r="D29" s="3">
        <v>1</v>
      </c>
      <c r="E29" s="3">
        <v>-55.925</v>
      </c>
      <c r="F29" s="4" t="str">
        <f>HYPERLINK("http://141.218.60.56/~jnz1568/getInfo.php?workbook=12_04.xlsx&amp;sheet=A0&amp;row=29&amp;col=6&amp;number=0.417&amp;sourceID=14","0.417")</f>
        <v>0.417</v>
      </c>
      <c r="G29" s="4" t="str">
        <f>HYPERLINK("http://141.218.60.56/~jnz1568/getInfo.php?workbook=12_04.xlsx&amp;sheet=A0&amp;row=29&amp;col=7&amp;number=0&amp;sourceID=14","0")</f>
        <v>0</v>
      </c>
    </row>
    <row r="30" spans="1:7">
      <c r="A30" s="3">
        <v>12</v>
      </c>
      <c r="B30" s="3">
        <v>4</v>
      </c>
      <c r="C30" s="3">
        <v>35</v>
      </c>
      <c r="D30" s="3">
        <v>1</v>
      </c>
      <c r="E30" s="3">
        <v>55.877</v>
      </c>
      <c r="F30" s="4" t="str">
        <f>HYPERLINK("http://141.218.60.56/~jnz1568/getInfo.php?workbook=12_04.xlsx&amp;sheet=A0&amp;row=30&amp;col=6&amp;number=251&amp;sourceID=14","251")</f>
        <v>251</v>
      </c>
      <c r="G30" s="4" t="str">
        <f>HYPERLINK("http://141.218.60.56/~jnz1568/getInfo.php?workbook=12_04.xlsx&amp;sheet=A0&amp;row=30&amp;col=7&amp;number=0&amp;sourceID=14","0")</f>
        <v>0</v>
      </c>
    </row>
    <row r="31" spans="1:7">
      <c r="A31" s="3">
        <v>12</v>
      </c>
      <c r="B31" s="3">
        <v>4</v>
      </c>
      <c r="C31" s="3">
        <v>36</v>
      </c>
      <c r="D31" s="3">
        <v>1</v>
      </c>
      <c r="E31" s="3">
        <v>-55.863</v>
      </c>
      <c r="F31" s="4" t="str">
        <f>HYPERLINK("http://141.218.60.56/~jnz1568/getInfo.php?workbook=12_04.xlsx&amp;sheet=A0&amp;row=31&amp;col=6&amp;number=6.48e-06&amp;sourceID=14","6.48e-06")</f>
        <v>6.48e-06</v>
      </c>
      <c r="G31" s="4" t="str">
        <f>HYPERLINK("http://141.218.60.56/~jnz1568/getInfo.php?workbook=12_04.xlsx&amp;sheet=A0&amp;row=31&amp;col=7&amp;number=0&amp;sourceID=14","0")</f>
        <v>0</v>
      </c>
    </row>
    <row r="32" spans="1:7">
      <c r="A32" s="3">
        <v>12</v>
      </c>
      <c r="B32" s="3">
        <v>4</v>
      </c>
      <c r="C32" s="3">
        <v>37</v>
      </c>
      <c r="D32" s="3">
        <v>1</v>
      </c>
      <c r="E32" s="3">
        <v>55.683</v>
      </c>
      <c r="F32" s="4" t="str">
        <f>HYPERLINK("http://141.218.60.56/~jnz1568/getInfo.php?workbook=12_04.xlsx&amp;sheet=A0&amp;row=32&amp;col=6&amp;number=327000&amp;sourceID=14","327000")</f>
        <v>327000</v>
      </c>
      <c r="G32" s="4" t="str">
        <f>HYPERLINK("http://141.218.60.56/~jnz1568/getInfo.php?workbook=12_04.xlsx&amp;sheet=A0&amp;row=32&amp;col=7&amp;number=0&amp;sourceID=14","0")</f>
        <v>0</v>
      </c>
    </row>
    <row r="33" spans="1:7">
      <c r="A33" s="3">
        <v>12</v>
      </c>
      <c r="B33" s="3">
        <v>4</v>
      </c>
      <c r="C33" s="3">
        <v>38</v>
      </c>
      <c r="D33" s="3">
        <v>1</v>
      </c>
      <c r="E33" s="3">
        <v>55.331</v>
      </c>
      <c r="F33" s="4" t="str">
        <f>HYPERLINK("http://141.218.60.56/~jnz1568/getInfo.php?workbook=12_04.xlsx&amp;sheet=A0&amp;row=33&amp;col=6&amp;number=66400000&amp;sourceID=14","66400000")</f>
        <v>66400000</v>
      </c>
      <c r="G33" s="4" t="str">
        <f>HYPERLINK("http://141.218.60.56/~jnz1568/getInfo.php?workbook=12_04.xlsx&amp;sheet=A0&amp;row=33&amp;col=7&amp;number=0&amp;sourceID=14","0")</f>
        <v>0</v>
      </c>
    </row>
    <row r="34" spans="1:7">
      <c r="A34" s="3">
        <v>12</v>
      </c>
      <c r="B34" s="3">
        <v>4</v>
      </c>
      <c r="C34" s="3">
        <v>39</v>
      </c>
      <c r="D34" s="3">
        <v>1</v>
      </c>
      <c r="E34" s="3">
        <v>55.314</v>
      </c>
      <c r="F34" s="4" t="str">
        <f>HYPERLINK("http://141.218.60.56/~jnz1568/getInfo.php?workbook=12_04.xlsx&amp;sheet=A0&amp;row=34&amp;col=6&amp;number=16.5&amp;sourceID=14","16.5")</f>
        <v>16.5</v>
      </c>
      <c r="G34" s="4" t="str">
        <f>HYPERLINK("http://141.218.60.56/~jnz1568/getInfo.php?workbook=12_04.xlsx&amp;sheet=A0&amp;row=34&amp;col=7&amp;number=0&amp;sourceID=14","0")</f>
        <v>0</v>
      </c>
    </row>
    <row r="35" spans="1:7">
      <c r="A35" s="3">
        <v>12</v>
      </c>
      <c r="B35" s="3">
        <v>4</v>
      </c>
      <c r="C35" s="3">
        <v>40</v>
      </c>
      <c r="D35" s="3">
        <v>1</v>
      </c>
      <c r="E35" s="3">
        <v>55.283</v>
      </c>
      <c r="F35" s="4" t="str">
        <f>HYPERLINK("http://141.218.60.56/~jnz1568/getInfo.php?workbook=12_04.xlsx&amp;sheet=A0&amp;row=35&amp;col=6&amp;number=0.57&amp;sourceID=14","0.57")</f>
        <v>0.57</v>
      </c>
      <c r="G35" s="4" t="str">
        <f>HYPERLINK("http://141.218.60.56/~jnz1568/getInfo.php?workbook=12_04.xlsx&amp;sheet=A0&amp;row=35&amp;col=7&amp;number=0&amp;sourceID=14","0")</f>
        <v>0</v>
      </c>
    </row>
    <row r="36" spans="1:7">
      <c r="A36" s="3">
        <v>12</v>
      </c>
      <c r="B36" s="3">
        <v>4</v>
      </c>
      <c r="C36" s="3">
        <v>41</v>
      </c>
      <c r="D36" s="3">
        <v>1</v>
      </c>
      <c r="E36" s="3">
        <v>55.09</v>
      </c>
      <c r="F36" s="4" t="str">
        <f>HYPERLINK("http://141.218.60.56/~jnz1568/getInfo.php?workbook=12_04.xlsx&amp;sheet=A0&amp;row=36&amp;col=6&amp;number=422&amp;sourceID=14","422")</f>
        <v>422</v>
      </c>
      <c r="G36" s="4" t="str">
        <f>HYPERLINK("http://141.218.60.56/~jnz1568/getInfo.php?workbook=12_04.xlsx&amp;sheet=A0&amp;row=36&amp;col=7&amp;number=0&amp;sourceID=14","0")</f>
        <v>0</v>
      </c>
    </row>
    <row r="37" spans="1:7">
      <c r="A37" s="3">
        <v>12</v>
      </c>
      <c r="B37" s="3">
        <v>4</v>
      </c>
      <c r="C37" s="3">
        <v>42</v>
      </c>
      <c r="D37" s="3">
        <v>1</v>
      </c>
      <c r="E37" s="3">
        <v>55.06</v>
      </c>
      <c r="F37" s="4" t="str">
        <f>HYPERLINK("http://141.218.60.56/~jnz1568/getInfo.php?workbook=12_04.xlsx&amp;sheet=A0&amp;row=37&amp;col=6&amp;number=21900000&amp;sourceID=14","21900000")</f>
        <v>21900000</v>
      </c>
      <c r="G37" s="4" t="str">
        <f>HYPERLINK("http://141.218.60.56/~jnz1568/getInfo.php?workbook=12_04.xlsx&amp;sheet=A0&amp;row=37&amp;col=7&amp;number=0&amp;sourceID=14","0")</f>
        <v>0</v>
      </c>
    </row>
    <row r="38" spans="1:7">
      <c r="A38" s="3">
        <v>12</v>
      </c>
      <c r="B38" s="3">
        <v>4</v>
      </c>
      <c r="C38" s="3">
        <v>45</v>
      </c>
      <c r="D38" s="3">
        <v>1</v>
      </c>
      <c r="E38" s="3">
        <v>54.505</v>
      </c>
      <c r="F38" s="4" t="str">
        <f>HYPERLINK("http://141.218.60.56/~jnz1568/getInfo.php?workbook=12_04.xlsx&amp;sheet=A0&amp;row=38&amp;col=6&amp;number=485&amp;sourceID=14","485")</f>
        <v>485</v>
      </c>
      <c r="G38" s="4" t="str">
        <f>HYPERLINK("http://141.218.60.56/~jnz1568/getInfo.php?workbook=12_04.xlsx&amp;sheet=A0&amp;row=38&amp;col=7&amp;number=0&amp;sourceID=14","0")</f>
        <v>0</v>
      </c>
    </row>
    <row r="39" spans="1:7">
      <c r="A39" s="3">
        <v>12</v>
      </c>
      <c r="B39" s="3">
        <v>4</v>
      </c>
      <c r="C39" s="3">
        <v>46</v>
      </c>
      <c r="D39" s="3">
        <v>1</v>
      </c>
      <c r="E39" s="3">
        <v>54.302</v>
      </c>
      <c r="F39" s="4" t="str">
        <f>HYPERLINK("http://141.218.60.56/~jnz1568/getInfo.php?workbook=12_04.xlsx&amp;sheet=A0&amp;row=39&amp;col=6&amp;number=21000000000&amp;sourceID=14","21000000000")</f>
        <v>21000000000</v>
      </c>
      <c r="G39" s="4" t="str">
        <f>HYPERLINK("http://141.218.60.56/~jnz1568/getInfo.php?workbook=12_04.xlsx&amp;sheet=A0&amp;row=39&amp;col=7&amp;number=0&amp;sourceID=14","0")</f>
        <v>0</v>
      </c>
    </row>
    <row r="40" spans="1:7">
      <c r="A40" s="3">
        <v>12</v>
      </c>
      <c r="B40" s="3">
        <v>4</v>
      </c>
      <c r="C40" s="3">
        <v>47</v>
      </c>
      <c r="D40" s="3">
        <v>1</v>
      </c>
      <c r="E40" s="3">
        <v>-49.015</v>
      </c>
      <c r="F40" s="4" t="str">
        <f>HYPERLINK("http://141.218.60.56/~jnz1568/getInfo.php?workbook=12_04.xlsx&amp;sheet=A0&amp;row=40&amp;col=6&amp;number=9.37&amp;sourceID=14","9.37")</f>
        <v>9.37</v>
      </c>
      <c r="G40" s="4" t="str">
        <f>HYPERLINK("http://141.218.60.56/~jnz1568/getInfo.php?workbook=12_04.xlsx&amp;sheet=A0&amp;row=40&amp;col=7&amp;number=0&amp;sourceID=14","0")</f>
        <v>0</v>
      </c>
    </row>
    <row r="41" spans="1:7">
      <c r="A41" s="3">
        <v>12</v>
      </c>
      <c r="B41" s="3">
        <v>4</v>
      </c>
      <c r="C41" s="3">
        <v>50</v>
      </c>
      <c r="D41" s="3">
        <v>1</v>
      </c>
      <c r="E41" s="3">
        <v>-48.428</v>
      </c>
      <c r="F41" s="4" t="str">
        <f>HYPERLINK("http://141.218.60.56/~jnz1568/getInfo.php?workbook=12_04.xlsx&amp;sheet=A0&amp;row=41&amp;col=6&amp;number=479000000&amp;sourceID=14","479000000")</f>
        <v>479000000</v>
      </c>
      <c r="G41" s="4" t="str">
        <f>HYPERLINK("http://141.218.60.56/~jnz1568/getInfo.php?workbook=12_04.xlsx&amp;sheet=A0&amp;row=41&amp;col=7&amp;number=0&amp;sourceID=14","0")</f>
        <v>0</v>
      </c>
    </row>
    <row r="42" spans="1:7">
      <c r="A42" s="3">
        <v>12</v>
      </c>
      <c r="B42" s="3">
        <v>4</v>
      </c>
      <c r="C42" s="3">
        <v>51</v>
      </c>
      <c r="D42" s="3">
        <v>1</v>
      </c>
      <c r="E42" s="3">
        <v>-48.422</v>
      </c>
      <c r="F42" s="4" t="str">
        <f>HYPERLINK("http://141.218.60.56/~jnz1568/getInfo.php?workbook=12_04.xlsx&amp;sheet=A0&amp;row=42&amp;col=6&amp;number=2580&amp;sourceID=14","2580")</f>
        <v>2580</v>
      </c>
      <c r="G42" s="4" t="str">
        <f>HYPERLINK("http://141.218.60.56/~jnz1568/getInfo.php?workbook=12_04.xlsx&amp;sheet=A0&amp;row=42&amp;col=7&amp;number=0&amp;sourceID=14","0")</f>
        <v>0</v>
      </c>
    </row>
    <row r="43" spans="1:7">
      <c r="A43" s="3">
        <v>12</v>
      </c>
      <c r="B43" s="3">
        <v>4</v>
      </c>
      <c r="C43" s="3">
        <v>52</v>
      </c>
      <c r="D43" s="3">
        <v>1</v>
      </c>
      <c r="E43" s="3">
        <v>48.34</v>
      </c>
      <c r="F43" s="4" t="str">
        <f>HYPERLINK("http://141.218.60.56/~jnz1568/getInfo.php?workbook=12_04.xlsx&amp;sheet=A0&amp;row=43&amp;col=6&amp;number=139000000000&amp;sourceID=14","139000000000")</f>
        <v>139000000000</v>
      </c>
      <c r="G43" s="4" t="str">
        <f>HYPERLINK("http://141.218.60.56/~jnz1568/getInfo.php?workbook=12_04.xlsx&amp;sheet=A0&amp;row=43&amp;col=7&amp;number=0&amp;sourceID=14","0")</f>
        <v>0</v>
      </c>
    </row>
    <row r="44" spans="1:7">
      <c r="A44" s="3">
        <v>12</v>
      </c>
      <c r="B44" s="3">
        <v>4</v>
      </c>
      <c r="C44" s="3">
        <v>53</v>
      </c>
      <c r="D44" s="3">
        <v>1</v>
      </c>
      <c r="E44" s="3">
        <v>48.078</v>
      </c>
      <c r="F44" s="4" t="str">
        <f>HYPERLINK("http://141.218.60.56/~jnz1568/getInfo.php?workbook=12_04.xlsx&amp;sheet=A0&amp;row=44&amp;col=6&amp;number=1.09&amp;sourceID=14","1.09")</f>
        <v>1.09</v>
      </c>
      <c r="G44" s="4" t="str">
        <f>HYPERLINK("http://141.218.60.56/~jnz1568/getInfo.php?workbook=12_04.xlsx&amp;sheet=A0&amp;row=44&amp;col=7&amp;number=0&amp;sourceID=14","0")</f>
        <v>0</v>
      </c>
    </row>
    <row r="45" spans="1:7">
      <c r="A45" s="3">
        <v>12</v>
      </c>
      <c r="B45" s="3">
        <v>4</v>
      </c>
      <c r="C45" s="3">
        <v>54</v>
      </c>
      <c r="D45" s="3">
        <v>1</v>
      </c>
      <c r="E45" s="3">
        <v>48.078</v>
      </c>
      <c r="F45" s="4" t="str">
        <f>HYPERLINK("http://141.218.60.56/~jnz1568/getInfo.php?workbook=12_04.xlsx&amp;sheet=A0&amp;row=45&amp;col=6&amp;number=940&amp;sourceID=14","940")</f>
        <v>940</v>
      </c>
      <c r="G45" s="4" t="str">
        <f>HYPERLINK("http://141.218.60.56/~jnz1568/getInfo.php?workbook=12_04.xlsx&amp;sheet=A0&amp;row=45&amp;col=7&amp;number=0&amp;sourceID=14","0")</f>
        <v>0</v>
      </c>
    </row>
    <row r="46" spans="1:7">
      <c r="A46" s="3">
        <v>12</v>
      </c>
      <c r="B46" s="3">
        <v>4</v>
      </c>
      <c r="C46" s="3">
        <v>55</v>
      </c>
      <c r="D46" s="3">
        <v>1</v>
      </c>
      <c r="E46" s="3">
        <v>48.076</v>
      </c>
      <c r="F46" s="4" t="str">
        <f>HYPERLINK("http://141.218.60.56/~jnz1568/getInfo.php?workbook=12_04.xlsx&amp;sheet=A0&amp;row=46&amp;col=6&amp;number=0.595&amp;sourceID=14","0.595")</f>
        <v>0.595</v>
      </c>
      <c r="G46" s="4" t="str">
        <f>HYPERLINK("http://141.218.60.56/~jnz1568/getInfo.php?workbook=12_04.xlsx&amp;sheet=A0&amp;row=46&amp;col=7&amp;number=0&amp;sourceID=14","0")</f>
        <v>0</v>
      </c>
    </row>
    <row r="47" spans="1:7">
      <c r="A47" s="3">
        <v>12</v>
      </c>
      <c r="B47" s="3">
        <v>4</v>
      </c>
      <c r="C47" s="3">
        <v>56</v>
      </c>
      <c r="D47" s="3">
        <v>1</v>
      </c>
      <c r="E47" s="3">
        <v>47.895</v>
      </c>
      <c r="F47" s="4" t="str">
        <f>HYPERLINK("http://141.218.60.56/~jnz1568/getInfo.php?workbook=12_04.xlsx&amp;sheet=A0&amp;row=47&amp;col=6&amp;number=31200000&amp;sourceID=14","31200000")</f>
        <v>31200000</v>
      </c>
      <c r="G47" s="4" t="str">
        <f>HYPERLINK("http://141.218.60.56/~jnz1568/getInfo.php?workbook=12_04.xlsx&amp;sheet=A0&amp;row=47&amp;col=7&amp;number=0&amp;sourceID=14","0")</f>
        <v>0</v>
      </c>
    </row>
    <row r="48" spans="1:7">
      <c r="A48" s="3">
        <v>12</v>
      </c>
      <c r="B48" s="3">
        <v>4</v>
      </c>
      <c r="C48" s="3">
        <v>57</v>
      </c>
      <c r="D48" s="3">
        <v>1</v>
      </c>
      <c r="E48" s="3">
        <v>-47.896</v>
      </c>
      <c r="F48" s="4" t="str">
        <f>HYPERLINK("http://141.218.60.56/~jnz1568/getInfo.php?workbook=12_04.xlsx&amp;sheet=A0&amp;row=48&amp;col=6&amp;number=0.000491&amp;sourceID=14","0.000491")</f>
        <v>0.000491</v>
      </c>
      <c r="G48" s="4" t="str">
        <f>HYPERLINK("http://141.218.60.56/~jnz1568/getInfo.php?workbook=12_04.xlsx&amp;sheet=A0&amp;row=48&amp;col=7&amp;number=0&amp;sourceID=14","0")</f>
        <v>0</v>
      </c>
    </row>
    <row r="49" spans="1:7">
      <c r="A49" s="3">
        <v>12</v>
      </c>
      <c r="B49" s="3">
        <v>4</v>
      </c>
      <c r="C49" s="3">
        <v>58</v>
      </c>
      <c r="D49" s="3">
        <v>1</v>
      </c>
      <c r="E49" s="3">
        <v>-47.896</v>
      </c>
      <c r="F49" s="4" t="str">
        <f>HYPERLINK("http://141.218.60.56/~jnz1568/getInfo.php?workbook=12_04.xlsx&amp;sheet=A0&amp;row=49&amp;col=6&amp;number=0.922&amp;sourceID=14","0.922")</f>
        <v>0.922</v>
      </c>
      <c r="G49" s="4" t="str">
        <f>HYPERLINK("http://141.218.60.56/~jnz1568/getInfo.php?workbook=12_04.xlsx&amp;sheet=A0&amp;row=49&amp;col=7&amp;number=0&amp;sourceID=14","0")</f>
        <v>0</v>
      </c>
    </row>
    <row r="50" spans="1:7">
      <c r="A50" s="3">
        <v>12</v>
      </c>
      <c r="B50" s="3">
        <v>4</v>
      </c>
      <c r="C50" s="3">
        <v>59</v>
      </c>
      <c r="D50" s="3">
        <v>1</v>
      </c>
      <c r="E50" s="3">
        <v>-47.895</v>
      </c>
      <c r="F50" s="4" t="str">
        <f>HYPERLINK("http://141.218.60.56/~jnz1568/getInfo.php?workbook=12_04.xlsx&amp;sheet=A0&amp;row=50&amp;col=6&amp;number=0.000354&amp;sourceID=14","0.000354")</f>
        <v>0.000354</v>
      </c>
      <c r="G50" s="4" t="str">
        <f>HYPERLINK("http://141.218.60.56/~jnz1568/getInfo.php?workbook=12_04.xlsx&amp;sheet=A0&amp;row=50&amp;col=7&amp;number=0&amp;sourceID=14","0")</f>
        <v>0</v>
      </c>
    </row>
    <row r="51" spans="1:7">
      <c r="A51" s="3">
        <v>12</v>
      </c>
      <c r="B51" s="3">
        <v>4</v>
      </c>
      <c r="C51" s="3">
        <v>60</v>
      </c>
      <c r="D51" s="3">
        <v>1</v>
      </c>
      <c r="E51" s="3">
        <v>-47.837</v>
      </c>
      <c r="F51" s="4" t="str">
        <f>HYPERLINK("http://141.218.60.56/~jnz1568/getInfo.php?workbook=12_04.xlsx&amp;sheet=A0&amp;row=51&amp;col=6&amp;number=13200&amp;sourceID=14","13200")</f>
        <v>13200</v>
      </c>
      <c r="G51" s="4" t="str">
        <f>HYPERLINK("http://141.218.60.56/~jnz1568/getInfo.php?workbook=12_04.xlsx&amp;sheet=A0&amp;row=51&amp;col=7&amp;number=0&amp;sourceID=14","0")</f>
        <v>0</v>
      </c>
    </row>
    <row r="52" spans="1:7">
      <c r="A52" s="3">
        <v>12</v>
      </c>
      <c r="B52" s="3">
        <v>4</v>
      </c>
      <c r="C52" s="3">
        <v>62</v>
      </c>
      <c r="D52" s="3">
        <v>1</v>
      </c>
      <c r="E52" s="3">
        <v>-45.309</v>
      </c>
      <c r="F52" s="4" t="str">
        <f>HYPERLINK("http://141.218.60.56/~jnz1568/getInfo.php?workbook=12_04.xlsx&amp;sheet=A0&amp;row=52&amp;col=6&amp;number=23400000&amp;sourceID=14","23400000")</f>
        <v>23400000</v>
      </c>
      <c r="G52" s="4" t="str">
        <f>HYPERLINK("http://141.218.60.56/~jnz1568/getInfo.php?workbook=12_04.xlsx&amp;sheet=A0&amp;row=52&amp;col=7&amp;number=0&amp;sourceID=14","0")</f>
        <v>0</v>
      </c>
    </row>
    <row r="53" spans="1:7">
      <c r="A53" s="3">
        <v>12</v>
      </c>
      <c r="B53" s="3">
        <v>4</v>
      </c>
      <c r="C53" s="3">
        <v>63</v>
      </c>
      <c r="D53" s="3">
        <v>1</v>
      </c>
      <c r="E53" s="3">
        <v>-45.248</v>
      </c>
      <c r="F53" s="4" t="str">
        <f>HYPERLINK("http://141.218.60.56/~jnz1568/getInfo.php?workbook=12_04.xlsx&amp;sheet=A0&amp;row=53&amp;col=6&amp;number=3.61&amp;sourceID=14","3.61")</f>
        <v>3.61</v>
      </c>
      <c r="G53" s="4" t="str">
        <f>HYPERLINK("http://141.218.60.56/~jnz1568/getInfo.php?workbook=12_04.xlsx&amp;sheet=A0&amp;row=53&amp;col=7&amp;number=0&amp;sourceID=14","0")</f>
        <v>0</v>
      </c>
    </row>
    <row r="54" spans="1:7">
      <c r="A54" s="3">
        <v>12</v>
      </c>
      <c r="B54" s="3">
        <v>4</v>
      </c>
      <c r="C54" s="3">
        <v>64</v>
      </c>
      <c r="D54" s="3">
        <v>1</v>
      </c>
      <c r="E54" s="3">
        <v>-45.121</v>
      </c>
      <c r="F54" s="4" t="str">
        <f>HYPERLINK("http://141.218.60.56/~jnz1568/getInfo.php?workbook=12_04.xlsx&amp;sheet=A0&amp;row=54&amp;col=6&amp;number=429000000&amp;sourceID=14","429000000")</f>
        <v>429000000</v>
      </c>
      <c r="G54" s="4" t="str">
        <f>HYPERLINK("http://141.218.60.56/~jnz1568/getInfo.php?workbook=12_04.xlsx&amp;sheet=A0&amp;row=54&amp;col=7&amp;number=0&amp;sourceID=14","0")</f>
        <v>0</v>
      </c>
    </row>
    <row r="55" spans="1:7">
      <c r="A55" s="3">
        <v>12</v>
      </c>
      <c r="B55" s="3">
        <v>4</v>
      </c>
      <c r="C55" s="3">
        <v>65</v>
      </c>
      <c r="D55" s="3">
        <v>1</v>
      </c>
      <c r="E55" s="3">
        <v>-44.968</v>
      </c>
      <c r="F55" s="4" t="str">
        <f>HYPERLINK("http://141.218.60.56/~jnz1568/getInfo.php?workbook=12_04.xlsx&amp;sheet=A0&amp;row=55&amp;col=6&amp;number=0.278&amp;sourceID=14","0.278")</f>
        <v>0.278</v>
      </c>
      <c r="G55" s="4" t="str">
        <f>HYPERLINK("http://141.218.60.56/~jnz1568/getInfo.php?workbook=12_04.xlsx&amp;sheet=A0&amp;row=55&amp;col=7&amp;number=0&amp;sourceID=14","0")</f>
        <v>0</v>
      </c>
    </row>
    <row r="56" spans="1:7">
      <c r="A56" s="3">
        <v>12</v>
      </c>
      <c r="B56" s="3">
        <v>4</v>
      </c>
      <c r="C56" s="3">
        <v>66</v>
      </c>
      <c r="D56" s="3">
        <v>1</v>
      </c>
      <c r="E56" s="3">
        <v>-44.916</v>
      </c>
      <c r="F56" s="4" t="str">
        <f>HYPERLINK("http://141.218.60.56/~jnz1568/getInfo.php?workbook=12_04.xlsx&amp;sheet=A0&amp;row=56&amp;col=6&amp;number=0.133&amp;sourceID=14","0.133")</f>
        <v>0.133</v>
      </c>
      <c r="G56" s="4" t="str">
        <f>HYPERLINK("http://141.218.60.56/~jnz1568/getInfo.php?workbook=12_04.xlsx&amp;sheet=A0&amp;row=56&amp;col=7&amp;number=0&amp;sourceID=14","0")</f>
        <v>0</v>
      </c>
    </row>
    <row r="57" spans="1:7">
      <c r="A57" s="3">
        <v>12</v>
      </c>
      <c r="B57" s="3">
        <v>4</v>
      </c>
      <c r="C57" s="3">
        <v>67</v>
      </c>
      <c r="D57" s="3">
        <v>1</v>
      </c>
      <c r="E57" s="3">
        <v>-44.907</v>
      </c>
      <c r="F57" s="4" t="str">
        <f>HYPERLINK("http://141.218.60.56/~jnz1568/getInfo.php?workbook=12_04.xlsx&amp;sheet=A0&amp;row=57&amp;col=6&amp;number=1630&amp;sourceID=14","1630")</f>
        <v>1630</v>
      </c>
      <c r="G57" s="4" t="str">
        <f>HYPERLINK("http://141.218.60.56/~jnz1568/getInfo.php?workbook=12_04.xlsx&amp;sheet=A0&amp;row=57&amp;col=7&amp;number=0&amp;sourceID=14","0")</f>
        <v>0</v>
      </c>
    </row>
    <row r="58" spans="1:7">
      <c r="A58" s="3">
        <v>12</v>
      </c>
      <c r="B58" s="3">
        <v>4</v>
      </c>
      <c r="C58" s="3">
        <v>68</v>
      </c>
      <c r="D58" s="3">
        <v>1</v>
      </c>
      <c r="E58" s="3">
        <v>44.849</v>
      </c>
      <c r="F58" s="4" t="str">
        <f>HYPERLINK("http://141.218.60.56/~jnz1568/getInfo.php?workbook=12_04.xlsx&amp;sheet=A0&amp;row=58&amp;col=6&amp;number=0.00847&amp;sourceID=14","0.00847")</f>
        <v>0.00847</v>
      </c>
      <c r="G58" s="4" t="str">
        <f>HYPERLINK("http://141.218.60.56/~jnz1568/getInfo.php?workbook=12_04.xlsx&amp;sheet=A0&amp;row=58&amp;col=7&amp;number=0&amp;sourceID=14","0")</f>
        <v>0</v>
      </c>
    </row>
    <row r="59" spans="1:7">
      <c r="A59" s="3">
        <v>12</v>
      </c>
      <c r="B59" s="3">
        <v>4</v>
      </c>
      <c r="C59" s="3">
        <v>69</v>
      </c>
      <c r="D59" s="3">
        <v>1</v>
      </c>
      <c r="E59" s="3">
        <v>-44.8</v>
      </c>
      <c r="F59" s="4" t="str">
        <f>HYPERLINK("http://141.218.60.56/~jnz1568/getInfo.php?workbook=12_04.xlsx&amp;sheet=A0&amp;row=59&amp;col=6&amp;number=0.215&amp;sourceID=14","0.215")</f>
        <v>0.215</v>
      </c>
      <c r="G59" s="4" t="str">
        <f>HYPERLINK("http://141.218.60.56/~jnz1568/getInfo.php?workbook=12_04.xlsx&amp;sheet=A0&amp;row=59&amp;col=7&amp;number=0&amp;sourceID=14","0")</f>
        <v>0</v>
      </c>
    </row>
    <row r="60" spans="1:7">
      <c r="A60" s="3">
        <v>12</v>
      </c>
      <c r="B60" s="3">
        <v>4</v>
      </c>
      <c r="C60" s="3">
        <v>71</v>
      </c>
      <c r="D60" s="3">
        <v>1</v>
      </c>
      <c r="E60" s="3">
        <v>-44.749</v>
      </c>
      <c r="F60" s="4" t="str">
        <f>HYPERLINK("http://141.218.60.56/~jnz1568/getInfo.php?workbook=12_04.xlsx&amp;sheet=A0&amp;row=60&amp;col=6&amp;number=1.35&amp;sourceID=14","1.35")</f>
        <v>1.35</v>
      </c>
      <c r="G60" s="4" t="str">
        <f>HYPERLINK("http://141.218.60.56/~jnz1568/getInfo.php?workbook=12_04.xlsx&amp;sheet=A0&amp;row=60&amp;col=7&amp;number=0&amp;sourceID=14","0")</f>
        <v>0</v>
      </c>
    </row>
    <row r="61" spans="1:7">
      <c r="A61" s="3">
        <v>12</v>
      </c>
      <c r="B61" s="3">
        <v>4</v>
      </c>
      <c r="C61" s="3">
        <v>72</v>
      </c>
      <c r="D61" s="3">
        <v>1</v>
      </c>
      <c r="E61" s="3">
        <v>44.736</v>
      </c>
      <c r="F61" s="4" t="str">
        <f>HYPERLINK("http://141.218.60.56/~jnz1568/getInfo.php?workbook=12_04.xlsx&amp;sheet=A0&amp;row=61&amp;col=6&amp;number=2040&amp;sourceID=14","2040")</f>
        <v>2040</v>
      </c>
      <c r="G61" s="4" t="str">
        <f>HYPERLINK("http://141.218.60.56/~jnz1568/getInfo.php?workbook=12_04.xlsx&amp;sheet=A0&amp;row=61&amp;col=7&amp;number=0&amp;sourceID=14","0")</f>
        <v>0</v>
      </c>
    </row>
    <row r="62" spans="1:7">
      <c r="A62" s="3">
        <v>12</v>
      </c>
      <c r="B62" s="3">
        <v>4</v>
      </c>
      <c r="C62" s="3">
        <v>73</v>
      </c>
      <c r="D62" s="3">
        <v>1</v>
      </c>
      <c r="E62" s="3">
        <v>-44.678</v>
      </c>
      <c r="F62" s="4" t="str">
        <f>HYPERLINK("http://141.218.60.56/~jnz1568/getInfo.php?workbook=12_04.xlsx&amp;sheet=A0&amp;row=62&amp;col=6&amp;number=40.2&amp;sourceID=14","40.2")</f>
        <v>40.2</v>
      </c>
      <c r="G62" s="4" t="str">
        <f>HYPERLINK("http://141.218.60.56/~jnz1568/getInfo.php?workbook=12_04.xlsx&amp;sheet=A0&amp;row=62&amp;col=7&amp;number=0&amp;sourceID=14","0")</f>
        <v>0</v>
      </c>
    </row>
    <row r="63" spans="1:7">
      <c r="A63" s="3">
        <v>12</v>
      </c>
      <c r="B63" s="3">
        <v>4</v>
      </c>
      <c r="C63" s="3">
        <v>74</v>
      </c>
      <c r="D63" s="3">
        <v>1</v>
      </c>
      <c r="E63" s="3">
        <v>-44.64</v>
      </c>
      <c r="F63" s="4" t="str">
        <f>HYPERLINK("http://141.218.60.56/~jnz1568/getInfo.php?workbook=12_04.xlsx&amp;sheet=A0&amp;row=63&amp;col=6&amp;number=1.53&amp;sourceID=14","1.53")</f>
        <v>1.53</v>
      </c>
      <c r="G63" s="4" t="str">
        <f>HYPERLINK("http://141.218.60.56/~jnz1568/getInfo.php?workbook=12_04.xlsx&amp;sheet=A0&amp;row=63&amp;col=7&amp;number=0&amp;sourceID=14","0")</f>
        <v>0</v>
      </c>
    </row>
    <row r="64" spans="1:7">
      <c r="A64" s="3">
        <v>12</v>
      </c>
      <c r="B64" s="3">
        <v>4</v>
      </c>
      <c r="C64" s="3">
        <v>75</v>
      </c>
      <c r="D64" s="3">
        <v>1</v>
      </c>
      <c r="E64" s="3">
        <v>44.619</v>
      </c>
      <c r="F64" s="4" t="str">
        <f>HYPERLINK("http://141.218.60.56/~jnz1568/getInfo.php?workbook=12_04.xlsx&amp;sheet=A0&amp;row=64&amp;col=6&amp;number=63.3&amp;sourceID=14","63.3")</f>
        <v>63.3</v>
      </c>
      <c r="G64" s="4" t="str">
        <f>HYPERLINK("http://141.218.60.56/~jnz1568/getInfo.php?workbook=12_04.xlsx&amp;sheet=A0&amp;row=64&amp;col=7&amp;number=0&amp;sourceID=14","0")</f>
        <v>0</v>
      </c>
    </row>
    <row r="65" spans="1:7">
      <c r="A65" s="3">
        <v>12</v>
      </c>
      <c r="B65" s="3">
        <v>4</v>
      </c>
      <c r="C65" s="3">
        <v>76</v>
      </c>
      <c r="D65" s="3">
        <v>1</v>
      </c>
      <c r="E65" s="3">
        <v>44.621</v>
      </c>
      <c r="F65" s="4" t="str">
        <f>HYPERLINK("http://141.218.60.56/~jnz1568/getInfo.php?workbook=12_04.xlsx&amp;sheet=A0&amp;row=65&amp;col=6&amp;number=113000&amp;sourceID=14","113000")</f>
        <v>113000</v>
      </c>
      <c r="G65" s="4" t="str">
        <f>HYPERLINK("http://141.218.60.56/~jnz1568/getInfo.php?workbook=12_04.xlsx&amp;sheet=A0&amp;row=65&amp;col=7&amp;number=0&amp;sourceID=14","0")</f>
        <v>0</v>
      </c>
    </row>
    <row r="66" spans="1:7">
      <c r="A66" s="3">
        <v>12</v>
      </c>
      <c r="B66" s="3">
        <v>4</v>
      </c>
      <c r="C66" s="3">
        <v>77</v>
      </c>
      <c r="D66" s="3">
        <v>1</v>
      </c>
      <c r="E66" s="3">
        <v>-44.597</v>
      </c>
      <c r="F66" s="4" t="str">
        <f>HYPERLINK("http://141.218.60.56/~jnz1568/getInfo.php?workbook=12_04.xlsx&amp;sheet=A0&amp;row=66&amp;col=6&amp;number=1.03e-05&amp;sourceID=14","1.03e-05")</f>
        <v>1.03e-05</v>
      </c>
      <c r="G66" s="4" t="str">
        <f>HYPERLINK("http://141.218.60.56/~jnz1568/getInfo.php?workbook=12_04.xlsx&amp;sheet=A0&amp;row=66&amp;col=7&amp;number=0&amp;sourceID=14","0")</f>
        <v>0</v>
      </c>
    </row>
    <row r="67" spans="1:7">
      <c r="A67" s="3">
        <v>12</v>
      </c>
      <c r="B67" s="3">
        <v>4</v>
      </c>
      <c r="C67" s="3">
        <v>78</v>
      </c>
      <c r="D67" s="3">
        <v>1</v>
      </c>
      <c r="E67" s="3">
        <v>-44.538</v>
      </c>
      <c r="F67" s="4" t="str">
        <f>HYPERLINK("http://141.218.60.56/~jnz1568/getInfo.php?workbook=12_04.xlsx&amp;sheet=A0&amp;row=67&amp;col=6&amp;number=194000000&amp;sourceID=14","194000000")</f>
        <v>194000000</v>
      </c>
      <c r="G67" s="4" t="str">
        <f>HYPERLINK("http://141.218.60.56/~jnz1568/getInfo.php?workbook=12_04.xlsx&amp;sheet=A0&amp;row=67&amp;col=7&amp;number=0&amp;sourceID=14","0")</f>
        <v>0</v>
      </c>
    </row>
    <row r="68" spans="1:7">
      <c r="A68" s="3">
        <v>12</v>
      </c>
      <c r="B68" s="3">
        <v>4</v>
      </c>
      <c r="C68" s="3">
        <v>79</v>
      </c>
      <c r="D68" s="3">
        <v>1</v>
      </c>
      <c r="E68" s="3">
        <v>-44.525</v>
      </c>
      <c r="F68" s="4" t="str">
        <f>HYPERLINK("http://141.218.60.56/~jnz1568/getInfo.php?workbook=12_04.xlsx&amp;sheet=A0&amp;row=68&amp;col=6&amp;number=95.1&amp;sourceID=14","95.1")</f>
        <v>95.1</v>
      </c>
      <c r="G68" s="4" t="str">
        <f>HYPERLINK("http://141.218.60.56/~jnz1568/getInfo.php?workbook=12_04.xlsx&amp;sheet=A0&amp;row=68&amp;col=7&amp;number=0&amp;sourceID=14","0")</f>
        <v>0</v>
      </c>
    </row>
    <row r="69" spans="1:7">
      <c r="A69" s="3">
        <v>12</v>
      </c>
      <c r="B69" s="3">
        <v>4</v>
      </c>
      <c r="C69" s="3">
        <v>80</v>
      </c>
      <c r="D69" s="3">
        <v>1</v>
      </c>
      <c r="E69" s="3">
        <v>-44.501</v>
      </c>
      <c r="F69" s="4" t="str">
        <f>HYPERLINK("http://141.218.60.56/~jnz1568/getInfo.php?workbook=12_04.xlsx&amp;sheet=A0&amp;row=69&amp;col=6&amp;number=0.00683&amp;sourceID=14","0.00683")</f>
        <v>0.00683</v>
      </c>
      <c r="G69" s="4" t="str">
        <f>HYPERLINK("http://141.218.60.56/~jnz1568/getInfo.php?workbook=12_04.xlsx&amp;sheet=A0&amp;row=69&amp;col=7&amp;number=0&amp;sourceID=14","0")</f>
        <v>0</v>
      </c>
    </row>
    <row r="70" spans="1:7">
      <c r="A70" s="3">
        <v>12</v>
      </c>
      <c r="B70" s="3">
        <v>4</v>
      </c>
      <c r="C70" s="3">
        <v>81</v>
      </c>
      <c r="D70" s="3">
        <v>1</v>
      </c>
      <c r="E70" s="3">
        <v>44.479</v>
      </c>
      <c r="F70" s="4" t="str">
        <f>HYPERLINK("http://141.218.60.56/~jnz1568/getInfo.php?workbook=12_04.xlsx&amp;sheet=A0&amp;row=70&amp;col=6&amp;number=1&amp;sourceID=14","1")</f>
        <v>1</v>
      </c>
      <c r="G70" s="4" t="str">
        <f>HYPERLINK("http://141.218.60.56/~jnz1568/getInfo.php?workbook=12_04.xlsx&amp;sheet=A0&amp;row=70&amp;col=7&amp;number=0&amp;sourceID=14","0")</f>
        <v>0</v>
      </c>
    </row>
    <row r="71" spans="1:7">
      <c r="A71" s="3">
        <v>12</v>
      </c>
      <c r="B71" s="3">
        <v>4</v>
      </c>
      <c r="C71" s="3">
        <v>82</v>
      </c>
      <c r="D71" s="3">
        <v>1</v>
      </c>
      <c r="E71" s="3">
        <v>-44.493</v>
      </c>
      <c r="F71" s="4" t="str">
        <f>HYPERLINK("http://141.218.60.56/~jnz1568/getInfo.php?workbook=12_04.xlsx&amp;sheet=A0&amp;row=71&amp;col=6&amp;number=43600&amp;sourceID=14","43600")</f>
        <v>43600</v>
      </c>
      <c r="G71" s="4" t="str">
        <f>HYPERLINK("http://141.218.60.56/~jnz1568/getInfo.php?workbook=12_04.xlsx&amp;sheet=A0&amp;row=71&amp;col=7&amp;number=0&amp;sourceID=14","0")</f>
        <v>0</v>
      </c>
    </row>
    <row r="72" spans="1:7">
      <c r="A72" s="3">
        <v>12</v>
      </c>
      <c r="B72" s="3">
        <v>4</v>
      </c>
      <c r="C72" s="3">
        <v>83</v>
      </c>
      <c r="D72" s="3">
        <v>1</v>
      </c>
      <c r="E72" s="3">
        <v>-44.493</v>
      </c>
      <c r="F72" s="4" t="str">
        <f>HYPERLINK("http://141.218.60.56/~jnz1568/getInfo.php?workbook=12_04.xlsx&amp;sheet=A0&amp;row=72&amp;col=6&amp;number=0.00271&amp;sourceID=14","0.00271")</f>
        <v>0.00271</v>
      </c>
      <c r="G72" s="4" t="str">
        <f>HYPERLINK("http://141.218.60.56/~jnz1568/getInfo.php?workbook=12_04.xlsx&amp;sheet=A0&amp;row=72&amp;col=7&amp;number=0&amp;sourceID=14","0")</f>
        <v>0</v>
      </c>
    </row>
    <row r="73" spans="1:7">
      <c r="A73" s="3">
        <v>12</v>
      </c>
      <c r="B73" s="3">
        <v>4</v>
      </c>
      <c r="C73" s="3">
        <v>84</v>
      </c>
      <c r="D73" s="3">
        <v>1</v>
      </c>
      <c r="E73" s="3">
        <v>-44.487</v>
      </c>
      <c r="F73" s="4" t="str">
        <f>HYPERLINK("http://141.218.60.56/~jnz1568/getInfo.php?workbook=12_04.xlsx&amp;sheet=A0&amp;row=73&amp;col=6&amp;number=0.000166&amp;sourceID=14","0.000166")</f>
        <v>0.000166</v>
      </c>
      <c r="G73" s="4" t="str">
        <f>HYPERLINK("http://141.218.60.56/~jnz1568/getInfo.php?workbook=12_04.xlsx&amp;sheet=A0&amp;row=73&amp;col=7&amp;number=0&amp;sourceID=14","0")</f>
        <v>0</v>
      </c>
    </row>
    <row r="74" spans="1:7">
      <c r="A74" s="3">
        <v>12</v>
      </c>
      <c r="B74" s="3">
        <v>4</v>
      </c>
      <c r="C74" s="3">
        <v>85</v>
      </c>
      <c r="D74" s="3">
        <v>1</v>
      </c>
      <c r="E74" s="3">
        <v>44.455</v>
      </c>
      <c r="F74" s="4" t="str">
        <f>HYPERLINK("http://141.218.60.56/~jnz1568/getInfo.php?workbook=12_04.xlsx&amp;sheet=A0&amp;row=74&amp;col=6&amp;number=286&amp;sourceID=14","286")</f>
        <v>286</v>
      </c>
      <c r="G74" s="4" t="str">
        <f>HYPERLINK("http://141.218.60.56/~jnz1568/getInfo.php?workbook=12_04.xlsx&amp;sheet=A0&amp;row=74&amp;col=7&amp;number=0&amp;sourceID=14","0")</f>
        <v>0</v>
      </c>
    </row>
    <row r="75" spans="1:7">
      <c r="A75" s="3">
        <v>12</v>
      </c>
      <c r="B75" s="3">
        <v>4</v>
      </c>
      <c r="C75" s="3">
        <v>86</v>
      </c>
      <c r="D75" s="3">
        <v>1</v>
      </c>
      <c r="E75" s="3">
        <v>44.445</v>
      </c>
      <c r="F75" s="4" t="str">
        <f>HYPERLINK("http://141.218.60.56/~jnz1568/getInfo.php?workbook=12_04.xlsx&amp;sheet=A0&amp;row=75&amp;col=6&amp;number=26900000&amp;sourceID=14","26900000")</f>
        <v>26900000</v>
      </c>
      <c r="G75" s="4" t="str">
        <f>HYPERLINK("http://141.218.60.56/~jnz1568/getInfo.php?workbook=12_04.xlsx&amp;sheet=A0&amp;row=75&amp;col=7&amp;number=0&amp;sourceID=14","0")</f>
        <v>0</v>
      </c>
    </row>
    <row r="76" spans="1:7">
      <c r="A76" s="3">
        <v>12</v>
      </c>
      <c r="B76" s="3">
        <v>4</v>
      </c>
      <c r="C76" s="3">
        <v>88</v>
      </c>
      <c r="D76" s="3">
        <v>1</v>
      </c>
      <c r="E76" s="3">
        <v>-44.423</v>
      </c>
      <c r="F76" s="4" t="str">
        <f>HYPERLINK("http://141.218.60.56/~jnz1568/getInfo.php?workbook=12_04.xlsx&amp;sheet=A0&amp;row=76&amp;col=6&amp;number=0.00385&amp;sourceID=14","0.00385")</f>
        <v>0.00385</v>
      </c>
      <c r="G76" s="4" t="str">
        <f>HYPERLINK("http://141.218.60.56/~jnz1568/getInfo.php?workbook=12_04.xlsx&amp;sheet=A0&amp;row=76&amp;col=7&amp;number=0&amp;sourceID=14","0")</f>
        <v>0</v>
      </c>
    </row>
    <row r="77" spans="1:7">
      <c r="A77" s="3">
        <v>12</v>
      </c>
      <c r="B77" s="3">
        <v>4</v>
      </c>
      <c r="C77" s="3">
        <v>89</v>
      </c>
      <c r="D77" s="3">
        <v>1</v>
      </c>
      <c r="E77" s="3">
        <v>-44.414</v>
      </c>
      <c r="F77" s="4" t="str">
        <f>HYPERLINK("http://141.218.60.56/~jnz1568/getInfo.php?workbook=12_04.xlsx&amp;sheet=A0&amp;row=77&amp;col=6&amp;number=0.000108&amp;sourceID=14","0.000108")</f>
        <v>0.000108</v>
      </c>
      <c r="G77" s="4" t="str">
        <f>HYPERLINK("http://141.218.60.56/~jnz1568/getInfo.php?workbook=12_04.xlsx&amp;sheet=A0&amp;row=77&amp;col=7&amp;number=0&amp;sourceID=14","0")</f>
        <v>0</v>
      </c>
    </row>
    <row r="78" spans="1:7">
      <c r="A78" s="3">
        <v>12</v>
      </c>
      <c r="B78" s="3">
        <v>4</v>
      </c>
      <c r="C78" s="3">
        <v>91</v>
      </c>
      <c r="D78" s="3">
        <v>1</v>
      </c>
      <c r="E78" s="3">
        <v>-44.363</v>
      </c>
      <c r="F78" s="4" t="str">
        <f>HYPERLINK("http://141.218.60.56/~jnz1568/getInfo.php?workbook=12_04.xlsx&amp;sheet=A0&amp;row=78&amp;col=6&amp;number=0.0482&amp;sourceID=14","0.0482")</f>
        <v>0.0482</v>
      </c>
      <c r="G78" s="4" t="str">
        <f>HYPERLINK("http://141.218.60.56/~jnz1568/getInfo.php?workbook=12_04.xlsx&amp;sheet=A0&amp;row=78&amp;col=7&amp;number=0&amp;sourceID=14","0")</f>
        <v>0</v>
      </c>
    </row>
    <row r="79" spans="1:7">
      <c r="A79" s="3">
        <v>12</v>
      </c>
      <c r="B79" s="3">
        <v>4</v>
      </c>
      <c r="C79" s="3">
        <v>92</v>
      </c>
      <c r="D79" s="3">
        <v>1</v>
      </c>
      <c r="E79" s="3">
        <v>-44.358</v>
      </c>
      <c r="F79" s="4" t="str">
        <f>HYPERLINK("http://141.218.60.56/~jnz1568/getInfo.php?workbook=12_04.xlsx&amp;sheet=A0&amp;row=79&amp;col=6&amp;number=0.000772&amp;sourceID=14","0.000772")</f>
        <v>0.000772</v>
      </c>
      <c r="G79" s="4" t="str">
        <f>HYPERLINK("http://141.218.60.56/~jnz1568/getInfo.php?workbook=12_04.xlsx&amp;sheet=A0&amp;row=79&amp;col=7&amp;number=0&amp;sourceID=14","0")</f>
        <v>0</v>
      </c>
    </row>
    <row r="80" spans="1:7">
      <c r="A80" s="3">
        <v>12</v>
      </c>
      <c r="B80" s="3">
        <v>4</v>
      </c>
      <c r="C80" s="3">
        <v>93</v>
      </c>
      <c r="D80" s="3">
        <v>1</v>
      </c>
      <c r="E80" s="3">
        <v>-44.352</v>
      </c>
      <c r="F80" s="4" t="str">
        <f>HYPERLINK("http://141.218.60.56/~jnz1568/getInfo.php?workbook=12_04.xlsx&amp;sheet=A0&amp;row=80&amp;col=6&amp;number=134000&amp;sourceID=14","134000")</f>
        <v>134000</v>
      </c>
      <c r="G80" s="4" t="str">
        <f>HYPERLINK("http://141.218.60.56/~jnz1568/getInfo.php?workbook=12_04.xlsx&amp;sheet=A0&amp;row=80&amp;col=7&amp;number=0&amp;sourceID=14","0")</f>
        <v>0</v>
      </c>
    </row>
    <row r="81" spans="1:7">
      <c r="A81" s="3">
        <v>12</v>
      </c>
      <c r="B81" s="3">
        <v>4</v>
      </c>
      <c r="C81" s="3">
        <v>94</v>
      </c>
      <c r="D81" s="3">
        <v>1</v>
      </c>
      <c r="E81" s="3">
        <v>-44.333</v>
      </c>
      <c r="F81" s="4" t="str">
        <f>HYPERLINK("http://141.218.60.56/~jnz1568/getInfo.php?workbook=12_04.xlsx&amp;sheet=A0&amp;row=81&amp;col=6&amp;number=0.0109&amp;sourceID=14","0.0109")</f>
        <v>0.0109</v>
      </c>
      <c r="G81" s="4" t="str">
        <f>HYPERLINK("http://141.218.60.56/~jnz1568/getInfo.php?workbook=12_04.xlsx&amp;sheet=A0&amp;row=81&amp;col=7&amp;number=0&amp;sourceID=14","0")</f>
        <v>0</v>
      </c>
    </row>
    <row r="82" spans="1:7">
      <c r="A82" s="3">
        <v>12</v>
      </c>
      <c r="B82" s="3">
        <v>4</v>
      </c>
      <c r="C82" s="3">
        <v>96</v>
      </c>
      <c r="D82" s="3">
        <v>1</v>
      </c>
      <c r="E82" s="3">
        <v>-44.309</v>
      </c>
      <c r="F82" s="4" t="str">
        <f>HYPERLINK("http://141.218.60.56/~jnz1568/getInfo.php?workbook=12_04.xlsx&amp;sheet=A0&amp;row=82&amp;col=6&amp;number=712000&amp;sourceID=14","712000")</f>
        <v>712000</v>
      </c>
      <c r="G82" s="4" t="str">
        <f>HYPERLINK("http://141.218.60.56/~jnz1568/getInfo.php?workbook=12_04.xlsx&amp;sheet=A0&amp;row=82&amp;col=7&amp;number=0&amp;sourceID=14","0")</f>
        <v>0</v>
      </c>
    </row>
    <row r="83" spans="1:7">
      <c r="A83" s="3">
        <v>12</v>
      </c>
      <c r="B83" s="3">
        <v>4</v>
      </c>
      <c r="C83" s="3">
        <v>97</v>
      </c>
      <c r="D83" s="3">
        <v>1</v>
      </c>
      <c r="E83" s="3">
        <v>44.315</v>
      </c>
      <c r="F83" s="4" t="str">
        <f>HYPERLINK("http://141.218.60.56/~jnz1568/getInfo.php?workbook=12_04.xlsx&amp;sheet=A0&amp;row=83&amp;col=6&amp;number=259&amp;sourceID=14","259")</f>
        <v>259</v>
      </c>
      <c r="G83" s="4" t="str">
        <f>HYPERLINK("http://141.218.60.56/~jnz1568/getInfo.php?workbook=12_04.xlsx&amp;sheet=A0&amp;row=83&amp;col=7&amp;number=0&amp;sourceID=14","0")</f>
        <v>0</v>
      </c>
    </row>
    <row r="84" spans="1:7">
      <c r="A84" s="3">
        <v>12</v>
      </c>
      <c r="B84" s="3">
        <v>4</v>
      </c>
      <c r="C84" s="3">
        <v>98</v>
      </c>
      <c r="D84" s="3">
        <v>1</v>
      </c>
      <c r="E84" s="3">
        <v>44.281</v>
      </c>
      <c r="F84" s="4" t="str">
        <f>HYPERLINK("http://141.218.60.56/~jnz1568/getInfo.php?workbook=12_04.xlsx&amp;sheet=A0&amp;row=84&amp;col=6&amp;number=11200000000&amp;sourceID=14","11200000000")</f>
        <v>11200000000</v>
      </c>
      <c r="G84" s="4" t="str">
        <f>HYPERLINK("http://141.218.60.56/~jnz1568/getInfo.php?workbook=12_04.xlsx&amp;sheet=A0&amp;row=84&amp;col=7&amp;number=0&amp;sourceID=14","0")</f>
        <v>0</v>
      </c>
    </row>
    <row r="85" spans="1:7">
      <c r="A85" s="3">
        <v>12</v>
      </c>
      <c r="B85" s="3">
        <v>4</v>
      </c>
      <c r="C85" s="3">
        <v>3</v>
      </c>
      <c r="D85" s="3">
        <v>2</v>
      </c>
      <c r="E85" s="3">
        <v>88731.305</v>
      </c>
      <c r="F85" s="4" t="str">
        <f>HYPERLINK("http://141.218.60.56/~jnz1568/getInfo.php?workbook=12_04.xlsx&amp;sheet=A0&amp;row=85&amp;col=6&amp;number=0.0257&amp;sourceID=14","0.0257")</f>
        <v>0.0257</v>
      </c>
      <c r="G85" s="4" t="str">
        <f>HYPERLINK("http://141.218.60.56/~jnz1568/getInfo.php?workbook=12_04.xlsx&amp;sheet=A0&amp;row=85&amp;col=7&amp;number=0&amp;sourceID=14","0")</f>
        <v>0</v>
      </c>
    </row>
    <row r="86" spans="1:7">
      <c r="A86" s="3">
        <v>12</v>
      </c>
      <c r="B86" s="3">
        <v>4</v>
      </c>
      <c r="C86" s="3">
        <v>4</v>
      </c>
      <c r="D86" s="3">
        <v>2</v>
      </c>
      <c r="E86" s="3">
        <v>27878.502</v>
      </c>
      <c r="F86" s="4" t="str">
        <f>HYPERLINK("http://141.218.60.56/~jnz1568/getInfo.php?workbook=12_04.xlsx&amp;sheet=A0&amp;row=86&amp;col=6&amp;number=5.31e-07&amp;sourceID=14","5.31e-07")</f>
        <v>5.31e-07</v>
      </c>
      <c r="G86" s="4" t="str">
        <f>HYPERLINK("http://141.218.60.56/~jnz1568/getInfo.php?workbook=12_04.xlsx&amp;sheet=A0&amp;row=86&amp;col=7&amp;number=0&amp;sourceID=14","0")</f>
        <v>0</v>
      </c>
    </row>
    <row r="87" spans="1:7">
      <c r="A87" s="3">
        <v>12</v>
      </c>
      <c r="B87" s="3">
        <v>4</v>
      </c>
      <c r="C87" s="3">
        <v>5</v>
      </c>
      <c r="D87" s="3">
        <v>2</v>
      </c>
      <c r="E87" s="3">
        <v>762.295</v>
      </c>
      <c r="F87" s="4" t="str">
        <f>HYPERLINK("http://141.218.60.56/~jnz1568/getInfo.php?workbook=12_04.xlsx&amp;sheet=A0&amp;row=87&amp;col=6&amp;number=6.96&amp;sourceID=14","6.96")</f>
        <v>6.96</v>
      </c>
      <c r="G87" s="4" t="str">
        <f>HYPERLINK("http://141.218.60.56/~jnz1568/getInfo.php?workbook=12_04.xlsx&amp;sheet=A0&amp;row=87&amp;col=7&amp;number=0&amp;sourceID=14","0")</f>
        <v>0</v>
      </c>
    </row>
    <row r="88" spans="1:7">
      <c r="A88" s="3">
        <v>12</v>
      </c>
      <c r="B88" s="3">
        <v>4</v>
      </c>
      <c r="C88" s="3">
        <v>7</v>
      </c>
      <c r="D88" s="3">
        <v>2</v>
      </c>
      <c r="E88" s="3">
        <v>441.2</v>
      </c>
      <c r="F88" s="4" t="str">
        <f>HYPERLINK("http://141.218.60.56/~jnz1568/getInfo.php?workbook=12_04.xlsx&amp;sheet=A0&amp;row=88&amp;col=6&amp;number=1370000000&amp;sourceID=14","1370000000")</f>
        <v>1370000000</v>
      </c>
      <c r="G88" s="4" t="str">
        <f>HYPERLINK("http://141.218.60.56/~jnz1568/getInfo.php?workbook=12_04.xlsx&amp;sheet=A0&amp;row=88&amp;col=7&amp;number=0&amp;sourceID=14","0")</f>
        <v>0</v>
      </c>
    </row>
    <row r="89" spans="1:7">
      <c r="A89" s="3">
        <v>12</v>
      </c>
      <c r="B89" s="3">
        <v>4</v>
      </c>
      <c r="C89" s="3">
        <v>8</v>
      </c>
      <c r="D89" s="3">
        <v>2</v>
      </c>
      <c r="E89" s="3">
        <v>437.014</v>
      </c>
      <c r="F89" s="4" t="str">
        <f>HYPERLINK("http://141.218.60.56/~jnz1568/getInfo.php?workbook=12_04.xlsx&amp;sheet=A0&amp;row=89&amp;col=6&amp;number=0.191&amp;sourceID=14","0.191")</f>
        <v>0.191</v>
      </c>
      <c r="G89" s="4" t="str">
        <f>HYPERLINK("http://141.218.60.56/~jnz1568/getInfo.php?workbook=12_04.xlsx&amp;sheet=A0&amp;row=89&amp;col=7&amp;number=0&amp;sourceID=14","0")</f>
        <v>0</v>
      </c>
    </row>
    <row r="90" spans="1:7">
      <c r="A90" s="3">
        <v>12</v>
      </c>
      <c r="B90" s="3">
        <v>4</v>
      </c>
      <c r="C90" s="3">
        <v>9</v>
      </c>
      <c r="D90" s="3">
        <v>2</v>
      </c>
      <c r="E90" s="3">
        <v>377.935</v>
      </c>
      <c r="F90" s="4" t="str">
        <f>HYPERLINK("http://141.218.60.56/~jnz1568/getInfo.php?workbook=12_04.xlsx&amp;sheet=A0&amp;row=90&amp;col=6&amp;number=0.705&amp;sourceID=14","0.705")</f>
        <v>0.705</v>
      </c>
      <c r="G90" s="4" t="str">
        <f>HYPERLINK("http://141.218.60.56/~jnz1568/getInfo.php?workbook=12_04.xlsx&amp;sheet=A0&amp;row=90&amp;col=7&amp;number=0&amp;sourceID=14","0")</f>
        <v>0</v>
      </c>
    </row>
    <row r="91" spans="1:7">
      <c r="A91" s="3">
        <v>12</v>
      </c>
      <c r="B91" s="3">
        <v>4</v>
      </c>
      <c r="C91" s="3">
        <v>11</v>
      </c>
      <c r="D91" s="3">
        <v>2</v>
      </c>
      <c r="E91" s="3">
        <v>71.842</v>
      </c>
      <c r="F91" s="4" t="str">
        <f>HYPERLINK("http://141.218.60.56/~jnz1568/getInfo.php?workbook=12_04.xlsx&amp;sheet=A0&amp;row=91&amp;col=6&amp;number=14800000000&amp;sourceID=14","14800000000")</f>
        <v>14800000000</v>
      </c>
      <c r="G91" s="4" t="str">
        <f>HYPERLINK("http://141.218.60.56/~jnz1568/getInfo.php?workbook=12_04.xlsx&amp;sheet=A0&amp;row=91&amp;col=7&amp;number=0&amp;sourceID=14","0")</f>
        <v>0</v>
      </c>
    </row>
    <row r="92" spans="1:7">
      <c r="A92" s="3">
        <v>12</v>
      </c>
      <c r="B92" s="3">
        <v>4</v>
      </c>
      <c r="C92" s="3">
        <v>13</v>
      </c>
      <c r="D92" s="3">
        <v>2</v>
      </c>
      <c r="E92" s="3">
        <v>68.819</v>
      </c>
      <c r="F92" s="4" t="str">
        <f>HYPERLINK("http://141.218.60.56/~jnz1568/getInfo.php?workbook=12_04.xlsx&amp;sheet=A0&amp;row=92&amp;col=6&amp;number=3.31&amp;sourceID=14","3.31")</f>
        <v>3.31</v>
      </c>
      <c r="G92" s="4" t="str">
        <f>HYPERLINK("http://141.218.60.56/~jnz1568/getInfo.php?workbook=12_04.xlsx&amp;sheet=A0&amp;row=92&amp;col=7&amp;number=0&amp;sourceID=14","0")</f>
        <v>0</v>
      </c>
    </row>
    <row r="93" spans="1:7">
      <c r="A93" s="3">
        <v>12</v>
      </c>
      <c r="B93" s="3">
        <v>4</v>
      </c>
      <c r="C93" s="3">
        <v>15</v>
      </c>
      <c r="D93" s="3">
        <v>2</v>
      </c>
      <c r="E93" s="3">
        <v>68.635</v>
      </c>
      <c r="F93" s="4" t="str">
        <f>HYPERLINK("http://141.218.60.56/~jnz1568/getInfo.php?workbook=12_04.xlsx&amp;sheet=A0&amp;row=93&amp;col=6&amp;number=11.4&amp;sourceID=14","11.4")</f>
        <v>11.4</v>
      </c>
      <c r="G93" s="4" t="str">
        <f>HYPERLINK("http://141.218.60.56/~jnz1568/getInfo.php?workbook=12_04.xlsx&amp;sheet=A0&amp;row=93&amp;col=7&amp;number=0&amp;sourceID=14","0")</f>
        <v>0</v>
      </c>
    </row>
    <row r="94" spans="1:7">
      <c r="A94" s="3">
        <v>12</v>
      </c>
      <c r="B94" s="3">
        <v>4</v>
      </c>
      <c r="C94" s="3">
        <v>16</v>
      </c>
      <c r="D94" s="3">
        <v>2</v>
      </c>
      <c r="E94" s="3">
        <v>68.635</v>
      </c>
      <c r="F94" s="4" t="str">
        <f>HYPERLINK("http://141.218.60.56/~jnz1568/getInfo.php?workbook=12_04.xlsx&amp;sheet=A0&amp;row=94&amp;col=6&amp;number=5250000&amp;sourceID=14","5250000")</f>
        <v>5250000</v>
      </c>
      <c r="G94" s="4" t="str">
        <f>HYPERLINK("http://141.218.60.56/~jnz1568/getInfo.php?workbook=12_04.xlsx&amp;sheet=A0&amp;row=94&amp;col=7&amp;number=0&amp;sourceID=14","0")</f>
        <v>0</v>
      </c>
    </row>
    <row r="95" spans="1:7">
      <c r="A95" s="3">
        <v>12</v>
      </c>
      <c r="B95" s="3">
        <v>4</v>
      </c>
      <c r="C95" s="3">
        <v>17</v>
      </c>
      <c r="D95" s="3">
        <v>2</v>
      </c>
      <c r="E95" s="3">
        <v>67.09</v>
      </c>
      <c r="F95" s="4" t="str">
        <f>HYPERLINK("http://141.218.60.56/~jnz1568/getInfo.php?workbook=12_04.xlsx&amp;sheet=A0&amp;row=95&amp;col=6&amp;number=343000000000&amp;sourceID=14","343000000000")</f>
        <v>343000000000</v>
      </c>
      <c r="G95" s="4" t="str">
        <f>HYPERLINK("http://141.218.60.56/~jnz1568/getInfo.php?workbook=12_04.xlsx&amp;sheet=A0&amp;row=95&amp;col=7&amp;number=0&amp;sourceID=14","0")</f>
        <v>0</v>
      </c>
    </row>
    <row r="96" spans="1:7">
      <c r="A96" s="3">
        <v>12</v>
      </c>
      <c r="B96" s="3">
        <v>4</v>
      </c>
      <c r="C96" s="3">
        <v>18</v>
      </c>
      <c r="D96" s="3">
        <v>2</v>
      </c>
      <c r="E96" s="3">
        <v>67.084</v>
      </c>
      <c r="F96" s="4" t="str">
        <f>HYPERLINK("http://141.218.60.56/~jnz1568/getInfo.php?workbook=12_04.xlsx&amp;sheet=A0&amp;row=96&amp;col=6&amp;number=417&amp;sourceID=14","417")</f>
        <v>417</v>
      </c>
      <c r="G96" s="4" t="str">
        <f>HYPERLINK("http://141.218.60.56/~jnz1568/getInfo.php?workbook=12_04.xlsx&amp;sheet=A0&amp;row=96&amp;col=7&amp;number=0&amp;sourceID=14","0")</f>
        <v>0</v>
      </c>
    </row>
    <row r="97" spans="1:7">
      <c r="A97" s="3">
        <v>12</v>
      </c>
      <c r="B97" s="3">
        <v>4</v>
      </c>
      <c r="C97" s="3">
        <v>19</v>
      </c>
      <c r="D97" s="3">
        <v>2</v>
      </c>
      <c r="E97" s="3">
        <v>67.078</v>
      </c>
      <c r="F97" s="4" t="str">
        <f>HYPERLINK("http://141.218.60.56/~jnz1568/getInfo.php?workbook=12_04.xlsx&amp;sheet=A0&amp;row=97&amp;col=6&amp;number=537&amp;sourceID=14","537")</f>
        <v>537</v>
      </c>
      <c r="G97" s="4" t="str">
        <f>HYPERLINK("http://141.218.60.56/~jnz1568/getInfo.php?workbook=12_04.xlsx&amp;sheet=A0&amp;row=97&amp;col=7&amp;number=0&amp;sourceID=14","0")</f>
        <v>0</v>
      </c>
    </row>
    <row r="98" spans="1:7">
      <c r="A98" s="3">
        <v>12</v>
      </c>
      <c r="B98" s="3">
        <v>4</v>
      </c>
      <c r="C98" s="3">
        <v>20</v>
      </c>
      <c r="D98" s="3">
        <v>2</v>
      </c>
      <c r="E98" s="3">
        <v>66.047</v>
      </c>
      <c r="F98" s="4" t="str">
        <f>HYPERLINK("http://141.218.60.56/~jnz1568/getInfo.php?workbook=12_04.xlsx&amp;sheet=A0&amp;row=98&amp;col=6&amp;number=1910&amp;sourceID=14","1910")</f>
        <v>1910</v>
      </c>
      <c r="G98" s="4" t="str">
        <f>HYPERLINK("http://141.218.60.56/~jnz1568/getInfo.php?workbook=12_04.xlsx&amp;sheet=A0&amp;row=98&amp;col=7&amp;number=0&amp;sourceID=14","0")</f>
        <v>0</v>
      </c>
    </row>
    <row r="99" spans="1:7">
      <c r="A99" s="3">
        <v>12</v>
      </c>
      <c r="B99" s="3">
        <v>4</v>
      </c>
      <c r="C99" s="3">
        <v>22</v>
      </c>
      <c r="D99" s="3">
        <v>2</v>
      </c>
      <c r="E99" s="3">
        <v>63.664</v>
      </c>
      <c r="F99" s="4" t="str">
        <f>HYPERLINK("http://141.218.60.56/~jnz1568/getInfo.php?workbook=12_04.xlsx&amp;sheet=A0&amp;row=99&amp;col=6&amp;number=4.46&amp;sourceID=14","4.46")</f>
        <v>4.46</v>
      </c>
      <c r="G99" s="4" t="str">
        <f>HYPERLINK("http://141.218.60.56/~jnz1568/getInfo.php?workbook=12_04.xlsx&amp;sheet=A0&amp;row=99&amp;col=7&amp;number=0&amp;sourceID=14","0")</f>
        <v>0</v>
      </c>
    </row>
    <row r="100" spans="1:7">
      <c r="A100" s="3">
        <v>12</v>
      </c>
      <c r="B100" s="3">
        <v>4</v>
      </c>
      <c r="C100" s="3">
        <v>23</v>
      </c>
      <c r="D100" s="3">
        <v>2</v>
      </c>
      <c r="E100" s="3">
        <v>63.557</v>
      </c>
      <c r="F100" s="4" t="str">
        <f>HYPERLINK("http://141.218.60.56/~jnz1568/getInfo.php?workbook=12_04.xlsx&amp;sheet=A0&amp;row=100&amp;col=6&amp;number=183000&amp;sourceID=14","183000")</f>
        <v>183000</v>
      </c>
      <c r="G100" s="4" t="str">
        <f>HYPERLINK("http://141.218.60.56/~jnz1568/getInfo.php?workbook=12_04.xlsx&amp;sheet=A0&amp;row=100&amp;col=7&amp;number=0&amp;sourceID=14","0")</f>
        <v>0</v>
      </c>
    </row>
    <row r="101" spans="1:7">
      <c r="A101" s="3">
        <v>12</v>
      </c>
      <c r="B101" s="3">
        <v>4</v>
      </c>
      <c r="C101" s="3">
        <v>24</v>
      </c>
      <c r="D101" s="3">
        <v>2</v>
      </c>
      <c r="E101" s="3">
        <v>62.401</v>
      </c>
      <c r="F101" s="4" t="str">
        <f>HYPERLINK("http://141.218.60.56/~jnz1568/getInfo.php?workbook=12_04.xlsx&amp;sheet=A0&amp;row=101&amp;col=6&amp;number=4.99&amp;sourceID=14","4.99")</f>
        <v>4.99</v>
      </c>
      <c r="G101" s="4" t="str">
        <f>HYPERLINK("http://141.218.60.56/~jnz1568/getInfo.php?workbook=12_04.xlsx&amp;sheet=A0&amp;row=101&amp;col=7&amp;number=0&amp;sourceID=14","0")</f>
        <v>0</v>
      </c>
    </row>
    <row r="102" spans="1:7">
      <c r="A102" s="3">
        <v>12</v>
      </c>
      <c r="B102" s="3">
        <v>4</v>
      </c>
      <c r="C102" s="3">
        <v>25</v>
      </c>
      <c r="D102" s="3">
        <v>2</v>
      </c>
      <c r="E102" s="3">
        <v>62.204</v>
      </c>
      <c r="F102" s="4" t="str">
        <f>HYPERLINK("http://141.218.60.56/~jnz1568/getInfo.php?workbook=12_04.xlsx&amp;sheet=A0&amp;row=102&amp;col=6&amp;number=928000000&amp;sourceID=14","928000000")</f>
        <v>928000000</v>
      </c>
      <c r="G102" s="4" t="str">
        <f>HYPERLINK("http://141.218.60.56/~jnz1568/getInfo.php?workbook=12_04.xlsx&amp;sheet=A0&amp;row=102&amp;col=7&amp;number=0&amp;sourceID=14","0")</f>
        <v>0</v>
      </c>
    </row>
    <row r="103" spans="1:7">
      <c r="A103" s="3">
        <v>12</v>
      </c>
      <c r="B103" s="3">
        <v>4</v>
      </c>
      <c r="C103" s="3">
        <v>26</v>
      </c>
      <c r="D103" s="3">
        <v>2</v>
      </c>
      <c r="E103" s="3">
        <v>61.921</v>
      </c>
      <c r="F103" s="4" t="str">
        <f>HYPERLINK("http://141.218.60.56/~jnz1568/getInfo.php?workbook=12_04.xlsx&amp;sheet=A0&amp;row=103&amp;col=6&amp;number=49000000000&amp;sourceID=14","49000000000")</f>
        <v>49000000000</v>
      </c>
      <c r="G103" s="4" t="str">
        <f>HYPERLINK("http://141.218.60.56/~jnz1568/getInfo.php?workbook=12_04.xlsx&amp;sheet=A0&amp;row=103&amp;col=7&amp;number=0&amp;sourceID=14","0")</f>
        <v>0</v>
      </c>
    </row>
    <row r="104" spans="1:7">
      <c r="A104" s="3">
        <v>12</v>
      </c>
      <c r="B104" s="3">
        <v>4</v>
      </c>
      <c r="C104" s="3">
        <v>27</v>
      </c>
      <c r="D104" s="3">
        <v>2</v>
      </c>
      <c r="E104" s="3">
        <v>61.883</v>
      </c>
      <c r="F104" s="4" t="str">
        <f>HYPERLINK("http://141.218.60.56/~jnz1568/getInfo.php?workbook=12_04.xlsx&amp;sheet=A0&amp;row=104&amp;col=6&amp;number=711&amp;sourceID=14","711")</f>
        <v>711</v>
      </c>
      <c r="G104" s="4" t="str">
        <f>HYPERLINK("http://141.218.60.56/~jnz1568/getInfo.php?workbook=12_04.xlsx&amp;sheet=A0&amp;row=104&amp;col=7&amp;number=0&amp;sourceID=14","0")</f>
        <v>0</v>
      </c>
    </row>
    <row r="105" spans="1:7">
      <c r="A105" s="3">
        <v>12</v>
      </c>
      <c r="B105" s="3">
        <v>4</v>
      </c>
      <c r="C105" s="3">
        <v>28</v>
      </c>
      <c r="D105" s="3">
        <v>2</v>
      </c>
      <c r="E105" s="3">
        <v>61.787</v>
      </c>
      <c r="F105" s="4" t="str">
        <f>HYPERLINK("http://141.218.60.56/~jnz1568/getInfo.php?workbook=12_04.xlsx&amp;sheet=A0&amp;row=105&amp;col=6&amp;number=12.7&amp;sourceID=14","12.7")</f>
        <v>12.7</v>
      </c>
      <c r="G105" s="4" t="str">
        <f>HYPERLINK("http://141.218.60.56/~jnz1568/getInfo.php?workbook=12_04.xlsx&amp;sheet=A0&amp;row=105&amp;col=7&amp;number=0&amp;sourceID=14","0")</f>
        <v>0</v>
      </c>
    </row>
    <row r="106" spans="1:7">
      <c r="A106" s="3">
        <v>12</v>
      </c>
      <c r="B106" s="3">
        <v>4</v>
      </c>
      <c r="C106" s="3">
        <v>29</v>
      </c>
      <c r="D106" s="3">
        <v>2</v>
      </c>
      <c r="E106" s="3">
        <v>61.355</v>
      </c>
      <c r="F106" s="4" t="str">
        <f>HYPERLINK("http://141.218.60.56/~jnz1568/getInfo.php?workbook=12_04.xlsx&amp;sheet=A0&amp;row=106&amp;col=6&amp;number=23200000000&amp;sourceID=14","23200000000")</f>
        <v>23200000000</v>
      </c>
      <c r="G106" s="4" t="str">
        <f>HYPERLINK("http://141.218.60.56/~jnz1568/getInfo.php?workbook=12_04.xlsx&amp;sheet=A0&amp;row=106&amp;col=7&amp;number=0&amp;sourceID=14","0")</f>
        <v>0</v>
      </c>
    </row>
    <row r="107" spans="1:7">
      <c r="A107" s="3">
        <v>12</v>
      </c>
      <c r="B107" s="3">
        <v>4</v>
      </c>
      <c r="C107" s="3">
        <v>31</v>
      </c>
      <c r="D107" s="3">
        <v>2</v>
      </c>
      <c r="E107" s="3">
        <v>61.043</v>
      </c>
      <c r="F107" s="4" t="str">
        <f>HYPERLINK("http://141.218.60.56/~jnz1568/getInfo.php?workbook=12_04.xlsx&amp;sheet=A0&amp;row=107&amp;col=6&amp;number=38400000000&amp;sourceID=14","38400000000")</f>
        <v>38400000000</v>
      </c>
      <c r="G107" s="4" t="str">
        <f>HYPERLINK("http://141.218.60.56/~jnz1568/getInfo.php?workbook=12_04.xlsx&amp;sheet=A0&amp;row=107&amp;col=7&amp;number=0&amp;sourceID=14","0")</f>
        <v>0</v>
      </c>
    </row>
    <row r="108" spans="1:7">
      <c r="A108" s="3">
        <v>12</v>
      </c>
      <c r="B108" s="3">
        <v>4</v>
      </c>
      <c r="C108" s="3">
        <v>32</v>
      </c>
      <c r="D108" s="3">
        <v>2</v>
      </c>
      <c r="E108" s="3">
        <v>60.995</v>
      </c>
      <c r="F108" s="4" t="str">
        <f>HYPERLINK("http://141.218.60.56/~jnz1568/getInfo.php?workbook=12_04.xlsx&amp;sheet=A0&amp;row=108&amp;col=6&amp;number=399&amp;sourceID=14","399")</f>
        <v>399</v>
      </c>
      <c r="G108" s="4" t="str">
        <f>HYPERLINK("http://141.218.60.56/~jnz1568/getInfo.php?workbook=12_04.xlsx&amp;sheet=A0&amp;row=108&amp;col=7&amp;number=0&amp;sourceID=14","0")</f>
        <v>0</v>
      </c>
    </row>
    <row r="109" spans="1:7">
      <c r="A109" s="3">
        <v>12</v>
      </c>
      <c r="B109" s="3">
        <v>4</v>
      </c>
      <c r="C109" s="3">
        <v>33</v>
      </c>
      <c r="D109" s="3">
        <v>2</v>
      </c>
      <c r="E109" s="3">
        <v>-60.799</v>
      </c>
      <c r="F109" s="4" t="str">
        <f>HYPERLINK("http://141.218.60.56/~jnz1568/getInfo.php?workbook=12_04.xlsx&amp;sheet=A0&amp;row=109&amp;col=6&amp;number=24700000&amp;sourceID=14","24700000")</f>
        <v>24700000</v>
      </c>
      <c r="G109" s="4" t="str">
        <f>HYPERLINK("http://141.218.60.56/~jnz1568/getInfo.php?workbook=12_04.xlsx&amp;sheet=A0&amp;row=109&amp;col=7&amp;number=0&amp;sourceID=14","0")</f>
        <v>0</v>
      </c>
    </row>
    <row r="110" spans="1:7">
      <c r="A110" s="3">
        <v>12</v>
      </c>
      <c r="B110" s="3">
        <v>4</v>
      </c>
      <c r="C110" s="3">
        <v>34</v>
      </c>
      <c r="D110" s="3">
        <v>2</v>
      </c>
      <c r="E110" s="3">
        <v>-60.723</v>
      </c>
      <c r="F110" s="4" t="str">
        <f>HYPERLINK("http://141.218.60.56/~jnz1568/getInfo.php?workbook=12_04.xlsx&amp;sheet=A0&amp;row=110&amp;col=6&amp;number=0.37&amp;sourceID=14","0.37")</f>
        <v>0.37</v>
      </c>
      <c r="G110" s="4" t="str">
        <f>HYPERLINK("http://141.218.60.56/~jnz1568/getInfo.php?workbook=12_04.xlsx&amp;sheet=A0&amp;row=110&amp;col=7&amp;number=0&amp;sourceID=14","0")</f>
        <v>0</v>
      </c>
    </row>
    <row r="111" spans="1:7">
      <c r="A111" s="3">
        <v>12</v>
      </c>
      <c r="B111" s="3">
        <v>4</v>
      </c>
      <c r="C111" s="3">
        <v>35</v>
      </c>
      <c r="D111" s="3">
        <v>2</v>
      </c>
      <c r="E111" s="3">
        <v>60.638</v>
      </c>
      <c r="F111" s="4" t="str">
        <f>HYPERLINK("http://141.218.60.56/~jnz1568/getInfo.php?workbook=12_04.xlsx&amp;sheet=A0&amp;row=111&amp;col=6&amp;number=8510000&amp;sourceID=14","8510000")</f>
        <v>8510000</v>
      </c>
      <c r="G111" s="4" t="str">
        <f>HYPERLINK("http://141.218.60.56/~jnz1568/getInfo.php?workbook=12_04.xlsx&amp;sheet=A0&amp;row=111&amp;col=7&amp;number=0&amp;sourceID=14","0")</f>
        <v>0</v>
      </c>
    </row>
    <row r="112" spans="1:7">
      <c r="A112" s="3">
        <v>12</v>
      </c>
      <c r="B112" s="3">
        <v>4</v>
      </c>
      <c r="C112" s="3">
        <v>36</v>
      </c>
      <c r="D112" s="3">
        <v>2</v>
      </c>
      <c r="E112" s="3">
        <v>-60.649</v>
      </c>
      <c r="F112" s="4" t="str">
        <f>HYPERLINK("http://141.218.60.56/~jnz1568/getInfo.php?workbook=12_04.xlsx&amp;sheet=A0&amp;row=112&amp;col=6&amp;number=0.000142&amp;sourceID=14","0.000142")</f>
        <v>0.000142</v>
      </c>
      <c r="G112" s="4" t="str">
        <f>HYPERLINK("http://141.218.60.56/~jnz1568/getInfo.php?workbook=12_04.xlsx&amp;sheet=A0&amp;row=112&amp;col=7&amp;number=0&amp;sourceID=14","0")</f>
        <v>0</v>
      </c>
    </row>
    <row r="113" spans="1:7">
      <c r="A113" s="3">
        <v>12</v>
      </c>
      <c r="B113" s="3">
        <v>4</v>
      </c>
      <c r="C113" s="3">
        <v>37</v>
      </c>
      <c r="D113" s="3">
        <v>2</v>
      </c>
      <c r="E113" s="3">
        <v>60.41</v>
      </c>
      <c r="F113" s="4" t="str">
        <f>HYPERLINK("http://141.218.60.56/~jnz1568/getInfo.php?workbook=12_04.xlsx&amp;sheet=A0&amp;row=113&amp;col=6&amp;number=313&amp;sourceID=14","313")</f>
        <v>313</v>
      </c>
      <c r="G113" s="4" t="str">
        <f>HYPERLINK("http://141.218.60.56/~jnz1568/getInfo.php?workbook=12_04.xlsx&amp;sheet=A0&amp;row=113&amp;col=7&amp;number=0&amp;sourceID=14","0")</f>
        <v>0</v>
      </c>
    </row>
    <row r="114" spans="1:7">
      <c r="A114" s="3">
        <v>12</v>
      </c>
      <c r="B114" s="3">
        <v>4</v>
      </c>
      <c r="C114" s="3">
        <v>38</v>
      </c>
      <c r="D114" s="3">
        <v>2</v>
      </c>
      <c r="E114" s="3">
        <v>59.995</v>
      </c>
      <c r="F114" s="4" t="str">
        <f>HYPERLINK("http://141.218.60.56/~jnz1568/getInfo.php?workbook=12_04.xlsx&amp;sheet=A0&amp;row=114&amp;col=6&amp;number=0.0313&amp;sourceID=14","0.0313")</f>
        <v>0.0313</v>
      </c>
      <c r="G114" s="4" t="str">
        <f>HYPERLINK("http://141.218.60.56/~jnz1568/getInfo.php?workbook=12_04.xlsx&amp;sheet=A0&amp;row=114&amp;col=7&amp;number=0&amp;sourceID=14","0")</f>
        <v>0</v>
      </c>
    </row>
    <row r="115" spans="1:7">
      <c r="A115" s="3">
        <v>12</v>
      </c>
      <c r="B115" s="3">
        <v>4</v>
      </c>
      <c r="C115" s="3">
        <v>39</v>
      </c>
      <c r="D115" s="3">
        <v>2</v>
      </c>
      <c r="E115" s="3">
        <v>59.975</v>
      </c>
      <c r="F115" s="4" t="str">
        <f>HYPERLINK("http://141.218.60.56/~jnz1568/getInfo.php?workbook=12_04.xlsx&amp;sheet=A0&amp;row=115&amp;col=6&amp;number=22000000&amp;sourceID=14","22000000")</f>
        <v>22000000</v>
      </c>
      <c r="G115" s="4" t="str">
        <f>HYPERLINK("http://141.218.60.56/~jnz1568/getInfo.php?workbook=12_04.xlsx&amp;sheet=A0&amp;row=115&amp;col=7&amp;number=0&amp;sourceID=14","0")</f>
        <v>0</v>
      </c>
    </row>
    <row r="116" spans="1:7">
      <c r="A116" s="3">
        <v>12</v>
      </c>
      <c r="B116" s="3">
        <v>4</v>
      </c>
      <c r="C116" s="3">
        <v>40</v>
      </c>
      <c r="D116" s="3">
        <v>2</v>
      </c>
      <c r="E116" s="3">
        <v>59.939</v>
      </c>
      <c r="F116" s="4" t="str">
        <f>HYPERLINK("http://141.218.60.56/~jnz1568/getInfo.php?workbook=12_04.xlsx&amp;sheet=A0&amp;row=116&amp;col=6&amp;number=0.276&amp;sourceID=14","0.276")</f>
        <v>0.276</v>
      </c>
      <c r="G116" s="4" t="str">
        <f>HYPERLINK("http://141.218.60.56/~jnz1568/getInfo.php?workbook=12_04.xlsx&amp;sheet=A0&amp;row=116&amp;col=7&amp;number=0&amp;sourceID=14","0")</f>
        <v>0</v>
      </c>
    </row>
    <row r="117" spans="1:7">
      <c r="A117" s="3">
        <v>12</v>
      </c>
      <c r="B117" s="3">
        <v>4</v>
      </c>
      <c r="C117" s="3">
        <v>41</v>
      </c>
      <c r="D117" s="3">
        <v>2</v>
      </c>
      <c r="E117" s="3">
        <v>59.712</v>
      </c>
      <c r="F117" s="4" t="str">
        <f>HYPERLINK("http://141.218.60.56/~jnz1568/getInfo.php?workbook=12_04.xlsx&amp;sheet=A0&amp;row=117&amp;col=6&amp;number=6030000&amp;sourceID=14","6030000")</f>
        <v>6030000</v>
      </c>
      <c r="G117" s="4" t="str">
        <f>HYPERLINK("http://141.218.60.56/~jnz1568/getInfo.php?workbook=12_04.xlsx&amp;sheet=A0&amp;row=117&amp;col=7&amp;number=0&amp;sourceID=14","0")</f>
        <v>0</v>
      </c>
    </row>
    <row r="118" spans="1:7">
      <c r="A118" s="3">
        <v>12</v>
      </c>
      <c r="B118" s="3">
        <v>4</v>
      </c>
      <c r="C118" s="3">
        <v>42</v>
      </c>
      <c r="D118" s="3">
        <v>2</v>
      </c>
      <c r="E118" s="3">
        <v>59.676</v>
      </c>
      <c r="F118" s="4" t="str">
        <f>HYPERLINK("http://141.218.60.56/~jnz1568/getInfo.php?workbook=12_04.xlsx&amp;sheet=A0&amp;row=118&amp;col=6&amp;number=1.87&amp;sourceID=14","1.87")</f>
        <v>1.87</v>
      </c>
      <c r="G118" s="4" t="str">
        <f>HYPERLINK("http://141.218.60.56/~jnz1568/getInfo.php?workbook=12_04.xlsx&amp;sheet=A0&amp;row=118&amp;col=7&amp;number=0&amp;sourceID=14","0")</f>
        <v>0</v>
      </c>
    </row>
    <row r="119" spans="1:7">
      <c r="A119" s="3">
        <v>12</v>
      </c>
      <c r="B119" s="3">
        <v>4</v>
      </c>
      <c r="C119" s="3">
        <v>45</v>
      </c>
      <c r="D119" s="3">
        <v>2</v>
      </c>
      <c r="E119" s="3">
        <v>59.026</v>
      </c>
      <c r="F119" s="4" t="str">
        <f>HYPERLINK("http://141.218.60.56/~jnz1568/getInfo.php?workbook=12_04.xlsx&amp;sheet=A0&amp;row=119&amp;col=6&amp;number=0.39&amp;sourceID=14","0.39")</f>
        <v>0.39</v>
      </c>
      <c r="G119" s="4" t="str">
        <f>HYPERLINK("http://141.218.60.56/~jnz1568/getInfo.php?workbook=12_04.xlsx&amp;sheet=A0&amp;row=119&amp;col=7&amp;number=0&amp;sourceID=14","0")</f>
        <v>0</v>
      </c>
    </row>
    <row r="120" spans="1:7">
      <c r="A120" s="3">
        <v>12</v>
      </c>
      <c r="B120" s="3">
        <v>4</v>
      </c>
      <c r="C120" s="3">
        <v>46</v>
      </c>
      <c r="D120" s="3">
        <v>2</v>
      </c>
      <c r="E120" s="3">
        <v>58.787</v>
      </c>
      <c r="F120" s="4" t="str">
        <f>HYPERLINK("http://141.218.60.56/~jnz1568/getInfo.php?workbook=12_04.xlsx&amp;sheet=A0&amp;row=120&amp;col=6&amp;number=0.403&amp;sourceID=14","0.403")</f>
        <v>0.403</v>
      </c>
      <c r="G120" s="4" t="str">
        <f>HYPERLINK("http://141.218.60.56/~jnz1568/getInfo.php?workbook=12_04.xlsx&amp;sheet=A0&amp;row=120&amp;col=7&amp;number=0&amp;sourceID=14","0")</f>
        <v>0</v>
      </c>
    </row>
    <row r="121" spans="1:7">
      <c r="A121" s="3">
        <v>12</v>
      </c>
      <c r="B121" s="3">
        <v>4</v>
      </c>
      <c r="C121" s="3">
        <v>47</v>
      </c>
      <c r="D121" s="3">
        <v>2</v>
      </c>
      <c r="E121" s="3">
        <v>-52.661</v>
      </c>
      <c r="F121" s="4" t="str">
        <f>HYPERLINK("http://141.218.60.56/~jnz1568/getInfo.php?workbook=12_04.xlsx&amp;sheet=A0&amp;row=121&amp;col=6&amp;number=4910000000&amp;sourceID=14","4910000000")</f>
        <v>4910000000</v>
      </c>
      <c r="G121" s="4" t="str">
        <f>HYPERLINK("http://141.218.60.56/~jnz1568/getInfo.php?workbook=12_04.xlsx&amp;sheet=A0&amp;row=121&amp;col=7&amp;number=0&amp;sourceID=14","0")</f>
        <v>0</v>
      </c>
    </row>
    <row r="122" spans="1:7">
      <c r="A122" s="3">
        <v>12</v>
      </c>
      <c r="B122" s="3">
        <v>4</v>
      </c>
      <c r="C122" s="3">
        <v>50</v>
      </c>
      <c r="D122" s="3">
        <v>2</v>
      </c>
      <c r="E122" s="3">
        <v>-51.985</v>
      </c>
      <c r="F122" s="4" t="str">
        <f>HYPERLINK("http://141.218.60.56/~jnz1568/getInfo.php?workbook=12_04.xlsx&amp;sheet=A0&amp;row=122&amp;col=6&amp;number=4.76&amp;sourceID=14","4.76")</f>
        <v>4.76</v>
      </c>
      <c r="G122" s="4" t="str">
        <f>HYPERLINK("http://141.218.60.56/~jnz1568/getInfo.php?workbook=12_04.xlsx&amp;sheet=A0&amp;row=122&amp;col=7&amp;number=0&amp;sourceID=14","0")</f>
        <v>0</v>
      </c>
    </row>
    <row r="123" spans="1:7">
      <c r="A123" s="3">
        <v>12</v>
      </c>
      <c r="B123" s="3">
        <v>4</v>
      </c>
      <c r="C123" s="3">
        <v>51</v>
      </c>
      <c r="D123" s="3">
        <v>2</v>
      </c>
      <c r="E123" s="3">
        <v>-51.978</v>
      </c>
      <c r="F123" s="4" t="str">
        <f>HYPERLINK("http://141.218.60.56/~jnz1568/getInfo.php?workbook=12_04.xlsx&amp;sheet=A0&amp;row=123&amp;col=6&amp;number=2530000&amp;sourceID=14","2530000")</f>
        <v>2530000</v>
      </c>
      <c r="G123" s="4" t="str">
        <f>HYPERLINK("http://141.218.60.56/~jnz1568/getInfo.php?workbook=12_04.xlsx&amp;sheet=A0&amp;row=123&amp;col=7&amp;number=0&amp;sourceID=14","0")</f>
        <v>0</v>
      </c>
    </row>
    <row r="124" spans="1:7">
      <c r="A124" s="3">
        <v>12</v>
      </c>
      <c r="B124" s="3">
        <v>4</v>
      </c>
      <c r="C124" s="3">
        <v>52</v>
      </c>
      <c r="D124" s="3">
        <v>2</v>
      </c>
      <c r="E124" s="3">
        <v>51.863</v>
      </c>
      <c r="F124" s="4" t="str">
        <f>HYPERLINK("http://141.218.60.56/~jnz1568/getInfo.php?workbook=12_04.xlsx&amp;sheet=A0&amp;row=124&amp;col=6&amp;number=3.63&amp;sourceID=14","3.63")</f>
        <v>3.63</v>
      </c>
      <c r="G124" s="4" t="str">
        <f>HYPERLINK("http://141.218.60.56/~jnz1568/getInfo.php?workbook=12_04.xlsx&amp;sheet=A0&amp;row=124&amp;col=7&amp;number=0&amp;sourceID=14","0")</f>
        <v>0</v>
      </c>
    </row>
    <row r="125" spans="1:7">
      <c r="A125" s="3">
        <v>12</v>
      </c>
      <c r="B125" s="3">
        <v>4</v>
      </c>
      <c r="C125" s="3">
        <v>53</v>
      </c>
      <c r="D125" s="3">
        <v>2</v>
      </c>
      <c r="E125" s="3">
        <v>51.561</v>
      </c>
      <c r="F125" s="4" t="str">
        <f>HYPERLINK("http://141.218.60.56/~jnz1568/getInfo.php?workbook=12_04.xlsx&amp;sheet=A0&amp;row=125&amp;col=6&amp;number=107000000000&amp;sourceID=14","107000000000")</f>
        <v>107000000000</v>
      </c>
      <c r="G125" s="4" t="str">
        <f>HYPERLINK("http://141.218.60.56/~jnz1568/getInfo.php?workbook=12_04.xlsx&amp;sheet=A0&amp;row=125&amp;col=7&amp;number=0&amp;sourceID=14","0")</f>
        <v>0</v>
      </c>
    </row>
    <row r="126" spans="1:7">
      <c r="A126" s="3">
        <v>12</v>
      </c>
      <c r="B126" s="3">
        <v>4</v>
      </c>
      <c r="C126" s="3">
        <v>54</v>
      </c>
      <c r="D126" s="3">
        <v>2</v>
      </c>
      <c r="E126" s="3">
        <v>51.561</v>
      </c>
      <c r="F126" s="4" t="str">
        <f>HYPERLINK("http://141.218.60.56/~jnz1568/getInfo.php?workbook=12_04.xlsx&amp;sheet=A0&amp;row=126&amp;col=6&amp;number=195&amp;sourceID=14","195")</f>
        <v>195</v>
      </c>
      <c r="G126" s="4" t="str">
        <f>HYPERLINK("http://141.218.60.56/~jnz1568/getInfo.php?workbook=12_04.xlsx&amp;sheet=A0&amp;row=126&amp;col=7&amp;number=0&amp;sourceID=14","0")</f>
        <v>0</v>
      </c>
    </row>
    <row r="127" spans="1:7">
      <c r="A127" s="3">
        <v>12</v>
      </c>
      <c r="B127" s="3">
        <v>4</v>
      </c>
      <c r="C127" s="3">
        <v>55</v>
      </c>
      <c r="D127" s="3">
        <v>2</v>
      </c>
      <c r="E127" s="3">
        <v>51.559</v>
      </c>
      <c r="F127" s="4" t="str">
        <f>HYPERLINK("http://141.218.60.56/~jnz1568/getInfo.php?workbook=12_04.xlsx&amp;sheet=A0&amp;row=127&amp;col=6&amp;number=168&amp;sourceID=14","168")</f>
        <v>168</v>
      </c>
      <c r="G127" s="4" t="str">
        <f>HYPERLINK("http://141.218.60.56/~jnz1568/getInfo.php?workbook=12_04.xlsx&amp;sheet=A0&amp;row=127&amp;col=7&amp;number=0&amp;sourceID=14","0")</f>
        <v>0</v>
      </c>
    </row>
    <row r="128" spans="1:7">
      <c r="A128" s="3">
        <v>12</v>
      </c>
      <c r="B128" s="3">
        <v>4</v>
      </c>
      <c r="C128" s="3">
        <v>56</v>
      </c>
      <c r="D128" s="3">
        <v>2</v>
      </c>
      <c r="E128" s="3">
        <v>51.351</v>
      </c>
      <c r="F128" s="4" t="str">
        <f>HYPERLINK("http://141.218.60.56/~jnz1568/getInfo.php?workbook=12_04.xlsx&amp;sheet=A0&amp;row=128&amp;col=6&amp;number=1180&amp;sourceID=14","1180")</f>
        <v>1180</v>
      </c>
      <c r="G128" s="4" t="str">
        <f>HYPERLINK("http://141.218.60.56/~jnz1568/getInfo.php?workbook=12_04.xlsx&amp;sheet=A0&amp;row=128&amp;col=7&amp;number=0&amp;sourceID=14","0")</f>
        <v>0</v>
      </c>
    </row>
    <row r="129" spans="1:7">
      <c r="A129" s="3">
        <v>12</v>
      </c>
      <c r="B129" s="3">
        <v>4</v>
      </c>
      <c r="C129" s="3">
        <v>57</v>
      </c>
      <c r="D129" s="3">
        <v>2</v>
      </c>
      <c r="E129" s="3">
        <v>-51.373</v>
      </c>
      <c r="F129" s="4" t="str">
        <f>HYPERLINK("http://141.218.60.56/~jnz1568/getInfo.php?workbook=12_04.xlsx&amp;sheet=A0&amp;row=129&amp;col=6&amp;number=58700000&amp;sourceID=14","58700000")</f>
        <v>58700000</v>
      </c>
      <c r="G129" s="4" t="str">
        <f>HYPERLINK("http://141.218.60.56/~jnz1568/getInfo.php?workbook=12_04.xlsx&amp;sheet=A0&amp;row=129&amp;col=7&amp;number=0&amp;sourceID=14","0")</f>
        <v>0</v>
      </c>
    </row>
    <row r="130" spans="1:7">
      <c r="A130" s="3">
        <v>12</v>
      </c>
      <c r="B130" s="3">
        <v>4</v>
      </c>
      <c r="C130" s="3">
        <v>58</v>
      </c>
      <c r="D130" s="3">
        <v>2</v>
      </c>
      <c r="E130" s="3">
        <v>-51.372</v>
      </c>
      <c r="F130" s="4" t="str">
        <f>HYPERLINK("http://141.218.60.56/~jnz1568/getInfo.php?workbook=12_04.xlsx&amp;sheet=A0&amp;row=130&amp;col=6&amp;number=0.0515&amp;sourceID=14","0.0515")</f>
        <v>0.0515</v>
      </c>
      <c r="G130" s="4" t="str">
        <f>HYPERLINK("http://141.218.60.56/~jnz1568/getInfo.php?workbook=12_04.xlsx&amp;sheet=A0&amp;row=130&amp;col=7&amp;number=0&amp;sourceID=14","0")</f>
        <v>0</v>
      </c>
    </row>
    <row r="131" spans="1:7">
      <c r="A131" s="3">
        <v>12</v>
      </c>
      <c r="B131" s="3">
        <v>4</v>
      </c>
      <c r="C131" s="3">
        <v>59</v>
      </c>
      <c r="D131" s="3">
        <v>2</v>
      </c>
      <c r="E131" s="3">
        <v>-51.371</v>
      </c>
      <c r="F131" s="4" t="str">
        <f>HYPERLINK("http://141.218.60.56/~jnz1568/getInfo.php?workbook=12_04.xlsx&amp;sheet=A0&amp;row=131&amp;col=6&amp;number=0.0621&amp;sourceID=14","0.0621")</f>
        <v>0.0621</v>
      </c>
      <c r="G131" s="4" t="str">
        <f>HYPERLINK("http://141.218.60.56/~jnz1568/getInfo.php?workbook=12_04.xlsx&amp;sheet=A0&amp;row=131&amp;col=7&amp;number=0&amp;sourceID=14","0")</f>
        <v>0</v>
      </c>
    </row>
    <row r="132" spans="1:7">
      <c r="A132" s="3">
        <v>12</v>
      </c>
      <c r="B132" s="3">
        <v>4</v>
      </c>
      <c r="C132" s="3">
        <v>60</v>
      </c>
      <c r="D132" s="3">
        <v>2</v>
      </c>
      <c r="E132" s="3">
        <v>-51.304</v>
      </c>
      <c r="F132" s="4" t="str">
        <f>HYPERLINK("http://141.218.60.56/~jnz1568/getInfo.php?workbook=12_04.xlsx&amp;sheet=A0&amp;row=132&amp;col=6&amp;number=0.175&amp;sourceID=14","0.175")</f>
        <v>0.175</v>
      </c>
      <c r="G132" s="4" t="str">
        <f>HYPERLINK("http://141.218.60.56/~jnz1568/getInfo.php?workbook=12_04.xlsx&amp;sheet=A0&amp;row=132&amp;col=7&amp;number=0&amp;sourceID=14","0")</f>
        <v>0</v>
      </c>
    </row>
    <row r="133" spans="1:7">
      <c r="A133" s="3">
        <v>12</v>
      </c>
      <c r="B133" s="3">
        <v>4</v>
      </c>
      <c r="C133" s="3">
        <v>62</v>
      </c>
      <c r="D133" s="3">
        <v>2</v>
      </c>
      <c r="E133" s="3">
        <v>-48.408</v>
      </c>
      <c r="F133" s="4" t="str">
        <f>HYPERLINK("http://141.218.60.56/~jnz1568/getInfo.php?workbook=12_04.xlsx&amp;sheet=A0&amp;row=133&amp;col=6&amp;number=7.99&amp;sourceID=14","7.99")</f>
        <v>7.99</v>
      </c>
      <c r="G133" s="4" t="str">
        <f>HYPERLINK("http://141.218.60.56/~jnz1568/getInfo.php?workbook=12_04.xlsx&amp;sheet=A0&amp;row=133&amp;col=7&amp;number=0&amp;sourceID=14","0")</f>
        <v>0</v>
      </c>
    </row>
    <row r="134" spans="1:7">
      <c r="A134" s="3">
        <v>12</v>
      </c>
      <c r="B134" s="3">
        <v>4</v>
      </c>
      <c r="C134" s="3">
        <v>63</v>
      </c>
      <c r="D134" s="3">
        <v>2</v>
      </c>
      <c r="E134" s="3">
        <v>-48.338</v>
      </c>
      <c r="F134" s="4" t="str">
        <f>HYPERLINK("http://141.218.60.56/~jnz1568/getInfo.php?workbook=12_04.xlsx&amp;sheet=A0&amp;row=134&amp;col=6&amp;number=81200&amp;sourceID=14","81200")</f>
        <v>81200</v>
      </c>
      <c r="G134" s="4" t="str">
        <f>HYPERLINK("http://141.218.60.56/~jnz1568/getInfo.php?workbook=12_04.xlsx&amp;sheet=A0&amp;row=134&amp;col=7&amp;number=0&amp;sourceID=14","0")</f>
        <v>0</v>
      </c>
    </row>
    <row r="135" spans="1:7">
      <c r="A135" s="3">
        <v>12</v>
      </c>
      <c r="B135" s="3">
        <v>4</v>
      </c>
      <c r="C135" s="3">
        <v>64</v>
      </c>
      <c r="D135" s="3">
        <v>2</v>
      </c>
      <c r="E135" s="3">
        <v>-48.193</v>
      </c>
      <c r="F135" s="4" t="str">
        <f>HYPERLINK("http://141.218.60.56/~jnz1568/getInfo.php?workbook=12_04.xlsx&amp;sheet=A0&amp;row=135&amp;col=6&amp;number=1.34&amp;sourceID=14","1.34")</f>
        <v>1.34</v>
      </c>
      <c r="G135" s="4" t="str">
        <f>HYPERLINK("http://141.218.60.56/~jnz1568/getInfo.php?workbook=12_04.xlsx&amp;sheet=A0&amp;row=135&amp;col=7&amp;number=0&amp;sourceID=14","0")</f>
        <v>0</v>
      </c>
    </row>
    <row r="136" spans="1:7">
      <c r="A136" s="3">
        <v>12</v>
      </c>
      <c r="B136" s="3">
        <v>4</v>
      </c>
      <c r="C136" s="3">
        <v>65</v>
      </c>
      <c r="D136" s="3">
        <v>2</v>
      </c>
      <c r="E136" s="3">
        <v>-48.019</v>
      </c>
      <c r="F136" s="4" t="str">
        <f>HYPERLINK("http://141.218.60.56/~jnz1568/getInfo.php?workbook=12_04.xlsx&amp;sheet=A0&amp;row=136&amp;col=6&amp;number=6790000000&amp;sourceID=14","6790000000")</f>
        <v>6790000000</v>
      </c>
      <c r="G136" s="4" t="str">
        <f>HYPERLINK("http://141.218.60.56/~jnz1568/getInfo.php?workbook=12_04.xlsx&amp;sheet=A0&amp;row=136&amp;col=7&amp;number=0&amp;sourceID=14","0")</f>
        <v>0</v>
      </c>
    </row>
    <row r="137" spans="1:7">
      <c r="A137" s="3">
        <v>12</v>
      </c>
      <c r="B137" s="3">
        <v>4</v>
      </c>
      <c r="C137" s="3">
        <v>66</v>
      </c>
      <c r="D137" s="3">
        <v>2</v>
      </c>
      <c r="E137" s="3">
        <v>-47.96</v>
      </c>
      <c r="F137" s="4" t="str">
        <f>HYPERLINK("http://141.218.60.56/~jnz1568/getInfo.php?workbook=12_04.xlsx&amp;sheet=A0&amp;row=137&amp;col=6&amp;number=34400000000&amp;sourceID=14","34400000000")</f>
        <v>34400000000</v>
      </c>
      <c r="G137" s="4" t="str">
        <f>HYPERLINK("http://141.218.60.56/~jnz1568/getInfo.php?workbook=12_04.xlsx&amp;sheet=A0&amp;row=137&amp;col=7&amp;number=0&amp;sourceID=14","0")</f>
        <v>0</v>
      </c>
    </row>
    <row r="138" spans="1:7">
      <c r="A138" s="3">
        <v>12</v>
      </c>
      <c r="B138" s="3">
        <v>4</v>
      </c>
      <c r="C138" s="3">
        <v>67</v>
      </c>
      <c r="D138" s="3">
        <v>2</v>
      </c>
      <c r="E138" s="3">
        <v>-47.949</v>
      </c>
      <c r="F138" s="4" t="str">
        <f>HYPERLINK("http://141.218.60.56/~jnz1568/getInfo.php?workbook=12_04.xlsx&amp;sheet=A0&amp;row=138&amp;col=6&amp;number=412&amp;sourceID=14","412")</f>
        <v>412</v>
      </c>
      <c r="G138" s="4" t="str">
        <f>HYPERLINK("http://141.218.60.56/~jnz1568/getInfo.php?workbook=12_04.xlsx&amp;sheet=A0&amp;row=138&amp;col=7&amp;number=0&amp;sourceID=14","0")</f>
        <v>0</v>
      </c>
    </row>
    <row r="139" spans="1:7">
      <c r="A139" s="3">
        <v>12</v>
      </c>
      <c r="B139" s="3">
        <v>4</v>
      </c>
      <c r="C139" s="3">
        <v>68</v>
      </c>
      <c r="D139" s="3">
        <v>2</v>
      </c>
      <c r="E139" s="3">
        <v>47.865</v>
      </c>
      <c r="F139" s="4" t="str">
        <f>HYPERLINK("http://141.218.60.56/~jnz1568/getInfo.php?workbook=12_04.xlsx&amp;sheet=A0&amp;row=139&amp;col=6&amp;number=170&amp;sourceID=14","170")</f>
        <v>170</v>
      </c>
      <c r="G139" s="4" t="str">
        <f>HYPERLINK("http://141.218.60.56/~jnz1568/getInfo.php?workbook=12_04.xlsx&amp;sheet=A0&amp;row=139&amp;col=7&amp;number=0&amp;sourceID=14","0")</f>
        <v>0</v>
      </c>
    </row>
    <row r="140" spans="1:7">
      <c r="A140" s="3">
        <v>12</v>
      </c>
      <c r="B140" s="3">
        <v>4</v>
      </c>
      <c r="C140" s="3">
        <v>69</v>
      </c>
      <c r="D140" s="3">
        <v>2</v>
      </c>
      <c r="E140" s="3">
        <v>-47.827</v>
      </c>
      <c r="F140" s="4" t="str">
        <f>HYPERLINK("http://141.218.60.56/~jnz1568/getInfo.php?workbook=12_04.xlsx&amp;sheet=A0&amp;row=140&amp;col=6&amp;number=20100000000&amp;sourceID=14","20100000000")</f>
        <v>20100000000</v>
      </c>
      <c r="G140" s="4" t="str">
        <f>HYPERLINK("http://141.218.60.56/~jnz1568/getInfo.php?workbook=12_04.xlsx&amp;sheet=A0&amp;row=140&amp;col=7&amp;number=0&amp;sourceID=14","0")</f>
        <v>0</v>
      </c>
    </row>
    <row r="141" spans="1:7">
      <c r="A141" s="3">
        <v>12</v>
      </c>
      <c r="B141" s="3">
        <v>4</v>
      </c>
      <c r="C141" s="3">
        <v>71</v>
      </c>
      <c r="D141" s="3">
        <v>2</v>
      </c>
      <c r="E141" s="3">
        <v>-47.768</v>
      </c>
      <c r="F141" s="4" t="str">
        <f>HYPERLINK("http://141.218.60.56/~jnz1568/getInfo.php?workbook=12_04.xlsx&amp;sheet=A0&amp;row=141&amp;col=6&amp;number=2780000000&amp;sourceID=14","2780000000")</f>
        <v>2780000000</v>
      </c>
      <c r="G141" s="4" t="str">
        <f>HYPERLINK("http://141.218.60.56/~jnz1568/getInfo.php?workbook=12_04.xlsx&amp;sheet=A0&amp;row=141&amp;col=7&amp;number=0&amp;sourceID=14","0")</f>
        <v>0</v>
      </c>
    </row>
    <row r="142" spans="1:7">
      <c r="A142" s="3">
        <v>12</v>
      </c>
      <c r="B142" s="3">
        <v>4</v>
      </c>
      <c r="C142" s="3">
        <v>72</v>
      </c>
      <c r="D142" s="3">
        <v>2</v>
      </c>
      <c r="E142" s="3">
        <v>47.736</v>
      </c>
      <c r="F142" s="4" t="str">
        <f>HYPERLINK("http://141.218.60.56/~jnz1568/getInfo.php?workbook=12_04.xlsx&amp;sheet=A0&amp;row=142&amp;col=6&amp;number=498&amp;sourceID=14","498")</f>
        <v>498</v>
      </c>
      <c r="G142" s="4" t="str">
        <f>HYPERLINK("http://141.218.60.56/~jnz1568/getInfo.php?workbook=12_04.xlsx&amp;sheet=A0&amp;row=142&amp;col=7&amp;number=0&amp;sourceID=14","0")</f>
        <v>0</v>
      </c>
    </row>
    <row r="143" spans="1:7">
      <c r="A143" s="3">
        <v>12</v>
      </c>
      <c r="B143" s="3">
        <v>4</v>
      </c>
      <c r="C143" s="3">
        <v>73</v>
      </c>
      <c r="D143" s="3">
        <v>2</v>
      </c>
      <c r="E143" s="3">
        <v>-47.689</v>
      </c>
      <c r="F143" s="4" t="str">
        <f>HYPERLINK("http://141.218.60.56/~jnz1568/getInfo.php?workbook=12_04.xlsx&amp;sheet=A0&amp;row=143&amp;col=6&amp;number=5190000&amp;sourceID=14","5190000")</f>
        <v>5190000</v>
      </c>
      <c r="G143" s="4" t="str">
        <f>HYPERLINK("http://141.218.60.56/~jnz1568/getInfo.php?workbook=12_04.xlsx&amp;sheet=A0&amp;row=143&amp;col=7&amp;number=0&amp;sourceID=14","0")</f>
        <v>0</v>
      </c>
    </row>
    <row r="144" spans="1:7">
      <c r="A144" s="3">
        <v>12</v>
      </c>
      <c r="B144" s="3">
        <v>4</v>
      </c>
      <c r="C144" s="3">
        <v>74</v>
      </c>
      <c r="D144" s="3">
        <v>2</v>
      </c>
      <c r="E144" s="3">
        <v>-47.645</v>
      </c>
      <c r="F144" s="4" t="str">
        <f>HYPERLINK("http://141.218.60.56/~jnz1568/getInfo.php?workbook=12_04.xlsx&amp;sheet=A0&amp;row=144&amp;col=6&amp;number=0.0795&amp;sourceID=14","0.0795")</f>
        <v>0.0795</v>
      </c>
      <c r="G144" s="4" t="str">
        <f>HYPERLINK("http://141.218.60.56/~jnz1568/getInfo.php?workbook=12_04.xlsx&amp;sheet=A0&amp;row=144&amp;col=7&amp;number=0&amp;sourceID=14","0")</f>
        <v>0</v>
      </c>
    </row>
    <row r="145" spans="1:7">
      <c r="A145" s="3">
        <v>12</v>
      </c>
      <c r="B145" s="3">
        <v>4</v>
      </c>
      <c r="C145" s="3">
        <v>75</v>
      </c>
      <c r="D145" s="3">
        <v>2</v>
      </c>
      <c r="E145" s="3">
        <v>47.603</v>
      </c>
      <c r="F145" s="4" t="str">
        <f>HYPERLINK("http://141.218.60.56/~jnz1568/getInfo.php?workbook=12_04.xlsx&amp;sheet=A0&amp;row=145&amp;col=6&amp;number=4670000&amp;sourceID=14","4670000")</f>
        <v>4670000</v>
      </c>
      <c r="G145" s="4" t="str">
        <f>HYPERLINK("http://141.218.60.56/~jnz1568/getInfo.php?workbook=12_04.xlsx&amp;sheet=A0&amp;row=145&amp;col=7&amp;number=0&amp;sourceID=14","0")</f>
        <v>0</v>
      </c>
    </row>
    <row r="146" spans="1:7">
      <c r="A146" s="3">
        <v>12</v>
      </c>
      <c r="B146" s="3">
        <v>4</v>
      </c>
      <c r="C146" s="3">
        <v>76</v>
      </c>
      <c r="D146" s="3">
        <v>2</v>
      </c>
      <c r="E146" s="3">
        <v>47.606</v>
      </c>
      <c r="F146" s="4" t="str">
        <f>HYPERLINK("http://141.218.60.56/~jnz1568/getInfo.php?workbook=12_04.xlsx&amp;sheet=A0&amp;row=146&amp;col=6&amp;number=393&amp;sourceID=14","393")</f>
        <v>393</v>
      </c>
      <c r="G146" s="4" t="str">
        <f>HYPERLINK("http://141.218.60.56/~jnz1568/getInfo.php?workbook=12_04.xlsx&amp;sheet=A0&amp;row=146&amp;col=7&amp;number=0&amp;sourceID=14","0")</f>
        <v>0</v>
      </c>
    </row>
    <row r="147" spans="1:7">
      <c r="A147" s="3">
        <v>12</v>
      </c>
      <c r="B147" s="3">
        <v>4</v>
      </c>
      <c r="C147" s="3">
        <v>77</v>
      </c>
      <c r="D147" s="3">
        <v>2</v>
      </c>
      <c r="E147" s="3">
        <v>-47.596</v>
      </c>
      <c r="F147" s="4" t="str">
        <f>HYPERLINK("http://141.218.60.56/~jnz1568/getInfo.php?workbook=12_04.xlsx&amp;sheet=A0&amp;row=147&amp;col=6&amp;number=0.126&amp;sourceID=14","0.126")</f>
        <v>0.126</v>
      </c>
      <c r="G147" s="4" t="str">
        <f>HYPERLINK("http://141.218.60.56/~jnz1568/getInfo.php?workbook=12_04.xlsx&amp;sheet=A0&amp;row=147&amp;col=7&amp;number=0&amp;sourceID=14","0")</f>
        <v>0</v>
      </c>
    </row>
    <row r="148" spans="1:7">
      <c r="A148" s="3">
        <v>12</v>
      </c>
      <c r="B148" s="3">
        <v>4</v>
      </c>
      <c r="C148" s="3">
        <v>78</v>
      </c>
      <c r="D148" s="3">
        <v>2</v>
      </c>
      <c r="E148" s="3">
        <v>-47.528</v>
      </c>
      <c r="F148" s="4" t="str">
        <f>HYPERLINK("http://141.218.60.56/~jnz1568/getInfo.php?workbook=12_04.xlsx&amp;sheet=A0&amp;row=148&amp;col=6&amp;number=0.913&amp;sourceID=14","0.913")</f>
        <v>0.913</v>
      </c>
      <c r="G148" s="4" t="str">
        <f>HYPERLINK("http://141.218.60.56/~jnz1568/getInfo.php?workbook=12_04.xlsx&amp;sheet=A0&amp;row=148&amp;col=7&amp;number=0&amp;sourceID=14","0")</f>
        <v>0</v>
      </c>
    </row>
    <row r="149" spans="1:7">
      <c r="A149" s="3">
        <v>12</v>
      </c>
      <c r="B149" s="3">
        <v>4</v>
      </c>
      <c r="C149" s="3">
        <v>79</v>
      </c>
      <c r="D149" s="3">
        <v>2</v>
      </c>
      <c r="E149" s="3">
        <v>-47.514</v>
      </c>
      <c r="F149" s="4" t="str">
        <f>HYPERLINK("http://141.218.60.56/~jnz1568/getInfo.php?workbook=12_04.xlsx&amp;sheet=A0&amp;row=149&amp;col=6&amp;number=4110000&amp;sourceID=14","4110000")</f>
        <v>4110000</v>
      </c>
      <c r="G149" s="4" t="str">
        <f>HYPERLINK("http://141.218.60.56/~jnz1568/getInfo.php?workbook=12_04.xlsx&amp;sheet=A0&amp;row=149&amp;col=7&amp;number=0&amp;sourceID=14","0")</f>
        <v>0</v>
      </c>
    </row>
    <row r="150" spans="1:7">
      <c r="A150" s="3">
        <v>12</v>
      </c>
      <c r="B150" s="3">
        <v>4</v>
      </c>
      <c r="C150" s="3">
        <v>80</v>
      </c>
      <c r="D150" s="3">
        <v>2</v>
      </c>
      <c r="E150" s="3">
        <v>-47.486</v>
      </c>
      <c r="F150" s="4" t="str">
        <f>HYPERLINK("http://141.218.60.56/~jnz1568/getInfo.php?workbook=12_04.xlsx&amp;sheet=A0&amp;row=150&amp;col=6&amp;number=18.3&amp;sourceID=14","18.3")</f>
        <v>18.3</v>
      </c>
      <c r="G150" s="4" t="str">
        <f>HYPERLINK("http://141.218.60.56/~jnz1568/getInfo.php?workbook=12_04.xlsx&amp;sheet=A0&amp;row=150&amp;col=7&amp;number=0&amp;sourceID=14","0")</f>
        <v>0</v>
      </c>
    </row>
    <row r="151" spans="1:7">
      <c r="A151" s="3">
        <v>12</v>
      </c>
      <c r="B151" s="3">
        <v>4</v>
      </c>
      <c r="C151" s="3">
        <v>81</v>
      </c>
      <c r="D151" s="3">
        <v>2</v>
      </c>
      <c r="E151" s="3">
        <v>47.444</v>
      </c>
      <c r="F151" s="4" t="str">
        <f>HYPERLINK("http://141.218.60.56/~jnz1568/getInfo.php?workbook=12_04.xlsx&amp;sheet=A0&amp;row=151&amp;col=6&amp;number=0.15&amp;sourceID=14","0.15")</f>
        <v>0.15</v>
      </c>
      <c r="G151" s="4" t="str">
        <f>HYPERLINK("http://141.218.60.56/~jnz1568/getInfo.php?workbook=12_04.xlsx&amp;sheet=A0&amp;row=151&amp;col=7&amp;number=0&amp;sourceID=14","0")</f>
        <v>0</v>
      </c>
    </row>
    <row r="152" spans="1:7">
      <c r="A152" s="3">
        <v>12</v>
      </c>
      <c r="B152" s="3">
        <v>4</v>
      </c>
      <c r="C152" s="3">
        <v>82</v>
      </c>
      <c r="D152" s="3">
        <v>2</v>
      </c>
      <c r="E152" s="3">
        <v>-47.478</v>
      </c>
      <c r="F152" s="4" t="str">
        <f>HYPERLINK("http://141.218.60.56/~jnz1568/getInfo.php?workbook=12_04.xlsx&amp;sheet=A0&amp;row=152&amp;col=6&amp;number=0.233&amp;sourceID=14","0.233")</f>
        <v>0.233</v>
      </c>
      <c r="G152" s="4" t="str">
        <f>HYPERLINK("http://141.218.60.56/~jnz1568/getInfo.php?workbook=12_04.xlsx&amp;sheet=A0&amp;row=152&amp;col=7&amp;number=0&amp;sourceID=14","0")</f>
        <v>0</v>
      </c>
    </row>
    <row r="153" spans="1:7">
      <c r="A153" s="3">
        <v>12</v>
      </c>
      <c r="B153" s="3">
        <v>4</v>
      </c>
      <c r="C153" s="3">
        <v>83</v>
      </c>
      <c r="D153" s="3">
        <v>2</v>
      </c>
      <c r="E153" s="3">
        <v>-47.478</v>
      </c>
      <c r="F153" s="4" t="str">
        <f>HYPERLINK("http://141.218.60.56/~jnz1568/getInfo.php?workbook=12_04.xlsx&amp;sheet=A0&amp;row=153&amp;col=6&amp;number=6350&amp;sourceID=14","6350")</f>
        <v>6350</v>
      </c>
      <c r="G153" s="4" t="str">
        <f>HYPERLINK("http://141.218.60.56/~jnz1568/getInfo.php?workbook=12_04.xlsx&amp;sheet=A0&amp;row=153&amp;col=7&amp;number=0&amp;sourceID=14","0")</f>
        <v>0</v>
      </c>
    </row>
    <row r="154" spans="1:7">
      <c r="A154" s="3">
        <v>12</v>
      </c>
      <c r="B154" s="3">
        <v>4</v>
      </c>
      <c r="C154" s="3">
        <v>84</v>
      </c>
      <c r="D154" s="3">
        <v>2</v>
      </c>
      <c r="E154" s="3">
        <v>-47.47</v>
      </c>
      <c r="F154" s="4" t="str">
        <f>HYPERLINK("http://141.218.60.56/~jnz1568/getInfo.php?workbook=12_04.xlsx&amp;sheet=A0&amp;row=154&amp;col=6&amp;number=1.97e-05&amp;sourceID=14","1.97e-05")</f>
        <v>1.97e-05</v>
      </c>
      <c r="G154" s="4" t="str">
        <f>HYPERLINK("http://141.218.60.56/~jnz1568/getInfo.php?workbook=12_04.xlsx&amp;sheet=A0&amp;row=154&amp;col=7&amp;number=0&amp;sourceID=14","0")</f>
        <v>0</v>
      </c>
    </row>
    <row r="155" spans="1:7">
      <c r="A155" s="3">
        <v>12</v>
      </c>
      <c r="B155" s="3">
        <v>4</v>
      </c>
      <c r="C155" s="3">
        <v>85</v>
      </c>
      <c r="D155" s="3">
        <v>2</v>
      </c>
      <c r="E155" s="3">
        <v>47.417</v>
      </c>
      <c r="F155" s="4" t="str">
        <f>HYPERLINK("http://141.218.60.56/~jnz1568/getInfo.php?workbook=12_04.xlsx&amp;sheet=A0&amp;row=155&amp;col=6&amp;number=995000&amp;sourceID=14","995000")</f>
        <v>995000</v>
      </c>
      <c r="G155" s="4" t="str">
        <f>HYPERLINK("http://141.218.60.56/~jnz1568/getInfo.php?workbook=12_04.xlsx&amp;sheet=A0&amp;row=155&amp;col=7&amp;number=0&amp;sourceID=14","0")</f>
        <v>0</v>
      </c>
    </row>
    <row r="156" spans="1:7">
      <c r="A156" s="3">
        <v>12</v>
      </c>
      <c r="B156" s="3">
        <v>4</v>
      </c>
      <c r="C156" s="3">
        <v>86</v>
      </c>
      <c r="D156" s="3">
        <v>2</v>
      </c>
      <c r="E156" s="3">
        <v>47.405</v>
      </c>
      <c r="F156" s="4" t="str">
        <f>HYPERLINK("http://141.218.60.56/~jnz1568/getInfo.php?workbook=12_04.xlsx&amp;sheet=A0&amp;row=156&amp;col=6&amp;number=0.0853&amp;sourceID=14","0.0853")</f>
        <v>0.0853</v>
      </c>
      <c r="G156" s="4" t="str">
        <f>HYPERLINK("http://141.218.60.56/~jnz1568/getInfo.php?workbook=12_04.xlsx&amp;sheet=A0&amp;row=156&amp;col=7&amp;number=0&amp;sourceID=14","0")</f>
        <v>0</v>
      </c>
    </row>
    <row r="157" spans="1:7">
      <c r="A157" s="3">
        <v>12</v>
      </c>
      <c r="B157" s="3">
        <v>4</v>
      </c>
      <c r="C157" s="3">
        <v>88</v>
      </c>
      <c r="D157" s="3">
        <v>2</v>
      </c>
      <c r="E157" s="3">
        <v>-47.398</v>
      </c>
      <c r="F157" s="4" t="str">
        <f>HYPERLINK("http://141.218.60.56/~jnz1568/getInfo.php?workbook=12_04.xlsx&amp;sheet=A0&amp;row=157&amp;col=6&amp;number=538&amp;sourceID=14","538")</f>
        <v>538</v>
      </c>
      <c r="G157" s="4" t="str">
        <f>HYPERLINK("http://141.218.60.56/~jnz1568/getInfo.php?workbook=12_04.xlsx&amp;sheet=A0&amp;row=157&amp;col=7&amp;number=0&amp;sourceID=14","0")</f>
        <v>0</v>
      </c>
    </row>
    <row r="158" spans="1:7">
      <c r="A158" s="3">
        <v>12</v>
      </c>
      <c r="B158" s="3">
        <v>4</v>
      </c>
      <c r="C158" s="3">
        <v>89</v>
      </c>
      <c r="D158" s="3">
        <v>2</v>
      </c>
      <c r="E158" s="3">
        <v>-47.388</v>
      </c>
      <c r="F158" s="4" t="str">
        <f>HYPERLINK("http://141.218.60.56/~jnz1568/getInfo.php?workbook=12_04.xlsx&amp;sheet=A0&amp;row=158&amp;col=6&amp;number=8.5e-05&amp;sourceID=14","8.5e-05")</f>
        <v>8.5e-05</v>
      </c>
      <c r="G158" s="4" t="str">
        <f>HYPERLINK("http://141.218.60.56/~jnz1568/getInfo.php?workbook=12_04.xlsx&amp;sheet=A0&amp;row=158&amp;col=7&amp;number=0&amp;sourceID=14","0")</f>
        <v>0</v>
      </c>
    </row>
    <row r="159" spans="1:7">
      <c r="A159" s="3">
        <v>12</v>
      </c>
      <c r="B159" s="3">
        <v>4</v>
      </c>
      <c r="C159" s="3">
        <v>90</v>
      </c>
      <c r="D159" s="3">
        <v>2</v>
      </c>
      <c r="E159" s="3">
        <v>-47.357</v>
      </c>
      <c r="F159" s="4" t="str">
        <f>HYPERLINK("http://141.218.60.56/~jnz1568/getInfo.php?workbook=12_04.xlsx&amp;sheet=A0&amp;row=159&amp;col=6&amp;number=0.0159&amp;sourceID=14","0.0159")</f>
        <v>0.0159</v>
      </c>
      <c r="G159" s="4" t="str">
        <f>HYPERLINK("http://141.218.60.56/~jnz1568/getInfo.php?workbook=12_04.xlsx&amp;sheet=A0&amp;row=159&amp;col=7&amp;number=0&amp;sourceID=14","0")</f>
        <v>0</v>
      </c>
    </row>
    <row r="160" spans="1:7">
      <c r="A160" s="3">
        <v>12</v>
      </c>
      <c r="B160" s="3">
        <v>4</v>
      </c>
      <c r="C160" s="3">
        <v>91</v>
      </c>
      <c r="D160" s="3">
        <v>2</v>
      </c>
      <c r="E160" s="3">
        <v>-47.33</v>
      </c>
      <c r="F160" s="4" t="str">
        <f>HYPERLINK("http://141.218.60.56/~jnz1568/getInfo.php?workbook=12_04.xlsx&amp;sheet=A0&amp;row=160&amp;col=6&amp;number=522&amp;sourceID=14","522")</f>
        <v>522</v>
      </c>
      <c r="G160" s="4" t="str">
        <f>HYPERLINK("http://141.218.60.56/~jnz1568/getInfo.php?workbook=12_04.xlsx&amp;sheet=A0&amp;row=160&amp;col=7&amp;number=0&amp;sourceID=14","0")</f>
        <v>0</v>
      </c>
    </row>
    <row r="161" spans="1:7">
      <c r="A161" s="3">
        <v>12</v>
      </c>
      <c r="B161" s="3">
        <v>4</v>
      </c>
      <c r="C161" s="3">
        <v>92</v>
      </c>
      <c r="D161" s="3">
        <v>2</v>
      </c>
      <c r="E161" s="3">
        <v>-47.323</v>
      </c>
      <c r="F161" s="4" t="str">
        <f>HYPERLINK("http://141.218.60.56/~jnz1568/getInfo.php?workbook=12_04.xlsx&amp;sheet=A0&amp;row=161&amp;col=6&amp;number=0.000105&amp;sourceID=14","0.000105")</f>
        <v>0.000105</v>
      </c>
      <c r="G161" s="4" t="str">
        <f>HYPERLINK("http://141.218.60.56/~jnz1568/getInfo.php?workbook=12_04.xlsx&amp;sheet=A0&amp;row=161&amp;col=7&amp;number=0&amp;sourceID=14","0")</f>
        <v>0</v>
      </c>
    </row>
    <row r="162" spans="1:7">
      <c r="A162" s="3">
        <v>12</v>
      </c>
      <c r="B162" s="3">
        <v>4</v>
      </c>
      <c r="C162" s="3">
        <v>93</v>
      </c>
      <c r="D162" s="3">
        <v>2</v>
      </c>
      <c r="E162" s="3">
        <v>-47.317</v>
      </c>
      <c r="F162" s="4" t="str">
        <f>HYPERLINK("http://141.218.60.56/~jnz1568/getInfo.php?workbook=12_04.xlsx&amp;sheet=A0&amp;row=162&amp;col=6&amp;number=1.13&amp;sourceID=14","1.13")</f>
        <v>1.13</v>
      </c>
      <c r="G162" s="4" t="str">
        <f>HYPERLINK("http://141.218.60.56/~jnz1568/getInfo.php?workbook=12_04.xlsx&amp;sheet=A0&amp;row=162&amp;col=7&amp;number=0&amp;sourceID=14","0")</f>
        <v>0</v>
      </c>
    </row>
    <row r="163" spans="1:7">
      <c r="A163" s="3">
        <v>12</v>
      </c>
      <c r="B163" s="3">
        <v>4</v>
      </c>
      <c r="C163" s="3">
        <v>94</v>
      </c>
      <c r="D163" s="3">
        <v>2</v>
      </c>
      <c r="E163" s="3">
        <v>-47.296</v>
      </c>
      <c r="F163" s="4" t="str">
        <f>HYPERLINK("http://141.218.60.56/~jnz1568/getInfo.php?workbook=12_04.xlsx&amp;sheet=A0&amp;row=163&amp;col=6&amp;number=49100000&amp;sourceID=14","49100000")</f>
        <v>49100000</v>
      </c>
      <c r="G163" s="4" t="str">
        <f>HYPERLINK("http://141.218.60.56/~jnz1568/getInfo.php?workbook=12_04.xlsx&amp;sheet=A0&amp;row=163&amp;col=7&amp;number=0&amp;sourceID=14","0")</f>
        <v>0</v>
      </c>
    </row>
    <row r="164" spans="1:7">
      <c r="A164" s="3">
        <v>12</v>
      </c>
      <c r="B164" s="3">
        <v>4</v>
      </c>
      <c r="C164" s="3">
        <v>96</v>
      </c>
      <c r="D164" s="3">
        <v>2</v>
      </c>
      <c r="E164" s="3">
        <v>-47.268</v>
      </c>
      <c r="F164" s="4" t="str">
        <f>HYPERLINK("http://141.218.60.56/~jnz1568/getInfo.php?workbook=12_04.xlsx&amp;sheet=A0&amp;row=164&amp;col=6&amp;number=0.788&amp;sourceID=14","0.788")</f>
        <v>0.788</v>
      </c>
      <c r="G164" s="4" t="str">
        <f>HYPERLINK("http://141.218.60.56/~jnz1568/getInfo.php?workbook=12_04.xlsx&amp;sheet=A0&amp;row=164&amp;col=7&amp;number=0&amp;sourceID=14","0")</f>
        <v>0</v>
      </c>
    </row>
    <row r="165" spans="1:7">
      <c r="A165" s="3">
        <v>12</v>
      </c>
      <c r="B165" s="3">
        <v>4</v>
      </c>
      <c r="C165" s="3">
        <v>97</v>
      </c>
      <c r="D165" s="3">
        <v>2</v>
      </c>
      <c r="E165" s="3">
        <v>47.258</v>
      </c>
      <c r="F165" s="4" t="str">
        <f>HYPERLINK("http://141.218.60.56/~jnz1568/getInfo.php?workbook=12_04.xlsx&amp;sheet=A0&amp;row=165&amp;col=6&amp;number=0.189&amp;sourceID=14","0.189")</f>
        <v>0.189</v>
      </c>
      <c r="G165" s="4" t="str">
        <f>HYPERLINK("http://141.218.60.56/~jnz1568/getInfo.php?workbook=12_04.xlsx&amp;sheet=A0&amp;row=165&amp;col=7&amp;number=0&amp;sourceID=14","0")</f>
        <v>0</v>
      </c>
    </row>
    <row r="166" spans="1:7">
      <c r="A166" s="3">
        <v>12</v>
      </c>
      <c r="B166" s="3">
        <v>4</v>
      </c>
      <c r="C166" s="3">
        <v>98</v>
      </c>
      <c r="D166" s="3">
        <v>2</v>
      </c>
      <c r="E166" s="3">
        <v>47.219</v>
      </c>
      <c r="F166" s="4" t="str">
        <f>HYPERLINK("http://141.218.60.56/~jnz1568/getInfo.php?workbook=12_04.xlsx&amp;sheet=A0&amp;row=166&amp;col=6&amp;number=0.274&amp;sourceID=14","0.274")</f>
        <v>0.274</v>
      </c>
      <c r="G166" s="4" t="str">
        <f>HYPERLINK("http://141.218.60.56/~jnz1568/getInfo.php?workbook=12_04.xlsx&amp;sheet=A0&amp;row=166&amp;col=7&amp;number=0&amp;sourceID=14","0")</f>
        <v>0</v>
      </c>
    </row>
    <row r="167" spans="1:7">
      <c r="A167" s="3">
        <v>12</v>
      </c>
      <c r="B167" s="3">
        <v>4</v>
      </c>
      <c r="C167" s="3">
        <v>4</v>
      </c>
      <c r="D167" s="3">
        <v>3</v>
      </c>
      <c r="E167" s="3">
        <v>40650.48</v>
      </c>
      <c r="F167" s="4" t="str">
        <f>HYPERLINK("http://141.218.60.56/~jnz1568/getInfo.php?workbook=12_04.xlsx&amp;sheet=A0&amp;row=167&amp;col=6&amp;number=0.201&amp;sourceID=14","0.201")</f>
        <v>0.201</v>
      </c>
      <c r="G167" s="4" t="str">
        <f>HYPERLINK("http://141.218.60.56/~jnz1568/getInfo.php?workbook=12_04.xlsx&amp;sheet=A0&amp;row=167&amp;col=7&amp;number=0&amp;sourceID=14","0")</f>
        <v>0</v>
      </c>
    </row>
    <row r="168" spans="1:7">
      <c r="A168" s="3">
        <v>12</v>
      </c>
      <c r="B168" s="3">
        <v>4</v>
      </c>
      <c r="C168" s="3">
        <v>5</v>
      </c>
      <c r="D168" s="3">
        <v>3</v>
      </c>
      <c r="E168" s="3">
        <v>768.901</v>
      </c>
      <c r="F168" s="4" t="str">
        <f>HYPERLINK("http://141.218.60.56/~jnz1568/getInfo.php?workbook=12_04.xlsx&amp;sheet=A0&amp;row=168&amp;col=6&amp;number=5.55&amp;sourceID=14","5.55")</f>
        <v>5.55</v>
      </c>
      <c r="G168" s="4" t="str">
        <f>HYPERLINK("http://141.218.60.56/~jnz1568/getInfo.php?workbook=12_04.xlsx&amp;sheet=A0&amp;row=168&amp;col=7&amp;number=0&amp;sourceID=14","0")</f>
        <v>0</v>
      </c>
    </row>
    <row r="169" spans="1:7">
      <c r="A169" s="3">
        <v>12</v>
      </c>
      <c r="B169" s="3">
        <v>4</v>
      </c>
      <c r="C169" s="3">
        <v>6</v>
      </c>
      <c r="D169" s="3">
        <v>3</v>
      </c>
      <c r="E169" s="3">
        <v>445.981</v>
      </c>
      <c r="F169" s="4" t="str">
        <f>HYPERLINK("http://141.218.60.56/~jnz1568/getInfo.php?workbook=12_04.xlsx&amp;sheet=A0&amp;row=169&amp;col=6&amp;number=3990000000&amp;sourceID=14","3990000000")</f>
        <v>3990000000</v>
      </c>
      <c r="G169" s="4" t="str">
        <f>HYPERLINK("http://141.218.60.56/~jnz1568/getInfo.php?workbook=12_04.xlsx&amp;sheet=A0&amp;row=169&amp;col=7&amp;number=0&amp;sourceID=14","0")</f>
        <v>0</v>
      </c>
    </row>
    <row r="170" spans="1:7">
      <c r="A170" s="3">
        <v>12</v>
      </c>
      <c r="B170" s="3">
        <v>4</v>
      </c>
      <c r="C170" s="3">
        <v>7</v>
      </c>
      <c r="D170" s="3">
        <v>3</v>
      </c>
      <c r="E170" s="3">
        <v>443.405</v>
      </c>
      <c r="F170" s="4" t="str">
        <f>HYPERLINK("http://141.218.60.56/~jnz1568/getInfo.php?workbook=12_04.xlsx&amp;sheet=A0&amp;row=170&amp;col=6&amp;number=1010000000&amp;sourceID=14","1010000000")</f>
        <v>1010000000</v>
      </c>
      <c r="G170" s="4" t="str">
        <f>HYPERLINK("http://141.218.60.56/~jnz1568/getInfo.php?workbook=12_04.xlsx&amp;sheet=A0&amp;row=170&amp;col=7&amp;number=0&amp;sourceID=14","0")</f>
        <v>0</v>
      </c>
    </row>
    <row r="171" spans="1:7">
      <c r="A171" s="3">
        <v>12</v>
      </c>
      <c r="B171" s="3">
        <v>4</v>
      </c>
      <c r="C171" s="3">
        <v>8</v>
      </c>
      <c r="D171" s="3">
        <v>3</v>
      </c>
      <c r="E171" s="3">
        <v>439.177</v>
      </c>
      <c r="F171" s="4" t="str">
        <f>HYPERLINK("http://141.218.60.56/~jnz1568/getInfo.php?workbook=12_04.xlsx&amp;sheet=A0&amp;row=171&amp;col=6&amp;number=1050000000&amp;sourceID=14","1050000000")</f>
        <v>1050000000</v>
      </c>
      <c r="G171" s="4" t="str">
        <f>HYPERLINK("http://141.218.60.56/~jnz1568/getInfo.php?workbook=12_04.xlsx&amp;sheet=A0&amp;row=171&amp;col=7&amp;number=0&amp;sourceID=14","0")</f>
        <v>0</v>
      </c>
    </row>
    <row r="172" spans="1:7">
      <c r="A172" s="3">
        <v>12</v>
      </c>
      <c r="B172" s="3">
        <v>4</v>
      </c>
      <c r="C172" s="3">
        <v>9</v>
      </c>
      <c r="D172" s="3">
        <v>3</v>
      </c>
      <c r="E172" s="3">
        <v>379.552</v>
      </c>
      <c r="F172" s="4" t="str">
        <f>HYPERLINK("http://141.218.60.56/~jnz1568/getInfo.php?workbook=12_04.xlsx&amp;sheet=A0&amp;row=172&amp;col=6&amp;number=533000&amp;sourceID=14","533000")</f>
        <v>533000</v>
      </c>
      <c r="G172" s="4" t="str">
        <f>HYPERLINK("http://141.218.60.56/~jnz1568/getInfo.php?workbook=12_04.xlsx&amp;sheet=A0&amp;row=172&amp;col=7&amp;number=0&amp;sourceID=14","0")</f>
        <v>0</v>
      </c>
    </row>
    <row r="173" spans="1:7">
      <c r="A173" s="3">
        <v>12</v>
      </c>
      <c r="B173" s="3">
        <v>4</v>
      </c>
      <c r="C173" s="3">
        <v>10</v>
      </c>
      <c r="D173" s="3">
        <v>3</v>
      </c>
      <c r="E173" s="3">
        <v>279.329</v>
      </c>
      <c r="F173" s="4" t="str">
        <f>HYPERLINK("http://141.218.60.56/~jnz1568/getInfo.php?workbook=12_04.xlsx&amp;sheet=A0&amp;row=173&amp;col=6&amp;number=705000&amp;sourceID=14","705000")</f>
        <v>705000</v>
      </c>
      <c r="G173" s="4" t="str">
        <f>HYPERLINK("http://141.218.60.56/~jnz1568/getInfo.php?workbook=12_04.xlsx&amp;sheet=A0&amp;row=173&amp;col=7&amp;number=0&amp;sourceID=14","0")</f>
        <v>0</v>
      </c>
    </row>
    <row r="174" spans="1:7">
      <c r="A174" s="3">
        <v>12</v>
      </c>
      <c r="B174" s="3">
        <v>4</v>
      </c>
      <c r="C174" s="3">
        <v>11</v>
      </c>
      <c r="D174" s="3">
        <v>3</v>
      </c>
      <c r="E174" s="3">
        <v>71.9</v>
      </c>
      <c r="F174" s="4" t="str">
        <f>HYPERLINK("http://141.218.60.56/~jnz1568/getInfo.php?workbook=12_04.xlsx&amp;sheet=A0&amp;row=174&amp;col=6&amp;number=44600000000&amp;sourceID=14","44600000000")</f>
        <v>44600000000</v>
      </c>
      <c r="G174" s="4" t="str">
        <f>HYPERLINK("http://141.218.60.56/~jnz1568/getInfo.php?workbook=12_04.xlsx&amp;sheet=A0&amp;row=174&amp;col=7&amp;number=0&amp;sourceID=14","0")</f>
        <v>0</v>
      </c>
    </row>
    <row r="175" spans="1:7">
      <c r="A175" s="3">
        <v>12</v>
      </c>
      <c r="B175" s="3">
        <v>4</v>
      </c>
      <c r="C175" s="3">
        <v>12</v>
      </c>
      <c r="D175" s="3">
        <v>3</v>
      </c>
      <c r="E175" s="3">
        <v>70.599</v>
      </c>
      <c r="F175" s="4" t="str">
        <f>HYPERLINK("http://141.218.60.56/~jnz1568/getInfo.php?workbook=12_04.xlsx&amp;sheet=A0&amp;row=175&amp;col=6&amp;number=1480000&amp;sourceID=14","1480000")</f>
        <v>1480000</v>
      </c>
      <c r="G175" s="4" t="str">
        <f>HYPERLINK("http://141.218.60.56/~jnz1568/getInfo.php?workbook=12_04.xlsx&amp;sheet=A0&amp;row=175&amp;col=7&amp;number=0&amp;sourceID=14","0")</f>
        <v>0</v>
      </c>
    </row>
    <row r="176" spans="1:7">
      <c r="A176" s="3">
        <v>12</v>
      </c>
      <c r="B176" s="3">
        <v>4</v>
      </c>
      <c r="C176" s="3">
        <v>13</v>
      </c>
      <c r="D176" s="3">
        <v>3</v>
      </c>
      <c r="E176" s="3">
        <v>68.872</v>
      </c>
      <c r="F176" s="4" t="str">
        <f>HYPERLINK("http://141.218.60.56/~jnz1568/getInfo.php?workbook=12_04.xlsx&amp;sheet=A0&amp;row=176&amp;col=6&amp;number=131000&amp;sourceID=14","131000")</f>
        <v>131000</v>
      </c>
      <c r="G176" s="4" t="str">
        <f>HYPERLINK("http://141.218.60.56/~jnz1568/getInfo.php?workbook=12_04.xlsx&amp;sheet=A0&amp;row=176&amp;col=7&amp;number=0&amp;sourceID=14","0")</f>
        <v>0</v>
      </c>
    </row>
    <row r="177" spans="1:7">
      <c r="A177" s="3">
        <v>12</v>
      </c>
      <c r="B177" s="3">
        <v>4</v>
      </c>
      <c r="C177" s="3">
        <v>14</v>
      </c>
      <c r="D177" s="3">
        <v>3</v>
      </c>
      <c r="E177" s="3">
        <v>68.688</v>
      </c>
      <c r="F177" s="4" t="str">
        <f>HYPERLINK("http://141.218.60.56/~jnz1568/getInfo.php?workbook=12_04.xlsx&amp;sheet=A0&amp;row=177&amp;col=6&amp;number=33.5&amp;sourceID=14","33.5")</f>
        <v>33.5</v>
      </c>
      <c r="G177" s="4" t="str">
        <f>HYPERLINK("http://141.218.60.56/~jnz1568/getInfo.php?workbook=12_04.xlsx&amp;sheet=A0&amp;row=177&amp;col=7&amp;number=0&amp;sourceID=14","0")</f>
        <v>0</v>
      </c>
    </row>
    <row r="178" spans="1:7">
      <c r="A178" s="3">
        <v>12</v>
      </c>
      <c r="B178" s="3">
        <v>4</v>
      </c>
      <c r="C178" s="3">
        <v>15</v>
      </c>
      <c r="D178" s="3">
        <v>3</v>
      </c>
      <c r="E178" s="3">
        <v>68.688</v>
      </c>
      <c r="F178" s="4" t="str">
        <f>HYPERLINK("http://141.218.60.56/~jnz1568/getInfo.php?workbook=12_04.xlsx&amp;sheet=A0&amp;row=178&amp;col=6&amp;number=6440000&amp;sourceID=14","6440000")</f>
        <v>6440000</v>
      </c>
      <c r="G178" s="4" t="str">
        <f>HYPERLINK("http://141.218.60.56/~jnz1568/getInfo.php?workbook=12_04.xlsx&amp;sheet=A0&amp;row=178&amp;col=7&amp;number=0&amp;sourceID=14","0")</f>
        <v>0</v>
      </c>
    </row>
    <row r="179" spans="1:7">
      <c r="A179" s="3">
        <v>12</v>
      </c>
      <c r="B179" s="3">
        <v>4</v>
      </c>
      <c r="C179" s="3">
        <v>16</v>
      </c>
      <c r="D179" s="3">
        <v>3</v>
      </c>
      <c r="E179" s="3">
        <v>68.688</v>
      </c>
      <c r="F179" s="4" t="str">
        <f>HYPERLINK("http://141.218.60.56/~jnz1568/getInfo.php?workbook=12_04.xlsx&amp;sheet=A0&amp;row=179&amp;col=6&amp;number=11800000&amp;sourceID=14","11800000")</f>
        <v>11800000</v>
      </c>
      <c r="G179" s="4" t="str">
        <f>HYPERLINK("http://141.218.60.56/~jnz1568/getInfo.php?workbook=12_04.xlsx&amp;sheet=A0&amp;row=179&amp;col=7&amp;number=0&amp;sourceID=14","0")</f>
        <v>0</v>
      </c>
    </row>
    <row r="180" spans="1:7">
      <c r="A180" s="3">
        <v>12</v>
      </c>
      <c r="B180" s="3">
        <v>4</v>
      </c>
      <c r="C180" s="3">
        <v>17</v>
      </c>
      <c r="D180" s="3">
        <v>3</v>
      </c>
      <c r="E180" s="3">
        <v>67.141</v>
      </c>
      <c r="F180" s="4" t="str">
        <f>HYPERLINK("http://141.218.60.56/~jnz1568/getInfo.php?workbook=12_04.xlsx&amp;sheet=A0&amp;row=180&amp;col=6&amp;number=257000000000&amp;sourceID=14","257000000000")</f>
        <v>257000000000</v>
      </c>
      <c r="G180" s="4" t="str">
        <f>HYPERLINK("http://141.218.60.56/~jnz1568/getInfo.php?workbook=12_04.xlsx&amp;sheet=A0&amp;row=180&amp;col=7&amp;number=0&amp;sourceID=14","0")</f>
        <v>0</v>
      </c>
    </row>
    <row r="181" spans="1:7">
      <c r="A181" s="3">
        <v>12</v>
      </c>
      <c r="B181" s="3">
        <v>4</v>
      </c>
      <c r="C181" s="3">
        <v>18</v>
      </c>
      <c r="D181" s="3">
        <v>3</v>
      </c>
      <c r="E181" s="3">
        <v>67.135</v>
      </c>
      <c r="F181" s="4" t="str">
        <f>HYPERLINK("http://141.218.60.56/~jnz1568/getInfo.php?workbook=12_04.xlsx&amp;sheet=A0&amp;row=181&amp;col=6&amp;number=462000000000&amp;sourceID=14","462000000000")</f>
        <v>462000000000</v>
      </c>
      <c r="G181" s="4" t="str">
        <f>HYPERLINK("http://141.218.60.56/~jnz1568/getInfo.php?workbook=12_04.xlsx&amp;sheet=A0&amp;row=181&amp;col=7&amp;number=0&amp;sourceID=14","0")</f>
        <v>0</v>
      </c>
    </row>
    <row r="182" spans="1:7">
      <c r="A182" s="3">
        <v>12</v>
      </c>
      <c r="B182" s="3">
        <v>4</v>
      </c>
      <c r="C182" s="3">
        <v>19</v>
      </c>
      <c r="D182" s="3">
        <v>3</v>
      </c>
      <c r="E182" s="3">
        <v>67.128</v>
      </c>
      <c r="F182" s="4" t="str">
        <f>HYPERLINK("http://141.218.60.56/~jnz1568/getInfo.php?workbook=12_04.xlsx&amp;sheet=A0&amp;row=182&amp;col=6&amp;number=1440&amp;sourceID=14","1440")</f>
        <v>1440</v>
      </c>
      <c r="G182" s="4" t="str">
        <f>HYPERLINK("http://141.218.60.56/~jnz1568/getInfo.php?workbook=12_04.xlsx&amp;sheet=A0&amp;row=182&amp;col=7&amp;number=0&amp;sourceID=14","0")</f>
        <v>0</v>
      </c>
    </row>
    <row r="183" spans="1:7">
      <c r="A183" s="3">
        <v>12</v>
      </c>
      <c r="B183" s="3">
        <v>4</v>
      </c>
      <c r="C183" s="3">
        <v>20</v>
      </c>
      <c r="D183" s="3">
        <v>3</v>
      </c>
      <c r="E183" s="3">
        <v>66.096</v>
      </c>
      <c r="F183" s="4" t="str">
        <f>HYPERLINK("http://141.218.60.56/~jnz1568/getInfo.php?workbook=12_04.xlsx&amp;sheet=A0&amp;row=183&amp;col=6&amp;number=26400000&amp;sourceID=14","26400000")</f>
        <v>26400000</v>
      </c>
      <c r="G183" s="4" t="str">
        <f>HYPERLINK("http://141.218.60.56/~jnz1568/getInfo.php?workbook=12_04.xlsx&amp;sheet=A0&amp;row=183&amp;col=7&amp;number=0&amp;sourceID=14","0")</f>
        <v>0</v>
      </c>
    </row>
    <row r="184" spans="1:7">
      <c r="A184" s="3">
        <v>12</v>
      </c>
      <c r="B184" s="3">
        <v>4</v>
      </c>
      <c r="C184" s="3">
        <v>21</v>
      </c>
      <c r="D184" s="3">
        <v>3</v>
      </c>
      <c r="E184" s="3">
        <v>63.755</v>
      </c>
      <c r="F184" s="4" t="str">
        <f>HYPERLINK("http://141.218.60.56/~jnz1568/getInfo.php?workbook=12_04.xlsx&amp;sheet=A0&amp;row=184&amp;col=6&amp;number=13.1&amp;sourceID=14","13.1")</f>
        <v>13.1</v>
      </c>
      <c r="G184" s="4" t="str">
        <f>HYPERLINK("http://141.218.60.56/~jnz1568/getInfo.php?workbook=12_04.xlsx&amp;sheet=A0&amp;row=184&amp;col=7&amp;number=0&amp;sourceID=14","0")</f>
        <v>0</v>
      </c>
    </row>
    <row r="185" spans="1:7">
      <c r="A185" s="3">
        <v>12</v>
      </c>
      <c r="B185" s="3">
        <v>4</v>
      </c>
      <c r="C185" s="3">
        <v>22</v>
      </c>
      <c r="D185" s="3">
        <v>3</v>
      </c>
      <c r="E185" s="3">
        <v>63.71</v>
      </c>
      <c r="F185" s="4" t="str">
        <f>HYPERLINK("http://141.218.60.56/~jnz1568/getInfo.php?workbook=12_04.xlsx&amp;sheet=A0&amp;row=185&amp;col=6&amp;number=218000&amp;sourceID=14","218000")</f>
        <v>218000</v>
      </c>
      <c r="G185" s="4" t="str">
        <f>HYPERLINK("http://141.218.60.56/~jnz1568/getInfo.php?workbook=12_04.xlsx&amp;sheet=A0&amp;row=185&amp;col=7&amp;number=0&amp;sourceID=14","0")</f>
        <v>0</v>
      </c>
    </row>
    <row r="186" spans="1:7">
      <c r="A186" s="3">
        <v>12</v>
      </c>
      <c r="B186" s="3">
        <v>4</v>
      </c>
      <c r="C186" s="3">
        <v>23</v>
      </c>
      <c r="D186" s="3">
        <v>3</v>
      </c>
      <c r="E186" s="3">
        <v>63.602</v>
      </c>
      <c r="F186" s="4" t="str">
        <f>HYPERLINK("http://141.218.60.56/~jnz1568/getInfo.php?workbook=12_04.xlsx&amp;sheet=A0&amp;row=186&amp;col=6&amp;number=403000&amp;sourceID=14","403000")</f>
        <v>403000</v>
      </c>
      <c r="G186" s="4" t="str">
        <f>HYPERLINK("http://141.218.60.56/~jnz1568/getInfo.php?workbook=12_04.xlsx&amp;sheet=A0&amp;row=186&amp;col=7&amp;number=0&amp;sourceID=14","0")</f>
        <v>0</v>
      </c>
    </row>
    <row r="187" spans="1:7">
      <c r="A187" s="3">
        <v>12</v>
      </c>
      <c r="B187" s="3">
        <v>4</v>
      </c>
      <c r="C187" s="3">
        <v>24</v>
      </c>
      <c r="D187" s="3">
        <v>3</v>
      </c>
      <c r="E187" s="3">
        <v>62.445</v>
      </c>
      <c r="F187" s="4" t="str">
        <f>HYPERLINK("http://141.218.60.56/~jnz1568/getInfo.php?workbook=12_04.xlsx&amp;sheet=A0&amp;row=187&amp;col=6&amp;number=639&amp;sourceID=14","639")</f>
        <v>639</v>
      </c>
      <c r="G187" s="4" t="str">
        <f>HYPERLINK("http://141.218.60.56/~jnz1568/getInfo.php?workbook=12_04.xlsx&amp;sheet=A0&amp;row=187&amp;col=7&amp;number=0&amp;sourceID=14","0")</f>
        <v>0</v>
      </c>
    </row>
    <row r="188" spans="1:7">
      <c r="A188" s="3">
        <v>12</v>
      </c>
      <c r="B188" s="3">
        <v>4</v>
      </c>
      <c r="C188" s="3">
        <v>25</v>
      </c>
      <c r="D188" s="3">
        <v>3</v>
      </c>
      <c r="E188" s="3">
        <v>62.248</v>
      </c>
      <c r="F188" s="4" t="str">
        <f>HYPERLINK("http://141.218.60.56/~jnz1568/getInfo.php?workbook=12_04.xlsx&amp;sheet=A0&amp;row=188&amp;col=6&amp;number=3430000000&amp;sourceID=14","3430000000")</f>
        <v>3430000000</v>
      </c>
      <c r="G188" s="4" t="str">
        <f>HYPERLINK("http://141.218.60.56/~jnz1568/getInfo.php?workbook=12_04.xlsx&amp;sheet=A0&amp;row=188&amp;col=7&amp;number=0&amp;sourceID=14","0")</f>
        <v>0</v>
      </c>
    </row>
    <row r="189" spans="1:7">
      <c r="A189" s="3">
        <v>12</v>
      </c>
      <c r="B189" s="3">
        <v>4</v>
      </c>
      <c r="C189" s="3">
        <v>26</v>
      </c>
      <c r="D189" s="3">
        <v>3</v>
      </c>
      <c r="E189" s="3">
        <v>61.964</v>
      </c>
      <c r="F189" s="4" t="str">
        <f>HYPERLINK("http://141.218.60.56/~jnz1568/getInfo.php?workbook=12_04.xlsx&amp;sheet=A0&amp;row=189&amp;col=6&amp;number=29500000000&amp;sourceID=14","29500000000")</f>
        <v>29500000000</v>
      </c>
      <c r="G189" s="4" t="str">
        <f>HYPERLINK("http://141.218.60.56/~jnz1568/getInfo.php?workbook=12_04.xlsx&amp;sheet=A0&amp;row=189&amp;col=7&amp;number=0&amp;sourceID=14","0")</f>
        <v>0</v>
      </c>
    </row>
    <row r="190" spans="1:7">
      <c r="A190" s="3">
        <v>12</v>
      </c>
      <c r="B190" s="3">
        <v>4</v>
      </c>
      <c r="C190" s="3">
        <v>27</v>
      </c>
      <c r="D190" s="3">
        <v>3</v>
      </c>
      <c r="E190" s="3">
        <v>61.926</v>
      </c>
      <c r="F190" s="4" t="str">
        <f>HYPERLINK("http://141.218.60.56/~jnz1568/getInfo.php?workbook=12_04.xlsx&amp;sheet=A0&amp;row=190&amp;col=6&amp;number=66800000000&amp;sourceID=14","66800000000")</f>
        <v>66800000000</v>
      </c>
      <c r="G190" s="4" t="str">
        <f>HYPERLINK("http://141.218.60.56/~jnz1568/getInfo.php?workbook=12_04.xlsx&amp;sheet=A0&amp;row=190&amp;col=7&amp;number=0&amp;sourceID=14","0")</f>
        <v>0</v>
      </c>
    </row>
    <row r="191" spans="1:7">
      <c r="A191" s="3">
        <v>12</v>
      </c>
      <c r="B191" s="3">
        <v>4</v>
      </c>
      <c r="C191" s="3">
        <v>28</v>
      </c>
      <c r="D191" s="3">
        <v>3</v>
      </c>
      <c r="E191" s="3">
        <v>61.83</v>
      </c>
      <c r="F191" s="4" t="str">
        <f>HYPERLINK("http://141.218.60.56/~jnz1568/getInfo.php?workbook=12_04.xlsx&amp;sheet=A0&amp;row=191&amp;col=6&amp;number=842&amp;sourceID=14","842")</f>
        <v>842</v>
      </c>
      <c r="G191" s="4" t="str">
        <f>HYPERLINK("http://141.218.60.56/~jnz1568/getInfo.php?workbook=12_04.xlsx&amp;sheet=A0&amp;row=191&amp;col=7&amp;number=0&amp;sourceID=14","0")</f>
        <v>0</v>
      </c>
    </row>
    <row r="192" spans="1:7">
      <c r="A192" s="3">
        <v>12</v>
      </c>
      <c r="B192" s="3">
        <v>4</v>
      </c>
      <c r="C192" s="3">
        <v>29</v>
      </c>
      <c r="D192" s="3">
        <v>3</v>
      </c>
      <c r="E192" s="3">
        <v>61.397</v>
      </c>
      <c r="F192" s="4" t="str">
        <f>HYPERLINK("http://141.218.60.56/~jnz1568/getInfo.php?workbook=12_04.xlsx&amp;sheet=A0&amp;row=192&amp;col=6&amp;number=60300000000&amp;sourceID=14","60300000000")</f>
        <v>60300000000</v>
      </c>
      <c r="G192" s="4" t="str">
        <f>HYPERLINK("http://141.218.60.56/~jnz1568/getInfo.php?workbook=12_04.xlsx&amp;sheet=A0&amp;row=192&amp;col=7&amp;number=0&amp;sourceID=14","0")</f>
        <v>0</v>
      </c>
    </row>
    <row r="193" spans="1:7">
      <c r="A193" s="3">
        <v>12</v>
      </c>
      <c r="B193" s="3">
        <v>4</v>
      </c>
      <c r="C193" s="3">
        <v>30</v>
      </c>
      <c r="D193" s="3">
        <v>3</v>
      </c>
      <c r="E193" s="3">
        <v>-61.152</v>
      </c>
      <c r="F193" s="4" t="str">
        <f>HYPERLINK("http://141.218.60.56/~jnz1568/getInfo.php?workbook=12_04.xlsx&amp;sheet=A0&amp;row=193&amp;col=6&amp;number=147000000000&amp;sourceID=14","147000000000")</f>
        <v>147000000000</v>
      </c>
      <c r="G193" s="4" t="str">
        <f>HYPERLINK("http://141.218.60.56/~jnz1568/getInfo.php?workbook=12_04.xlsx&amp;sheet=A0&amp;row=193&amp;col=7&amp;number=0&amp;sourceID=14","0")</f>
        <v>0</v>
      </c>
    </row>
    <row r="194" spans="1:7">
      <c r="A194" s="3">
        <v>12</v>
      </c>
      <c r="B194" s="3">
        <v>4</v>
      </c>
      <c r="C194" s="3">
        <v>31</v>
      </c>
      <c r="D194" s="3">
        <v>3</v>
      </c>
      <c r="E194" s="3">
        <v>61.085</v>
      </c>
      <c r="F194" s="4" t="str">
        <f>HYPERLINK("http://141.218.60.56/~jnz1568/getInfo.php?workbook=12_04.xlsx&amp;sheet=A0&amp;row=194&amp;col=6&amp;number=27600000000&amp;sourceID=14","27600000000")</f>
        <v>27600000000</v>
      </c>
      <c r="G194" s="4" t="str">
        <f>HYPERLINK("http://141.218.60.56/~jnz1568/getInfo.php?workbook=12_04.xlsx&amp;sheet=A0&amp;row=194&amp;col=7&amp;number=0&amp;sourceID=14","0")</f>
        <v>0</v>
      </c>
    </row>
    <row r="195" spans="1:7">
      <c r="A195" s="3">
        <v>12</v>
      </c>
      <c r="B195" s="3">
        <v>4</v>
      </c>
      <c r="C195" s="3">
        <v>32</v>
      </c>
      <c r="D195" s="3">
        <v>3</v>
      </c>
      <c r="E195" s="3">
        <v>61.037</v>
      </c>
      <c r="F195" s="4" t="str">
        <f>HYPERLINK("http://141.218.60.56/~jnz1568/getInfo.php?workbook=12_04.xlsx&amp;sheet=A0&amp;row=195&amp;col=6&amp;number=32700000000&amp;sourceID=14","32700000000")</f>
        <v>32700000000</v>
      </c>
      <c r="G195" s="4" t="str">
        <f>HYPERLINK("http://141.218.60.56/~jnz1568/getInfo.php?workbook=12_04.xlsx&amp;sheet=A0&amp;row=195&amp;col=7&amp;number=0&amp;sourceID=14","0")</f>
        <v>0</v>
      </c>
    </row>
    <row r="196" spans="1:7">
      <c r="A196" s="3">
        <v>12</v>
      </c>
      <c r="B196" s="3">
        <v>4</v>
      </c>
      <c r="C196" s="3">
        <v>33</v>
      </c>
      <c r="D196" s="3">
        <v>3</v>
      </c>
      <c r="E196" s="3">
        <v>-60.846</v>
      </c>
      <c r="F196" s="4" t="str">
        <f>HYPERLINK("http://141.218.60.56/~jnz1568/getInfo.php?workbook=12_04.xlsx&amp;sheet=A0&amp;row=196&amp;col=6&amp;number=24600000&amp;sourceID=14","24600000")</f>
        <v>24600000</v>
      </c>
      <c r="G196" s="4" t="str">
        <f>HYPERLINK("http://141.218.60.56/~jnz1568/getInfo.php?workbook=12_04.xlsx&amp;sheet=A0&amp;row=196&amp;col=7&amp;number=0&amp;sourceID=14","0")</f>
        <v>0</v>
      </c>
    </row>
    <row r="197" spans="1:7">
      <c r="A197" s="3">
        <v>12</v>
      </c>
      <c r="B197" s="3">
        <v>4</v>
      </c>
      <c r="C197" s="3">
        <v>34</v>
      </c>
      <c r="D197" s="3">
        <v>3</v>
      </c>
      <c r="E197" s="3">
        <v>-60.77</v>
      </c>
      <c r="F197" s="4" t="str">
        <f>HYPERLINK("http://141.218.60.56/~jnz1568/getInfo.php?workbook=12_04.xlsx&amp;sheet=A0&amp;row=197&amp;col=6&amp;number=47000000&amp;sourceID=14","47000000")</f>
        <v>47000000</v>
      </c>
      <c r="G197" s="4" t="str">
        <f>HYPERLINK("http://141.218.60.56/~jnz1568/getInfo.php?workbook=12_04.xlsx&amp;sheet=A0&amp;row=197&amp;col=7&amp;number=0&amp;sourceID=14","0")</f>
        <v>0</v>
      </c>
    </row>
    <row r="198" spans="1:7">
      <c r="A198" s="3">
        <v>12</v>
      </c>
      <c r="B198" s="3">
        <v>4</v>
      </c>
      <c r="C198" s="3">
        <v>35</v>
      </c>
      <c r="D198" s="3">
        <v>3</v>
      </c>
      <c r="E198" s="3">
        <v>60.679</v>
      </c>
      <c r="F198" s="4" t="str">
        <f>HYPERLINK("http://141.218.60.56/~jnz1568/getInfo.php?workbook=12_04.xlsx&amp;sheet=A0&amp;row=198&amp;col=6&amp;number=4550000&amp;sourceID=14","4550000")</f>
        <v>4550000</v>
      </c>
      <c r="G198" s="4" t="str">
        <f>HYPERLINK("http://141.218.60.56/~jnz1568/getInfo.php?workbook=12_04.xlsx&amp;sheet=A0&amp;row=198&amp;col=7&amp;number=0&amp;sourceID=14","0")</f>
        <v>0</v>
      </c>
    </row>
    <row r="199" spans="1:7">
      <c r="A199" s="3">
        <v>12</v>
      </c>
      <c r="B199" s="3">
        <v>4</v>
      </c>
      <c r="C199" s="3">
        <v>36</v>
      </c>
      <c r="D199" s="3">
        <v>3</v>
      </c>
      <c r="E199" s="3">
        <v>-60.696</v>
      </c>
      <c r="F199" s="4" t="str">
        <f>HYPERLINK("http://141.218.60.56/~jnz1568/getInfo.php?workbook=12_04.xlsx&amp;sheet=A0&amp;row=199&amp;col=6&amp;number=0.498&amp;sourceID=14","0.498")</f>
        <v>0.498</v>
      </c>
      <c r="G199" s="4" t="str">
        <f>HYPERLINK("http://141.218.60.56/~jnz1568/getInfo.php?workbook=12_04.xlsx&amp;sheet=A0&amp;row=199&amp;col=7&amp;number=0&amp;sourceID=14","0")</f>
        <v>0</v>
      </c>
    </row>
    <row r="200" spans="1:7">
      <c r="A200" s="3">
        <v>12</v>
      </c>
      <c r="B200" s="3">
        <v>4</v>
      </c>
      <c r="C200" s="3">
        <v>37</v>
      </c>
      <c r="D200" s="3">
        <v>3</v>
      </c>
      <c r="E200" s="3">
        <v>60.451</v>
      </c>
      <c r="F200" s="4" t="str">
        <f>HYPERLINK("http://141.218.60.56/~jnz1568/getInfo.php?workbook=12_04.xlsx&amp;sheet=A0&amp;row=200&amp;col=6&amp;number=166000000&amp;sourceID=14","166000000")</f>
        <v>166000000</v>
      </c>
      <c r="G200" s="4" t="str">
        <f>HYPERLINK("http://141.218.60.56/~jnz1568/getInfo.php?workbook=12_04.xlsx&amp;sheet=A0&amp;row=200&amp;col=7&amp;number=0&amp;sourceID=14","0")</f>
        <v>0</v>
      </c>
    </row>
    <row r="201" spans="1:7">
      <c r="A201" s="3">
        <v>12</v>
      </c>
      <c r="B201" s="3">
        <v>4</v>
      </c>
      <c r="C201" s="3">
        <v>38</v>
      </c>
      <c r="D201" s="3">
        <v>3</v>
      </c>
      <c r="E201" s="3">
        <v>60.035</v>
      </c>
      <c r="F201" s="4" t="str">
        <f>HYPERLINK("http://141.218.60.56/~jnz1568/getInfo.php?workbook=12_04.xlsx&amp;sheet=A0&amp;row=201&amp;col=6&amp;number=50000000&amp;sourceID=14","50000000")</f>
        <v>50000000</v>
      </c>
      <c r="G201" s="4" t="str">
        <f>HYPERLINK("http://141.218.60.56/~jnz1568/getInfo.php?workbook=12_04.xlsx&amp;sheet=A0&amp;row=201&amp;col=7&amp;number=0&amp;sourceID=14","0")</f>
        <v>0</v>
      </c>
    </row>
    <row r="202" spans="1:7">
      <c r="A202" s="3">
        <v>12</v>
      </c>
      <c r="B202" s="3">
        <v>4</v>
      </c>
      <c r="C202" s="3">
        <v>39</v>
      </c>
      <c r="D202" s="3">
        <v>3</v>
      </c>
      <c r="E202" s="3">
        <v>60.016</v>
      </c>
      <c r="F202" s="4" t="str">
        <f>HYPERLINK("http://141.218.60.56/~jnz1568/getInfo.php?workbook=12_04.xlsx&amp;sheet=A0&amp;row=202&amp;col=6&amp;number=11200000&amp;sourceID=14","11200000")</f>
        <v>11200000</v>
      </c>
      <c r="G202" s="4" t="str">
        <f>HYPERLINK("http://141.218.60.56/~jnz1568/getInfo.php?workbook=12_04.xlsx&amp;sheet=A0&amp;row=202&amp;col=7&amp;number=0&amp;sourceID=14","0")</f>
        <v>0</v>
      </c>
    </row>
    <row r="203" spans="1:7">
      <c r="A203" s="3">
        <v>12</v>
      </c>
      <c r="B203" s="3">
        <v>4</v>
      </c>
      <c r="C203" s="3">
        <v>40</v>
      </c>
      <c r="D203" s="3">
        <v>3</v>
      </c>
      <c r="E203" s="3">
        <v>59.98</v>
      </c>
      <c r="F203" s="4" t="str">
        <f>HYPERLINK("http://141.218.60.56/~jnz1568/getInfo.php?workbook=12_04.xlsx&amp;sheet=A0&amp;row=203&amp;col=6&amp;number=16400000&amp;sourceID=14","16400000")</f>
        <v>16400000</v>
      </c>
      <c r="G203" s="4" t="str">
        <f>HYPERLINK("http://141.218.60.56/~jnz1568/getInfo.php?workbook=12_04.xlsx&amp;sheet=A0&amp;row=203&amp;col=7&amp;number=0&amp;sourceID=14","0")</f>
        <v>0</v>
      </c>
    </row>
    <row r="204" spans="1:7">
      <c r="A204" s="3">
        <v>12</v>
      </c>
      <c r="B204" s="3">
        <v>4</v>
      </c>
      <c r="C204" s="3">
        <v>41</v>
      </c>
      <c r="D204" s="3">
        <v>3</v>
      </c>
      <c r="E204" s="3">
        <v>59.752</v>
      </c>
      <c r="F204" s="4" t="str">
        <f>HYPERLINK("http://141.218.60.56/~jnz1568/getInfo.php?workbook=12_04.xlsx&amp;sheet=A0&amp;row=204&amp;col=6&amp;number=19600000&amp;sourceID=14","19600000")</f>
        <v>19600000</v>
      </c>
      <c r="G204" s="4" t="str">
        <f>HYPERLINK("http://141.218.60.56/~jnz1568/getInfo.php?workbook=12_04.xlsx&amp;sheet=A0&amp;row=204&amp;col=7&amp;number=0&amp;sourceID=14","0")</f>
        <v>0</v>
      </c>
    </row>
    <row r="205" spans="1:7">
      <c r="A205" s="3">
        <v>12</v>
      </c>
      <c r="B205" s="3">
        <v>4</v>
      </c>
      <c r="C205" s="3">
        <v>42</v>
      </c>
      <c r="D205" s="3">
        <v>3</v>
      </c>
      <c r="E205" s="3">
        <v>59.717</v>
      </c>
      <c r="F205" s="4" t="str">
        <f>HYPERLINK("http://141.218.60.56/~jnz1568/getInfo.php?workbook=12_04.xlsx&amp;sheet=A0&amp;row=205&amp;col=6&amp;number=8120000&amp;sourceID=14","8120000")</f>
        <v>8120000</v>
      </c>
      <c r="G205" s="4" t="str">
        <f>HYPERLINK("http://141.218.60.56/~jnz1568/getInfo.php?workbook=12_04.xlsx&amp;sheet=A0&amp;row=205&amp;col=7&amp;number=0&amp;sourceID=14","0")</f>
        <v>0</v>
      </c>
    </row>
    <row r="206" spans="1:7">
      <c r="A206" s="3">
        <v>12</v>
      </c>
      <c r="B206" s="3">
        <v>4</v>
      </c>
      <c r="C206" s="3">
        <v>43</v>
      </c>
      <c r="D206" s="3">
        <v>3</v>
      </c>
      <c r="E206" s="3">
        <v>59.698</v>
      </c>
      <c r="F206" s="4" t="str">
        <f>HYPERLINK("http://141.218.60.56/~jnz1568/getInfo.php?workbook=12_04.xlsx&amp;sheet=A0&amp;row=206&amp;col=6&amp;number=0.525&amp;sourceID=14","0.525")</f>
        <v>0.525</v>
      </c>
      <c r="G206" s="4" t="str">
        <f>HYPERLINK("http://141.218.60.56/~jnz1568/getInfo.php?workbook=12_04.xlsx&amp;sheet=A0&amp;row=206&amp;col=7&amp;number=0&amp;sourceID=14","0")</f>
        <v>0</v>
      </c>
    </row>
    <row r="207" spans="1:7">
      <c r="A207" s="3">
        <v>12</v>
      </c>
      <c r="B207" s="3">
        <v>4</v>
      </c>
      <c r="C207" s="3">
        <v>44</v>
      </c>
      <c r="D207" s="3">
        <v>3</v>
      </c>
      <c r="E207" s="3">
        <v>-59.198</v>
      </c>
      <c r="F207" s="4" t="str">
        <f>HYPERLINK("http://141.218.60.56/~jnz1568/getInfo.php?workbook=12_04.xlsx&amp;sheet=A0&amp;row=207&amp;col=6&amp;number=136000000&amp;sourceID=14","136000000")</f>
        <v>136000000</v>
      </c>
      <c r="G207" s="4" t="str">
        <f>HYPERLINK("http://141.218.60.56/~jnz1568/getInfo.php?workbook=12_04.xlsx&amp;sheet=A0&amp;row=207&amp;col=7&amp;number=0&amp;sourceID=14","0")</f>
        <v>0</v>
      </c>
    </row>
    <row r="208" spans="1:7">
      <c r="A208" s="3">
        <v>12</v>
      </c>
      <c r="B208" s="3">
        <v>4</v>
      </c>
      <c r="C208" s="3">
        <v>45</v>
      </c>
      <c r="D208" s="3">
        <v>3</v>
      </c>
      <c r="E208" s="3">
        <v>59.065</v>
      </c>
      <c r="F208" s="4" t="str">
        <f>HYPERLINK("http://141.218.60.56/~jnz1568/getInfo.php?workbook=12_04.xlsx&amp;sheet=A0&amp;row=208&amp;col=6&amp;number=61000&amp;sourceID=14","61000")</f>
        <v>61000</v>
      </c>
      <c r="G208" s="4" t="str">
        <f>HYPERLINK("http://141.218.60.56/~jnz1568/getInfo.php?workbook=12_04.xlsx&amp;sheet=A0&amp;row=208&amp;col=7&amp;number=0&amp;sourceID=14","0")</f>
        <v>0</v>
      </c>
    </row>
    <row r="209" spans="1:7">
      <c r="A209" s="3">
        <v>12</v>
      </c>
      <c r="B209" s="3">
        <v>4</v>
      </c>
      <c r="C209" s="3">
        <v>46</v>
      </c>
      <c r="D209" s="3">
        <v>3</v>
      </c>
      <c r="E209" s="3">
        <v>58.826</v>
      </c>
      <c r="F209" s="4" t="str">
        <f>HYPERLINK("http://141.218.60.56/~jnz1568/getInfo.php?workbook=12_04.xlsx&amp;sheet=A0&amp;row=209&amp;col=6&amp;number=107000&amp;sourceID=14","107000")</f>
        <v>107000</v>
      </c>
      <c r="G209" s="4" t="str">
        <f>HYPERLINK("http://141.218.60.56/~jnz1568/getInfo.php?workbook=12_04.xlsx&amp;sheet=A0&amp;row=209&amp;col=7&amp;number=0&amp;sourceID=14","0")</f>
        <v>0</v>
      </c>
    </row>
    <row r="210" spans="1:7">
      <c r="A210" s="3">
        <v>12</v>
      </c>
      <c r="B210" s="3">
        <v>4</v>
      </c>
      <c r="C210" s="3">
        <v>47</v>
      </c>
      <c r="D210" s="3">
        <v>3</v>
      </c>
      <c r="E210" s="3">
        <v>-52.697</v>
      </c>
      <c r="F210" s="4" t="str">
        <f>HYPERLINK("http://141.218.60.56/~jnz1568/getInfo.php?workbook=12_04.xlsx&amp;sheet=A0&amp;row=210&amp;col=6&amp;number=14800000000&amp;sourceID=14","14800000000")</f>
        <v>14800000000</v>
      </c>
      <c r="G210" s="4" t="str">
        <f>HYPERLINK("http://141.218.60.56/~jnz1568/getInfo.php?workbook=12_04.xlsx&amp;sheet=A0&amp;row=210&amp;col=7&amp;number=0&amp;sourceID=14","0")</f>
        <v>0</v>
      </c>
    </row>
    <row r="211" spans="1:7">
      <c r="A211" s="3">
        <v>12</v>
      </c>
      <c r="B211" s="3">
        <v>4</v>
      </c>
      <c r="C211" s="3">
        <v>48</v>
      </c>
      <c r="D211" s="3">
        <v>3</v>
      </c>
      <c r="E211" s="3">
        <v>-52.419</v>
      </c>
      <c r="F211" s="4" t="str">
        <f>HYPERLINK("http://141.218.60.56/~jnz1568/getInfo.php?workbook=12_04.xlsx&amp;sheet=A0&amp;row=211&amp;col=6&amp;number=562000&amp;sourceID=14","562000")</f>
        <v>562000</v>
      </c>
      <c r="G211" s="4" t="str">
        <f>HYPERLINK("http://141.218.60.56/~jnz1568/getInfo.php?workbook=12_04.xlsx&amp;sheet=A0&amp;row=211&amp;col=7&amp;number=0&amp;sourceID=14","0")</f>
        <v>0</v>
      </c>
    </row>
    <row r="212" spans="1:7">
      <c r="A212" s="3">
        <v>12</v>
      </c>
      <c r="B212" s="3">
        <v>4</v>
      </c>
      <c r="C212" s="3">
        <v>49</v>
      </c>
      <c r="D212" s="3">
        <v>3</v>
      </c>
      <c r="E212" s="3">
        <v>-52.022</v>
      </c>
      <c r="F212" s="4" t="str">
        <f>HYPERLINK("http://141.218.60.56/~jnz1568/getInfo.php?workbook=12_04.xlsx&amp;sheet=A0&amp;row=212&amp;col=6&amp;number=19.4&amp;sourceID=14","19.4")</f>
        <v>19.4</v>
      </c>
      <c r="G212" s="4" t="str">
        <f>HYPERLINK("http://141.218.60.56/~jnz1568/getInfo.php?workbook=12_04.xlsx&amp;sheet=A0&amp;row=212&amp;col=7&amp;number=0&amp;sourceID=14","0")</f>
        <v>0</v>
      </c>
    </row>
    <row r="213" spans="1:7">
      <c r="A213" s="3">
        <v>12</v>
      </c>
      <c r="B213" s="3">
        <v>4</v>
      </c>
      <c r="C213" s="3">
        <v>50</v>
      </c>
      <c r="D213" s="3">
        <v>3</v>
      </c>
      <c r="E213" s="3">
        <v>-52.019</v>
      </c>
      <c r="F213" s="4" t="str">
        <f>HYPERLINK("http://141.218.60.56/~jnz1568/getInfo.php?workbook=12_04.xlsx&amp;sheet=A0&amp;row=213&amp;col=6&amp;number=3180000&amp;sourceID=14","3180000")</f>
        <v>3180000</v>
      </c>
      <c r="G213" s="4" t="str">
        <f>HYPERLINK("http://141.218.60.56/~jnz1568/getInfo.php?workbook=12_04.xlsx&amp;sheet=A0&amp;row=213&amp;col=7&amp;number=0&amp;sourceID=14","0")</f>
        <v>0</v>
      </c>
    </row>
    <row r="214" spans="1:7">
      <c r="A214" s="3">
        <v>12</v>
      </c>
      <c r="B214" s="3">
        <v>4</v>
      </c>
      <c r="C214" s="3">
        <v>51</v>
      </c>
      <c r="D214" s="3">
        <v>3</v>
      </c>
      <c r="E214" s="3">
        <v>-52.012</v>
      </c>
      <c r="F214" s="4" t="str">
        <f>HYPERLINK("http://141.218.60.56/~jnz1568/getInfo.php?workbook=12_04.xlsx&amp;sheet=A0&amp;row=214&amp;col=6&amp;number=5760000&amp;sourceID=14","5760000")</f>
        <v>5760000</v>
      </c>
      <c r="G214" s="4" t="str">
        <f>HYPERLINK("http://141.218.60.56/~jnz1568/getInfo.php?workbook=12_04.xlsx&amp;sheet=A0&amp;row=214&amp;col=7&amp;number=0&amp;sourceID=14","0")</f>
        <v>0</v>
      </c>
    </row>
    <row r="215" spans="1:7">
      <c r="A215" s="3">
        <v>12</v>
      </c>
      <c r="B215" s="3">
        <v>4</v>
      </c>
      <c r="C215" s="3">
        <v>52</v>
      </c>
      <c r="D215" s="3">
        <v>3</v>
      </c>
      <c r="E215" s="3">
        <v>51.893</v>
      </c>
      <c r="F215" s="4" t="str">
        <f>HYPERLINK("http://141.218.60.56/~jnz1568/getInfo.php?workbook=12_04.xlsx&amp;sheet=A0&amp;row=215&amp;col=6&amp;number=13900&amp;sourceID=14","13900")</f>
        <v>13900</v>
      </c>
      <c r="G215" s="4" t="str">
        <f>HYPERLINK("http://141.218.60.56/~jnz1568/getInfo.php?workbook=12_04.xlsx&amp;sheet=A0&amp;row=215&amp;col=7&amp;number=0&amp;sourceID=14","0")</f>
        <v>0</v>
      </c>
    </row>
    <row r="216" spans="1:7">
      <c r="A216" s="3">
        <v>12</v>
      </c>
      <c r="B216" s="3">
        <v>4</v>
      </c>
      <c r="C216" s="3">
        <v>53</v>
      </c>
      <c r="D216" s="3">
        <v>3</v>
      </c>
      <c r="E216" s="3">
        <v>51.591</v>
      </c>
      <c r="F216" s="4" t="str">
        <f>HYPERLINK("http://141.218.60.56/~jnz1568/getInfo.php?workbook=12_04.xlsx&amp;sheet=A0&amp;row=216&amp;col=6&amp;number=80400000000&amp;sourceID=14","80400000000")</f>
        <v>80400000000</v>
      </c>
      <c r="G216" s="4" t="str">
        <f>HYPERLINK("http://141.218.60.56/~jnz1568/getInfo.php?workbook=12_04.xlsx&amp;sheet=A0&amp;row=216&amp;col=7&amp;number=0&amp;sourceID=14","0")</f>
        <v>0</v>
      </c>
    </row>
    <row r="217" spans="1:7">
      <c r="A217" s="3">
        <v>12</v>
      </c>
      <c r="B217" s="3">
        <v>4</v>
      </c>
      <c r="C217" s="3">
        <v>54</v>
      </c>
      <c r="D217" s="3">
        <v>3</v>
      </c>
      <c r="E217" s="3">
        <v>51.591</v>
      </c>
      <c r="F217" s="4" t="str">
        <f>HYPERLINK("http://141.218.60.56/~jnz1568/getInfo.php?workbook=12_04.xlsx&amp;sheet=A0&amp;row=217&amp;col=6&amp;number=145000000000&amp;sourceID=14","145000000000")</f>
        <v>145000000000</v>
      </c>
      <c r="G217" s="4" t="str">
        <f>HYPERLINK("http://141.218.60.56/~jnz1568/getInfo.php?workbook=12_04.xlsx&amp;sheet=A0&amp;row=217&amp;col=7&amp;number=0&amp;sourceID=14","0")</f>
        <v>0</v>
      </c>
    </row>
    <row r="218" spans="1:7">
      <c r="A218" s="3">
        <v>12</v>
      </c>
      <c r="B218" s="3">
        <v>4</v>
      </c>
      <c r="C218" s="3">
        <v>55</v>
      </c>
      <c r="D218" s="3">
        <v>3</v>
      </c>
      <c r="E218" s="3">
        <v>51.589</v>
      </c>
      <c r="F218" s="4" t="str">
        <f>HYPERLINK("http://141.218.60.56/~jnz1568/getInfo.php?workbook=12_04.xlsx&amp;sheet=A0&amp;row=218&amp;col=6&amp;number=522&amp;sourceID=14","522")</f>
        <v>522</v>
      </c>
      <c r="G218" s="4" t="str">
        <f>HYPERLINK("http://141.218.60.56/~jnz1568/getInfo.php?workbook=12_04.xlsx&amp;sheet=A0&amp;row=218&amp;col=7&amp;number=0&amp;sourceID=14","0")</f>
        <v>0</v>
      </c>
    </row>
    <row r="219" spans="1:7">
      <c r="A219" s="3">
        <v>12</v>
      </c>
      <c r="B219" s="3">
        <v>4</v>
      </c>
      <c r="C219" s="3">
        <v>56</v>
      </c>
      <c r="D219" s="3">
        <v>3</v>
      </c>
      <c r="E219" s="3">
        <v>51.381</v>
      </c>
      <c r="F219" s="4" t="str">
        <f>HYPERLINK("http://141.218.60.56/~jnz1568/getInfo.php?workbook=12_04.xlsx&amp;sheet=A0&amp;row=219&amp;col=6&amp;number=7930000&amp;sourceID=14","7930000")</f>
        <v>7930000</v>
      </c>
      <c r="G219" s="4" t="str">
        <f>HYPERLINK("http://141.218.60.56/~jnz1568/getInfo.php?workbook=12_04.xlsx&amp;sheet=A0&amp;row=219&amp;col=7&amp;number=0&amp;sourceID=14","0")</f>
        <v>0</v>
      </c>
    </row>
    <row r="220" spans="1:7">
      <c r="A220" s="3">
        <v>12</v>
      </c>
      <c r="B220" s="3">
        <v>4</v>
      </c>
      <c r="C220" s="3">
        <v>57</v>
      </c>
      <c r="D220" s="3">
        <v>3</v>
      </c>
      <c r="E220" s="3">
        <v>-51.406</v>
      </c>
      <c r="F220" s="4" t="str">
        <f>HYPERLINK("http://141.218.60.56/~jnz1568/getInfo.php?workbook=12_04.xlsx&amp;sheet=A0&amp;row=220&amp;col=6&amp;number=13000000&amp;sourceID=14","13000000")</f>
        <v>13000000</v>
      </c>
      <c r="G220" s="4" t="str">
        <f>HYPERLINK("http://141.218.60.56/~jnz1568/getInfo.php?workbook=12_04.xlsx&amp;sheet=A0&amp;row=220&amp;col=7&amp;number=0&amp;sourceID=14","0")</f>
        <v>0</v>
      </c>
    </row>
    <row r="221" spans="1:7">
      <c r="A221" s="3">
        <v>12</v>
      </c>
      <c r="B221" s="3">
        <v>4</v>
      </c>
      <c r="C221" s="3">
        <v>58</v>
      </c>
      <c r="D221" s="3">
        <v>3</v>
      </c>
      <c r="E221" s="3">
        <v>-51.406</v>
      </c>
      <c r="F221" s="4" t="str">
        <f>HYPERLINK("http://141.218.60.56/~jnz1568/getInfo.php?workbook=12_04.xlsx&amp;sheet=A0&amp;row=221&amp;col=6&amp;number=18600000&amp;sourceID=14","18600000")</f>
        <v>18600000</v>
      </c>
      <c r="G221" s="4" t="str">
        <f>HYPERLINK("http://141.218.60.56/~jnz1568/getInfo.php?workbook=12_04.xlsx&amp;sheet=A0&amp;row=221&amp;col=7&amp;number=0&amp;sourceID=14","0")</f>
        <v>0</v>
      </c>
    </row>
    <row r="222" spans="1:7">
      <c r="A222" s="3">
        <v>12</v>
      </c>
      <c r="B222" s="3">
        <v>4</v>
      </c>
      <c r="C222" s="3">
        <v>59</v>
      </c>
      <c r="D222" s="3">
        <v>3</v>
      </c>
      <c r="E222" s="3">
        <v>-51.404</v>
      </c>
      <c r="F222" s="4" t="str">
        <f>HYPERLINK("http://141.218.60.56/~jnz1568/getInfo.php?workbook=12_04.xlsx&amp;sheet=A0&amp;row=222&amp;col=6&amp;number=0.162&amp;sourceID=14","0.162")</f>
        <v>0.162</v>
      </c>
      <c r="G222" s="4" t="str">
        <f>HYPERLINK("http://141.218.60.56/~jnz1568/getInfo.php?workbook=12_04.xlsx&amp;sheet=A0&amp;row=222&amp;col=7&amp;number=0&amp;sourceID=14","0")</f>
        <v>0</v>
      </c>
    </row>
    <row r="223" spans="1:7">
      <c r="A223" s="3">
        <v>12</v>
      </c>
      <c r="B223" s="3">
        <v>4</v>
      </c>
      <c r="C223" s="3">
        <v>60</v>
      </c>
      <c r="D223" s="3">
        <v>3</v>
      </c>
      <c r="E223" s="3">
        <v>-51.338</v>
      </c>
      <c r="F223" s="4" t="str">
        <f>HYPERLINK("http://141.218.60.56/~jnz1568/getInfo.php?workbook=12_04.xlsx&amp;sheet=A0&amp;row=223&amp;col=6&amp;number=2640&amp;sourceID=14","2640")</f>
        <v>2640</v>
      </c>
      <c r="G223" s="4" t="str">
        <f>HYPERLINK("http://141.218.60.56/~jnz1568/getInfo.php?workbook=12_04.xlsx&amp;sheet=A0&amp;row=223&amp;col=7&amp;number=0&amp;sourceID=14","0")</f>
        <v>0</v>
      </c>
    </row>
    <row r="224" spans="1:7">
      <c r="A224" s="3">
        <v>12</v>
      </c>
      <c r="B224" s="3">
        <v>4</v>
      </c>
      <c r="C224" s="3">
        <v>61</v>
      </c>
      <c r="D224" s="3">
        <v>3</v>
      </c>
      <c r="E224" s="3">
        <v>-48.459</v>
      </c>
      <c r="F224" s="4" t="str">
        <f>HYPERLINK("http://141.218.60.56/~jnz1568/getInfo.php?workbook=12_04.xlsx&amp;sheet=A0&amp;row=224&amp;col=6&amp;number=12.2&amp;sourceID=14","12.2")</f>
        <v>12.2</v>
      </c>
      <c r="G224" s="4" t="str">
        <f>HYPERLINK("http://141.218.60.56/~jnz1568/getInfo.php?workbook=12_04.xlsx&amp;sheet=A0&amp;row=224&amp;col=7&amp;number=0&amp;sourceID=14","0")</f>
        <v>0</v>
      </c>
    </row>
    <row r="225" spans="1:7">
      <c r="A225" s="3">
        <v>12</v>
      </c>
      <c r="B225" s="3">
        <v>4</v>
      </c>
      <c r="C225" s="3">
        <v>62</v>
      </c>
      <c r="D225" s="3">
        <v>3</v>
      </c>
      <c r="E225" s="3">
        <v>-48.438</v>
      </c>
      <c r="F225" s="4" t="str">
        <f>HYPERLINK("http://141.218.60.56/~jnz1568/getInfo.php?workbook=12_04.xlsx&amp;sheet=A0&amp;row=225&amp;col=6&amp;number=113000&amp;sourceID=14","113000")</f>
        <v>113000</v>
      </c>
      <c r="G225" s="4" t="str">
        <f>HYPERLINK("http://141.218.60.56/~jnz1568/getInfo.php?workbook=12_04.xlsx&amp;sheet=A0&amp;row=225&amp;col=7&amp;number=0&amp;sourceID=14","0")</f>
        <v>0</v>
      </c>
    </row>
    <row r="226" spans="1:7">
      <c r="A226" s="3">
        <v>12</v>
      </c>
      <c r="B226" s="3">
        <v>4</v>
      </c>
      <c r="C226" s="3">
        <v>63</v>
      </c>
      <c r="D226" s="3">
        <v>3</v>
      </c>
      <c r="E226" s="3">
        <v>-48.368</v>
      </c>
      <c r="F226" s="4" t="str">
        <f>HYPERLINK("http://141.218.60.56/~jnz1568/getInfo.php?workbook=12_04.xlsx&amp;sheet=A0&amp;row=226&amp;col=6&amp;number=188000&amp;sourceID=14","188000")</f>
        <v>188000</v>
      </c>
      <c r="G226" s="4" t="str">
        <f>HYPERLINK("http://141.218.60.56/~jnz1568/getInfo.php?workbook=12_04.xlsx&amp;sheet=A0&amp;row=226&amp;col=7&amp;number=0&amp;sourceID=14","0")</f>
        <v>0</v>
      </c>
    </row>
    <row r="227" spans="1:7">
      <c r="A227" s="3">
        <v>12</v>
      </c>
      <c r="B227" s="3">
        <v>4</v>
      </c>
      <c r="C227" s="3">
        <v>64</v>
      </c>
      <c r="D227" s="3">
        <v>3</v>
      </c>
      <c r="E227" s="3">
        <v>-48.222</v>
      </c>
      <c r="F227" s="4" t="str">
        <f>HYPERLINK("http://141.218.60.56/~jnz1568/getInfo.php?workbook=12_04.xlsx&amp;sheet=A0&amp;row=227&amp;col=6&amp;number=1030&amp;sourceID=14","1030")</f>
        <v>1030</v>
      </c>
      <c r="G227" s="4" t="str">
        <f>HYPERLINK("http://141.218.60.56/~jnz1568/getInfo.php?workbook=12_04.xlsx&amp;sheet=A0&amp;row=227&amp;col=7&amp;number=0&amp;sourceID=14","0")</f>
        <v>0</v>
      </c>
    </row>
    <row r="228" spans="1:7">
      <c r="A228" s="3">
        <v>12</v>
      </c>
      <c r="B228" s="3">
        <v>4</v>
      </c>
      <c r="C228" s="3">
        <v>65</v>
      </c>
      <c r="D228" s="3">
        <v>3</v>
      </c>
      <c r="E228" s="3">
        <v>-48.048</v>
      </c>
      <c r="F228" s="4" t="str">
        <f>HYPERLINK("http://141.218.60.56/~jnz1568/getInfo.php?workbook=12_04.xlsx&amp;sheet=A0&amp;row=228&amp;col=6&amp;number=13300000000&amp;sourceID=14","13300000000")</f>
        <v>13300000000</v>
      </c>
      <c r="G228" s="4" t="str">
        <f>HYPERLINK("http://141.218.60.56/~jnz1568/getInfo.php?workbook=12_04.xlsx&amp;sheet=A0&amp;row=228&amp;col=7&amp;number=0&amp;sourceID=14","0")</f>
        <v>0</v>
      </c>
    </row>
    <row r="229" spans="1:7">
      <c r="A229" s="3">
        <v>12</v>
      </c>
      <c r="B229" s="3">
        <v>4</v>
      </c>
      <c r="C229" s="3">
        <v>66</v>
      </c>
      <c r="D229" s="3">
        <v>3</v>
      </c>
      <c r="E229" s="3">
        <v>-47.989</v>
      </c>
      <c r="F229" s="4" t="str">
        <f>HYPERLINK("http://141.218.60.56/~jnz1568/getInfo.php?workbook=12_04.xlsx&amp;sheet=A0&amp;row=229&amp;col=6&amp;number=6340000000&amp;sourceID=14","6340000000")</f>
        <v>6340000000</v>
      </c>
      <c r="G229" s="4" t="str">
        <f>HYPERLINK("http://141.218.60.56/~jnz1568/getInfo.php?workbook=12_04.xlsx&amp;sheet=A0&amp;row=229&amp;col=7&amp;number=0&amp;sourceID=14","0")</f>
        <v>0</v>
      </c>
    </row>
    <row r="230" spans="1:7">
      <c r="A230" s="3">
        <v>12</v>
      </c>
      <c r="B230" s="3">
        <v>4</v>
      </c>
      <c r="C230" s="3">
        <v>67</v>
      </c>
      <c r="D230" s="3">
        <v>3</v>
      </c>
      <c r="E230" s="3">
        <v>-47.979</v>
      </c>
      <c r="F230" s="4" t="str">
        <f>HYPERLINK("http://141.218.60.56/~jnz1568/getInfo.php?workbook=12_04.xlsx&amp;sheet=A0&amp;row=230&amp;col=6&amp;number=49700000000&amp;sourceID=14","49700000000")</f>
        <v>49700000000</v>
      </c>
      <c r="G230" s="4" t="str">
        <f>HYPERLINK("http://141.218.60.56/~jnz1568/getInfo.php?workbook=12_04.xlsx&amp;sheet=A0&amp;row=230&amp;col=7&amp;number=0&amp;sourceID=14","0")</f>
        <v>0</v>
      </c>
    </row>
    <row r="231" spans="1:7">
      <c r="A231" s="3">
        <v>12</v>
      </c>
      <c r="B231" s="3">
        <v>4</v>
      </c>
      <c r="C231" s="3">
        <v>68</v>
      </c>
      <c r="D231" s="3">
        <v>3</v>
      </c>
      <c r="E231" s="3">
        <v>47.891</v>
      </c>
      <c r="F231" s="4" t="str">
        <f>HYPERLINK("http://141.218.60.56/~jnz1568/getInfo.php?workbook=12_04.xlsx&amp;sheet=A0&amp;row=231&amp;col=6&amp;number=996&amp;sourceID=14","996")</f>
        <v>996</v>
      </c>
      <c r="G231" s="4" t="str">
        <f>HYPERLINK("http://141.218.60.56/~jnz1568/getInfo.php?workbook=12_04.xlsx&amp;sheet=A0&amp;row=231&amp;col=7&amp;number=0&amp;sourceID=14","0")</f>
        <v>0</v>
      </c>
    </row>
    <row r="232" spans="1:7">
      <c r="A232" s="3">
        <v>12</v>
      </c>
      <c r="B232" s="3">
        <v>4</v>
      </c>
      <c r="C232" s="3">
        <v>69</v>
      </c>
      <c r="D232" s="3">
        <v>3</v>
      </c>
      <c r="E232" s="3">
        <v>-47.856</v>
      </c>
      <c r="F232" s="4" t="str">
        <f>HYPERLINK("http://141.218.60.56/~jnz1568/getInfo.php?workbook=12_04.xlsx&amp;sheet=A0&amp;row=232&amp;col=6&amp;number=50500000000&amp;sourceID=14","50500000000")</f>
        <v>50500000000</v>
      </c>
      <c r="G232" s="4" t="str">
        <f>HYPERLINK("http://141.218.60.56/~jnz1568/getInfo.php?workbook=12_04.xlsx&amp;sheet=A0&amp;row=232&amp;col=7&amp;number=0&amp;sourceID=14","0")</f>
        <v>0</v>
      </c>
    </row>
    <row r="233" spans="1:7">
      <c r="A233" s="3">
        <v>12</v>
      </c>
      <c r="B233" s="3">
        <v>4</v>
      </c>
      <c r="C233" s="3">
        <v>70</v>
      </c>
      <c r="D233" s="3">
        <v>3</v>
      </c>
      <c r="E233" s="3">
        <v>-47.842</v>
      </c>
      <c r="F233" s="4" t="str">
        <f>HYPERLINK("http://141.218.60.56/~jnz1568/getInfo.php?workbook=12_04.xlsx&amp;sheet=A0&amp;row=233&amp;col=6&amp;number=65800000000&amp;sourceID=14","65800000000")</f>
        <v>65800000000</v>
      </c>
      <c r="G233" s="4" t="str">
        <f>HYPERLINK("http://141.218.60.56/~jnz1568/getInfo.php?workbook=12_04.xlsx&amp;sheet=A0&amp;row=233&amp;col=7&amp;number=0&amp;sourceID=14","0")</f>
        <v>0</v>
      </c>
    </row>
    <row r="234" spans="1:7">
      <c r="A234" s="3">
        <v>12</v>
      </c>
      <c r="B234" s="3">
        <v>4</v>
      </c>
      <c r="C234" s="3">
        <v>71</v>
      </c>
      <c r="D234" s="3">
        <v>3</v>
      </c>
      <c r="E234" s="3">
        <v>-47.798</v>
      </c>
      <c r="F234" s="4" t="str">
        <f>HYPERLINK("http://141.218.60.56/~jnz1568/getInfo.php?workbook=12_04.xlsx&amp;sheet=A0&amp;row=234&amp;col=6&amp;number=361000000&amp;sourceID=14","361000000")</f>
        <v>361000000</v>
      </c>
      <c r="G234" s="4" t="str">
        <f>HYPERLINK("http://141.218.60.56/~jnz1568/getInfo.php?workbook=12_04.xlsx&amp;sheet=A0&amp;row=234&amp;col=7&amp;number=0&amp;sourceID=14","0")</f>
        <v>0</v>
      </c>
    </row>
    <row r="235" spans="1:7">
      <c r="A235" s="3">
        <v>12</v>
      </c>
      <c r="B235" s="3">
        <v>4</v>
      </c>
      <c r="C235" s="3">
        <v>72</v>
      </c>
      <c r="D235" s="3">
        <v>3</v>
      </c>
      <c r="E235" s="3">
        <v>47.762</v>
      </c>
      <c r="F235" s="4" t="str">
        <f>HYPERLINK("http://141.218.60.56/~jnz1568/getInfo.php?workbook=12_04.xlsx&amp;sheet=A0&amp;row=235&amp;col=6&amp;number=9220000000&amp;sourceID=14","9220000000")</f>
        <v>9220000000</v>
      </c>
      <c r="G235" s="4" t="str">
        <f>HYPERLINK("http://141.218.60.56/~jnz1568/getInfo.php?workbook=12_04.xlsx&amp;sheet=A0&amp;row=235&amp;col=7&amp;number=0&amp;sourceID=14","0")</f>
        <v>0</v>
      </c>
    </row>
    <row r="236" spans="1:7">
      <c r="A236" s="3">
        <v>12</v>
      </c>
      <c r="B236" s="3">
        <v>4</v>
      </c>
      <c r="C236" s="3">
        <v>73</v>
      </c>
      <c r="D236" s="3">
        <v>3</v>
      </c>
      <c r="E236" s="3">
        <v>-47.718</v>
      </c>
      <c r="F236" s="4" t="str">
        <f>HYPERLINK("http://141.218.60.56/~jnz1568/getInfo.php?workbook=12_04.xlsx&amp;sheet=A0&amp;row=236&amp;col=6&amp;number=5850000&amp;sourceID=14","5850000")</f>
        <v>5850000</v>
      </c>
      <c r="G236" s="4" t="str">
        <f>HYPERLINK("http://141.218.60.56/~jnz1568/getInfo.php?workbook=12_04.xlsx&amp;sheet=A0&amp;row=236&amp;col=7&amp;number=0&amp;sourceID=14","0")</f>
        <v>0</v>
      </c>
    </row>
    <row r="237" spans="1:7">
      <c r="A237" s="3">
        <v>12</v>
      </c>
      <c r="B237" s="3">
        <v>4</v>
      </c>
      <c r="C237" s="3">
        <v>74</v>
      </c>
      <c r="D237" s="3">
        <v>3</v>
      </c>
      <c r="E237" s="3">
        <v>-47.674</v>
      </c>
      <c r="F237" s="4" t="str">
        <f>HYPERLINK("http://141.218.60.56/~jnz1568/getInfo.php?workbook=12_04.xlsx&amp;sheet=A0&amp;row=237&amp;col=6&amp;number=12500000&amp;sourceID=14","12500000")</f>
        <v>12500000</v>
      </c>
      <c r="G237" s="4" t="str">
        <f>HYPERLINK("http://141.218.60.56/~jnz1568/getInfo.php?workbook=12_04.xlsx&amp;sheet=A0&amp;row=237&amp;col=7&amp;number=0&amp;sourceID=14","0")</f>
        <v>0</v>
      </c>
    </row>
    <row r="238" spans="1:7">
      <c r="A238" s="3">
        <v>12</v>
      </c>
      <c r="B238" s="3">
        <v>4</v>
      </c>
      <c r="C238" s="3">
        <v>75</v>
      </c>
      <c r="D238" s="3">
        <v>3</v>
      </c>
      <c r="E238" s="3">
        <v>47.629</v>
      </c>
      <c r="F238" s="4" t="str">
        <f>HYPERLINK("http://141.218.60.56/~jnz1568/getInfo.php?workbook=12_04.xlsx&amp;sheet=A0&amp;row=238&amp;col=6&amp;number=403000&amp;sourceID=14","403000")</f>
        <v>403000</v>
      </c>
      <c r="G238" s="4" t="str">
        <f>HYPERLINK("http://141.218.60.56/~jnz1568/getInfo.php?workbook=12_04.xlsx&amp;sheet=A0&amp;row=238&amp;col=7&amp;number=0&amp;sourceID=14","0")</f>
        <v>0</v>
      </c>
    </row>
    <row r="239" spans="1:7">
      <c r="A239" s="3">
        <v>12</v>
      </c>
      <c r="B239" s="3">
        <v>4</v>
      </c>
      <c r="C239" s="3">
        <v>76</v>
      </c>
      <c r="D239" s="3">
        <v>3</v>
      </c>
      <c r="E239" s="3">
        <v>47.632</v>
      </c>
      <c r="F239" s="4" t="str">
        <f>HYPERLINK("http://141.218.60.56/~jnz1568/getInfo.php?workbook=12_04.xlsx&amp;sheet=A0&amp;row=239&amp;col=6&amp;number=1020000000&amp;sourceID=14","1020000000")</f>
        <v>1020000000</v>
      </c>
      <c r="G239" s="4" t="str">
        <f>HYPERLINK("http://141.218.60.56/~jnz1568/getInfo.php?workbook=12_04.xlsx&amp;sheet=A0&amp;row=239&amp;col=7&amp;number=0&amp;sourceID=14","0")</f>
        <v>0</v>
      </c>
    </row>
    <row r="240" spans="1:7">
      <c r="A240" s="3">
        <v>12</v>
      </c>
      <c r="B240" s="3">
        <v>4</v>
      </c>
      <c r="C240" s="3">
        <v>77</v>
      </c>
      <c r="D240" s="3">
        <v>3</v>
      </c>
      <c r="E240" s="3">
        <v>-47.625</v>
      </c>
      <c r="F240" s="4" t="str">
        <f>HYPERLINK("http://141.218.60.56/~jnz1568/getInfo.php?workbook=12_04.xlsx&amp;sheet=A0&amp;row=240&amp;col=6&amp;number=0.404&amp;sourceID=14","0.404")</f>
        <v>0.404</v>
      </c>
      <c r="G240" s="4" t="str">
        <f>HYPERLINK("http://141.218.60.56/~jnz1568/getInfo.php?workbook=12_04.xlsx&amp;sheet=A0&amp;row=240&amp;col=7&amp;number=0&amp;sourceID=14","0")</f>
        <v>0</v>
      </c>
    </row>
    <row r="241" spans="1:7">
      <c r="A241" s="3">
        <v>12</v>
      </c>
      <c r="B241" s="3">
        <v>4</v>
      </c>
      <c r="C241" s="3">
        <v>78</v>
      </c>
      <c r="D241" s="3">
        <v>3</v>
      </c>
      <c r="E241" s="3">
        <v>-47.557</v>
      </c>
      <c r="F241" s="4" t="str">
        <f>HYPERLINK("http://141.218.60.56/~jnz1568/getInfo.php?workbook=12_04.xlsx&amp;sheet=A0&amp;row=241&amp;col=6&amp;number=11300000&amp;sourceID=14","11300000")</f>
        <v>11300000</v>
      </c>
      <c r="G241" s="4" t="str">
        <f>HYPERLINK("http://141.218.60.56/~jnz1568/getInfo.php?workbook=12_04.xlsx&amp;sheet=A0&amp;row=241&amp;col=7&amp;number=0&amp;sourceID=14","0")</f>
        <v>0</v>
      </c>
    </row>
    <row r="242" spans="1:7">
      <c r="A242" s="3">
        <v>12</v>
      </c>
      <c r="B242" s="3">
        <v>4</v>
      </c>
      <c r="C242" s="3">
        <v>79</v>
      </c>
      <c r="D242" s="3">
        <v>3</v>
      </c>
      <c r="E242" s="3">
        <v>-47.543</v>
      </c>
      <c r="F242" s="4" t="str">
        <f>HYPERLINK("http://141.218.60.56/~jnz1568/getInfo.php?workbook=12_04.xlsx&amp;sheet=A0&amp;row=242&amp;col=6&amp;number=6220000&amp;sourceID=14","6220000")</f>
        <v>6220000</v>
      </c>
      <c r="G242" s="4" t="str">
        <f>HYPERLINK("http://141.218.60.56/~jnz1568/getInfo.php?workbook=12_04.xlsx&amp;sheet=A0&amp;row=242&amp;col=7&amp;number=0&amp;sourceID=14","0")</f>
        <v>0</v>
      </c>
    </row>
    <row r="243" spans="1:7">
      <c r="A243" s="3">
        <v>12</v>
      </c>
      <c r="B243" s="3">
        <v>4</v>
      </c>
      <c r="C243" s="3">
        <v>80</v>
      </c>
      <c r="D243" s="3">
        <v>3</v>
      </c>
      <c r="E243" s="3">
        <v>-47.515</v>
      </c>
      <c r="F243" s="4" t="str">
        <f>HYPERLINK("http://141.218.60.56/~jnz1568/getInfo.php?workbook=12_04.xlsx&amp;sheet=A0&amp;row=243&amp;col=6&amp;number=1340&amp;sourceID=14","1340")</f>
        <v>1340</v>
      </c>
      <c r="G243" s="4" t="str">
        <f>HYPERLINK("http://141.218.60.56/~jnz1568/getInfo.php?workbook=12_04.xlsx&amp;sheet=A0&amp;row=243&amp;col=7&amp;number=0&amp;sourceID=14","0")</f>
        <v>0</v>
      </c>
    </row>
    <row r="244" spans="1:7">
      <c r="A244" s="3">
        <v>12</v>
      </c>
      <c r="B244" s="3">
        <v>4</v>
      </c>
      <c r="C244" s="3">
        <v>81</v>
      </c>
      <c r="D244" s="3">
        <v>3</v>
      </c>
      <c r="E244" s="3">
        <v>47.469</v>
      </c>
      <c r="F244" s="4" t="str">
        <f>HYPERLINK("http://141.218.60.56/~jnz1568/getInfo.php?workbook=12_04.xlsx&amp;sheet=A0&amp;row=244&amp;col=6&amp;number=1620000&amp;sourceID=14","1620000")</f>
        <v>1620000</v>
      </c>
      <c r="G244" s="4" t="str">
        <f>HYPERLINK("http://141.218.60.56/~jnz1568/getInfo.php?workbook=12_04.xlsx&amp;sheet=A0&amp;row=244&amp;col=7&amp;number=0&amp;sourceID=14","0")</f>
        <v>0</v>
      </c>
    </row>
    <row r="245" spans="1:7">
      <c r="A245" s="3">
        <v>12</v>
      </c>
      <c r="B245" s="3">
        <v>4</v>
      </c>
      <c r="C245" s="3">
        <v>82</v>
      </c>
      <c r="D245" s="3">
        <v>3</v>
      </c>
      <c r="E245" s="3">
        <v>-47.507</v>
      </c>
      <c r="F245" s="4" t="str">
        <f>HYPERLINK("http://141.218.60.56/~jnz1568/getInfo.php?workbook=12_04.xlsx&amp;sheet=A0&amp;row=245&amp;col=6&amp;number=14200&amp;sourceID=14","14200")</f>
        <v>14200</v>
      </c>
      <c r="G245" s="4" t="str">
        <f>HYPERLINK("http://141.218.60.56/~jnz1568/getInfo.php?workbook=12_04.xlsx&amp;sheet=A0&amp;row=245&amp;col=7&amp;number=0&amp;sourceID=14","0")</f>
        <v>0</v>
      </c>
    </row>
    <row r="246" spans="1:7">
      <c r="A246" s="3">
        <v>12</v>
      </c>
      <c r="B246" s="3">
        <v>4</v>
      </c>
      <c r="C246" s="3">
        <v>83</v>
      </c>
      <c r="D246" s="3">
        <v>3</v>
      </c>
      <c r="E246" s="3">
        <v>-47.507</v>
      </c>
      <c r="F246" s="4" t="str">
        <f>HYPERLINK("http://141.218.60.56/~jnz1568/getInfo.php?workbook=12_04.xlsx&amp;sheet=A0&amp;row=246&amp;col=6&amp;number=1.12&amp;sourceID=14","1.12")</f>
        <v>1.12</v>
      </c>
      <c r="G246" s="4" t="str">
        <f>HYPERLINK("http://141.218.60.56/~jnz1568/getInfo.php?workbook=12_04.xlsx&amp;sheet=A0&amp;row=246&amp;col=7&amp;number=0&amp;sourceID=14","0")</f>
        <v>0</v>
      </c>
    </row>
    <row r="247" spans="1:7">
      <c r="A247" s="3">
        <v>12</v>
      </c>
      <c r="B247" s="3">
        <v>4</v>
      </c>
      <c r="C247" s="3">
        <v>84</v>
      </c>
      <c r="D247" s="3">
        <v>3</v>
      </c>
      <c r="E247" s="3">
        <v>-47.499</v>
      </c>
      <c r="F247" s="4" t="str">
        <f>HYPERLINK("http://141.218.60.56/~jnz1568/getInfo.php?workbook=12_04.xlsx&amp;sheet=A0&amp;row=247&amp;col=6&amp;number=6280&amp;sourceID=14","6280")</f>
        <v>6280</v>
      </c>
      <c r="G247" s="4" t="str">
        <f>HYPERLINK("http://141.218.60.56/~jnz1568/getInfo.php?workbook=12_04.xlsx&amp;sheet=A0&amp;row=247&amp;col=7&amp;number=0&amp;sourceID=14","0")</f>
        <v>0</v>
      </c>
    </row>
    <row r="248" spans="1:7">
      <c r="A248" s="3">
        <v>12</v>
      </c>
      <c r="B248" s="3">
        <v>4</v>
      </c>
      <c r="C248" s="3">
        <v>85</v>
      </c>
      <c r="D248" s="3">
        <v>3</v>
      </c>
      <c r="E248" s="3">
        <v>47.443</v>
      </c>
      <c r="F248" s="4" t="str">
        <f>HYPERLINK("http://141.218.60.56/~jnz1568/getInfo.php?workbook=12_04.xlsx&amp;sheet=A0&amp;row=248&amp;col=6&amp;number=4480000&amp;sourceID=14","4480000")</f>
        <v>4480000</v>
      </c>
      <c r="G248" s="4" t="str">
        <f>HYPERLINK("http://141.218.60.56/~jnz1568/getInfo.php?workbook=12_04.xlsx&amp;sheet=A0&amp;row=248&amp;col=7&amp;number=0&amp;sourceID=14","0")</f>
        <v>0</v>
      </c>
    </row>
    <row r="249" spans="1:7">
      <c r="A249" s="3">
        <v>12</v>
      </c>
      <c r="B249" s="3">
        <v>4</v>
      </c>
      <c r="C249" s="3">
        <v>86</v>
      </c>
      <c r="D249" s="3">
        <v>3</v>
      </c>
      <c r="E249" s="3">
        <v>47.431</v>
      </c>
      <c r="F249" s="4" t="str">
        <f>HYPERLINK("http://141.218.60.56/~jnz1568/getInfo.php?workbook=12_04.xlsx&amp;sheet=A0&amp;row=249&amp;col=6&amp;number=1680000&amp;sourceID=14","1680000")</f>
        <v>1680000</v>
      </c>
      <c r="G249" s="4" t="str">
        <f>HYPERLINK("http://141.218.60.56/~jnz1568/getInfo.php?workbook=12_04.xlsx&amp;sheet=A0&amp;row=249&amp;col=7&amp;number=0&amp;sourceID=14","0")</f>
        <v>0</v>
      </c>
    </row>
    <row r="250" spans="1:7">
      <c r="A250" s="3">
        <v>12</v>
      </c>
      <c r="B250" s="3">
        <v>4</v>
      </c>
      <c r="C250" s="3">
        <v>87</v>
      </c>
      <c r="D250" s="3">
        <v>3</v>
      </c>
      <c r="E250" s="3">
        <v>-47.444</v>
      </c>
      <c r="F250" s="4" t="str">
        <f>HYPERLINK("http://141.218.60.56/~jnz1568/getInfo.php?workbook=12_04.xlsx&amp;sheet=A0&amp;row=250&amp;col=6&amp;number=0.545&amp;sourceID=14","0.545")</f>
        <v>0.545</v>
      </c>
      <c r="G250" s="4" t="str">
        <f>HYPERLINK("http://141.218.60.56/~jnz1568/getInfo.php?workbook=12_04.xlsx&amp;sheet=A0&amp;row=250&amp;col=7&amp;number=0&amp;sourceID=14","0")</f>
        <v>0</v>
      </c>
    </row>
    <row r="251" spans="1:7">
      <c r="A251" s="3">
        <v>12</v>
      </c>
      <c r="B251" s="3">
        <v>4</v>
      </c>
      <c r="C251" s="3">
        <v>88</v>
      </c>
      <c r="D251" s="3">
        <v>3</v>
      </c>
      <c r="E251" s="3">
        <v>-47.427</v>
      </c>
      <c r="F251" s="4" t="str">
        <f>HYPERLINK("http://141.218.60.56/~jnz1568/getInfo.php?workbook=12_04.xlsx&amp;sheet=A0&amp;row=251&amp;col=6&amp;number=3170&amp;sourceID=14","3170")</f>
        <v>3170</v>
      </c>
      <c r="G251" s="4" t="str">
        <f>HYPERLINK("http://141.218.60.56/~jnz1568/getInfo.php?workbook=12_04.xlsx&amp;sheet=A0&amp;row=251&amp;col=7&amp;number=0&amp;sourceID=14","0")</f>
        <v>0</v>
      </c>
    </row>
    <row r="252" spans="1:7">
      <c r="A252" s="3">
        <v>12</v>
      </c>
      <c r="B252" s="3">
        <v>4</v>
      </c>
      <c r="C252" s="3">
        <v>89</v>
      </c>
      <c r="D252" s="3">
        <v>3</v>
      </c>
      <c r="E252" s="3">
        <v>-47.416</v>
      </c>
      <c r="F252" s="4" t="str">
        <f>HYPERLINK("http://141.218.60.56/~jnz1568/getInfo.php?workbook=12_04.xlsx&amp;sheet=A0&amp;row=252&amp;col=6&amp;number=615&amp;sourceID=14","615")</f>
        <v>615</v>
      </c>
      <c r="G252" s="4" t="str">
        <f>HYPERLINK("http://141.218.60.56/~jnz1568/getInfo.php?workbook=12_04.xlsx&amp;sheet=A0&amp;row=252&amp;col=7&amp;number=0&amp;sourceID=14","0")</f>
        <v>0</v>
      </c>
    </row>
    <row r="253" spans="1:7">
      <c r="A253" s="3">
        <v>12</v>
      </c>
      <c r="B253" s="3">
        <v>4</v>
      </c>
      <c r="C253" s="3">
        <v>90</v>
      </c>
      <c r="D253" s="3">
        <v>3</v>
      </c>
      <c r="E253" s="3">
        <v>-47.386</v>
      </c>
      <c r="F253" s="4" t="str">
        <f>HYPERLINK("http://141.218.60.56/~jnz1568/getInfo.php?workbook=12_04.xlsx&amp;sheet=A0&amp;row=253&amp;col=6&amp;number=0.0286&amp;sourceID=14","0.0286")</f>
        <v>0.0286</v>
      </c>
      <c r="G253" s="4" t="str">
        <f>HYPERLINK("http://141.218.60.56/~jnz1568/getInfo.php?workbook=12_04.xlsx&amp;sheet=A0&amp;row=253&amp;col=7&amp;number=0&amp;sourceID=14","0")</f>
        <v>0</v>
      </c>
    </row>
    <row r="254" spans="1:7">
      <c r="A254" s="3">
        <v>12</v>
      </c>
      <c r="B254" s="3">
        <v>4</v>
      </c>
      <c r="C254" s="3">
        <v>91</v>
      </c>
      <c r="D254" s="3">
        <v>3</v>
      </c>
      <c r="E254" s="3">
        <v>-47.358</v>
      </c>
      <c r="F254" s="4" t="str">
        <f>HYPERLINK("http://141.218.60.56/~jnz1568/getInfo.php?workbook=12_04.xlsx&amp;sheet=A0&amp;row=254&amp;col=6&amp;number=2070&amp;sourceID=14","2070")</f>
        <v>2070</v>
      </c>
      <c r="G254" s="4" t="str">
        <f>HYPERLINK("http://141.218.60.56/~jnz1568/getInfo.php?workbook=12_04.xlsx&amp;sheet=A0&amp;row=254&amp;col=7&amp;number=0&amp;sourceID=14","0")</f>
        <v>0</v>
      </c>
    </row>
    <row r="255" spans="1:7">
      <c r="A255" s="3">
        <v>12</v>
      </c>
      <c r="B255" s="3">
        <v>4</v>
      </c>
      <c r="C255" s="3">
        <v>92</v>
      </c>
      <c r="D255" s="3">
        <v>3</v>
      </c>
      <c r="E255" s="3">
        <v>-47.352</v>
      </c>
      <c r="F255" s="4" t="str">
        <f>HYPERLINK("http://141.218.60.56/~jnz1568/getInfo.php?workbook=12_04.xlsx&amp;sheet=A0&amp;row=255&amp;col=6&amp;number=914&amp;sourceID=14","914")</f>
        <v>914</v>
      </c>
      <c r="G255" s="4" t="str">
        <f>HYPERLINK("http://141.218.60.56/~jnz1568/getInfo.php?workbook=12_04.xlsx&amp;sheet=A0&amp;row=255&amp;col=7&amp;number=0&amp;sourceID=14","0")</f>
        <v>0</v>
      </c>
    </row>
    <row r="256" spans="1:7">
      <c r="A256" s="3">
        <v>12</v>
      </c>
      <c r="B256" s="3">
        <v>4</v>
      </c>
      <c r="C256" s="3">
        <v>93</v>
      </c>
      <c r="D256" s="3">
        <v>3</v>
      </c>
      <c r="E256" s="3">
        <v>-47.346</v>
      </c>
      <c r="F256" s="4" t="str">
        <f>HYPERLINK("http://141.218.60.56/~jnz1568/getInfo.php?workbook=12_04.xlsx&amp;sheet=A0&amp;row=256&amp;col=6&amp;number=39200000&amp;sourceID=14","39200000")</f>
        <v>39200000</v>
      </c>
      <c r="G256" s="4" t="str">
        <f>HYPERLINK("http://141.218.60.56/~jnz1568/getInfo.php?workbook=12_04.xlsx&amp;sheet=A0&amp;row=256&amp;col=7&amp;number=0&amp;sourceID=14","0")</f>
        <v>0</v>
      </c>
    </row>
    <row r="257" spans="1:7">
      <c r="A257" s="3">
        <v>12</v>
      </c>
      <c r="B257" s="3">
        <v>4</v>
      </c>
      <c r="C257" s="3">
        <v>94</v>
      </c>
      <c r="D257" s="3">
        <v>3</v>
      </c>
      <c r="E257" s="3">
        <v>-47.324</v>
      </c>
      <c r="F257" s="4" t="str">
        <f>HYPERLINK("http://141.218.60.56/~jnz1568/getInfo.php?workbook=12_04.xlsx&amp;sheet=A0&amp;row=257&amp;col=6&amp;number=34700000&amp;sourceID=14","34700000")</f>
        <v>34700000</v>
      </c>
      <c r="G257" s="4" t="str">
        <f>HYPERLINK("http://141.218.60.56/~jnz1568/getInfo.php?workbook=12_04.xlsx&amp;sheet=A0&amp;row=257&amp;col=7&amp;number=0&amp;sourceID=14","0")</f>
        <v>0</v>
      </c>
    </row>
    <row r="258" spans="1:7">
      <c r="A258" s="3">
        <v>12</v>
      </c>
      <c r="B258" s="3">
        <v>4</v>
      </c>
      <c r="C258" s="3">
        <v>95</v>
      </c>
      <c r="D258" s="3">
        <v>3</v>
      </c>
      <c r="E258" s="3">
        <v>-47.31</v>
      </c>
      <c r="F258" s="4" t="str">
        <f>HYPERLINK("http://141.218.60.56/~jnz1568/getInfo.php?workbook=12_04.xlsx&amp;sheet=A0&amp;row=258&amp;col=6&amp;number=428000000&amp;sourceID=14","428000000")</f>
        <v>428000000</v>
      </c>
      <c r="G258" s="4" t="str">
        <f>HYPERLINK("http://141.218.60.56/~jnz1568/getInfo.php?workbook=12_04.xlsx&amp;sheet=A0&amp;row=258&amp;col=7&amp;number=0&amp;sourceID=14","0")</f>
        <v>0</v>
      </c>
    </row>
    <row r="259" spans="1:7">
      <c r="A259" s="3">
        <v>12</v>
      </c>
      <c r="B259" s="3">
        <v>4</v>
      </c>
      <c r="C259" s="3">
        <v>96</v>
      </c>
      <c r="D259" s="3">
        <v>3</v>
      </c>
      <c r="E259" s="3">
        <v>-47.297</v>
      </c>
      <c r="F259" s="4" t="str">
        <f>HYPERLINK("http://141.218.60.56/~jnz1568/getInfo.php?workbook=12_04.xlsx&amp;sheet=A0&amp;row=259&amp;col=6&amp;number=19400000&amp;sourceID=14","19400000")</f>
        <v>19400000</v>
      </c>
      <c r="G259" s="4" t="str">
        <f>HYPERLINK("http://141.218.60.56/~jnz1568/getInfo.php?workbook=12_04.xlsx&amp;sheet=A0&amp;row=259&amp;col=7&amp;number=0&amp;sourceID=14","0")</f>
        <v>0</v>
      </c>
    </row>
    <row r="260" spans="1:7">
      <c r="A260" s="3">
        <v>12</v>
      </c>
      <c r="B260" s="3">
        <v>4</v>
      </c>
      <c r="C260" s="3">
        <v>97</v>
      </c>
      <c r="D260" s="3">
        <v>3</v>
      </c>
      <c r="E260" s="3">
        <v>47.283</v>
      </c>
      <c r="F260" s="4" t="str">
        <f>HYPERLINK("http://141.218.60.56/~jnz1568/getInfo.php?workbook=12_04.xlsx&amp;sheet=A0&amp;row=260&amp;col=6&amp;number=114000&amp;sourceID=14","114000")</f>
        <v>114000</v>
      </c>
      <c r="G260" s="4" t="str">
        <f>HYPERLINK("http://141.218.60.56/~jnz1568/getInfo.php?workbook=12_04.xlsx&amp;sheet=A0&amp;row=260&amp;col=7&amp;number=0&amp;sourceID=14","0")</f>
        <v>0</v>
      </c>
    </row>
    <row r="261" spans="1:7">
      <c r="A261" s="3">
        <v>12</v>
      </c>
      <c r="B261" s="3">
        <v>4</v>
      </c>
      <c r="C261" s="3">
        <v>98</v>
      </c>
      <c r="D261" s="3">
        <v>3</v>
      </c>
      <c r="E261" s="3">
        <v>47.244</v>
      </c>
      <c r="F261" s="4" t="str">
        <f>HYPERLINK("http://141.218.60.56/~jnz1568/getInfo.php?workbook=12_04.xlsx&amp;sheet=A0&amp;row=261&amp;col=6&amp;number=192000&amp;sourceID=14","192000")</f>
        <v>192000</v>
      </c>
      <c r="G261" s="4" t="str">
        <f>HYPERLINK("http://141.218.60.56/~jnz1568/getInfo.php?workbook=12_04.xlsx&amp;sheet=A0&amp;row=261&amp;col=7&amp;number=0&amp;sourceID=14","0")</f>
        <v>0</v>
      </c>
    </row>
    <row r="262" spans="1:7">
      <c r="A262" s="3">
        <v>12</v>
      </c>
      <c r="B262" s="3">
        <v>4</v>
      </c>
      <c r="C262" s="3">
        <v>5</v>
      </c>
      <c r="D262" s="3">
        <v>4</v>
      </c>
      <c r="E262" s="3">
        <v>783.725</v>
      </c>
      <c r="F262" s="4" t="str">
        <f>HYPERLINK("http://141.218.60.56/~jnz1568/getInfo.php?workbook=12_04.xlsx&amp;sheet=A0&amp;row=262&amp;col=6&amp;number=8.45&amp;sourceID=14","8.45")</f>
        <v>8.45</v>
      </c>
      <c r="G262" s="4" t="str">
        <f>HYPERLINK("http://141.218.60.56/~jnz1568/getInfo.php?workbook=12_04.xlsx&amp;sheet=A0&amp;row=262&amp;col=7&amp;number=0&amp;sourceID=14","0")</f>
        <v>0</v>
      </c>
    </row>
    <row r="263" spans="1:7">
      <c r="A263" s="3">
        <v>12</v>
      </c>
      <c r="B263" s="3">
        <v>4</v>
      </c>
      <c r="C263" s="3">
        <v>6</v>
      </c>
      <c r="D263" s="3">
        <v>4</v>
      </c>
      <c r="E263" s="3">
        <v>450.929</v>
      </c>
      <c r="F263" s="4" t="str">
        <f>HYPERLINK("http://141.218.60.56/~jnz1568/getInfo.php?workbook=12_04.xlsx&amp;sheet=A0&amp;row=263&amp;col=6&amp;number=0.701&amp;sourceID=14","0.701")</f>
        <v>0.701</v>
      </c>
      <c r="G263" s="4" t="str">
        <f>HYPERLINK("http://141.218.60.56/~jnz1568/getInfo.php?workbook=12_04.xlsx&amp;sheet=A0&amp;row=263&amp;col=7&amp;number=0&amp;sourceID=14","0")</f>
        <v>0</v>
      </c>
    </row>
    <row r="264" spans="1:7">
      <c r="A264" s="3">
        <v>12</v>
      </c>
      <c r="B264" s="3">
        <v>4</v>
      </c>
      <c r="C264" s="3">
        <v>7</v>
      </c>
      <c r="D264" s="3">
        <v>4</v>
      </c>
      <c r="E264" s="3">
        <v>448.295</v>
      </c>
      <c r="F264" s="4" t="str">
        <f>HYPERLINK("http://141.218.60.56/~jnz1568/getInfo.php?workbook=12_04.xlsx&amp;sheet=A0&amp;row=264&amp;col=6&amp;number=1630000000&amp;sourceID=14","1630000000")</f>
        <v>1630000000</v>
      </c>
      <c r="G264" s="4" t="str">
        <f>HYPERLINK("http://141.218.60.56/~jnz1568/getInfo.php?workbook=12_04.xlsx&amp;sheet=A0&amp;row=264&amp;col=7&amp;number=0&amp;sourceID=14","0")</f>
        <v>0</v>
      </c>
    </row>
    <row r="265" spans="1:7">
      <c r="A265" s="3">
        <v>12</v>
      </c>
      <c r="B265" s="3">
        <v>4</v>
      </c>
      <c r="C265" s="3">
        <v>8</v>
      </c>
      <c r="D265" s="3">
        <v>4</v>
      </c>
      <c r="E265" s="3">
        <v>443.974</v>
      </c>
      <c r="F265" s="4" t="str">
        <f>HYPERLINK("http://141.218.60.56/~jnz1568/getInfo.php?workbook=12_04.xlsx&amp;sheet=A0&amp;row=265&amp;col=6&amp;number=3030000000&amp;sourceID=14","3030000000")</f>
        <v>3030000000</v>
      </c>
      <c r="G265" s="4" t="str">
        <f>HYPERLINK("http://141.218.60.56/~jnz1568/getInfo.php?workbook=12_04.xlsx&amp;sheet=A0&amp;row=265&amp;col=7&amp;number=0&amp;sourceID=14","0")</f>
        <v>0</v>
      </c>
    </row>
    <row r="266" spans="1:7">
      <c r="A266" s="3">
        <v>12</v>
      </c>
      <c r="B266" s="3">
        <v>4</v>
      </c>
      <c r="C266" s="3">
        <v>9</v>
      </c>
      <c r="D266" s="3">
        <v>4</v>
      </c>
      <c r="E266" s="3">
        <v>383.129</v>
      </c>
      <c r="F266" s="4" t="str">
        <f>HYPERLINK("http://141.218.60.56/~jnz1568/getInfo.php?workbook=12_04.xlsx&amp;sheet=A0&amp;row=266&amp;col=6&amp;number=9580000&amp;sourceID=14","9580000")</f>
        <v>9580000</v>
      </c>
      <c r="G266" s="4" t="str">
        <f>HYPERLINK("http://141.218.60.56/~jnz1568/getInfo.php?workbook=12_04.xlsx&amp;sheet=A0&amp;row=266&amp;col=7&amp;number=0&amp;sourceID=14","0")</f>
        <v>0</v>
      </c>
    </row>
    <row r="267" spans="1:7">
      <c r="A267" s="3">
        <v>12</v>
      </c>
      <c r="B267" s="3">
        <v>4</v>
      </c>
      <c r="C267" s="3">
        <v>10</v>
      </c>
      <c r="D267" s="3">
        <v>4</v>
      </c>
      <c r="E267" s="3">
        <v>281.261</v>
      </c>
      <c r="F267" s="4" t="str">
        <f>HYPERLINK("http://141.218.60.56/~jnz1568/getInfo.php?workbook=12_04.xlsx&amp;sheet=A0&amp;row=267&amp;col=6&amp;number=5.27&amp;sourceID=14","5.27")</f>
        <v>5.27</v>
      </c>
      <c r="G267" s="4" t="str">
        <f>HYPERLINK("http://141.218.60.56/~jnz1568/getInfo.php?workbook=12_04.xlsx&amp;sheet=A0&amp;row=267&amp;col=7&amp;number=0&amp;sourceID=14","0")</f>
        <v>0</v>
      </c>
    </row>
    <row r="268" spans="1:7">
      <c r="A268" s="3">
        <v>12</v>
      </c>
      <c r="B268" s="3">
        <v>4</v>
      </c>
      <c r="C268" s="3">
        <v>11</v>
      </c>
      <c r="D268" s="3">
        <v>4</v>
      </c>
      <c r="E268" s="3">
        <v>72.028</v>
      </c>
      <c r="F268" s="4" t="str">
        <f>HYPERLINK("http://141.218.60.56/~jnz1568/getInfo.php?workbook=12_04.xlsx&amp;sheet=A0&amp;row=268&amp;col=6&amp;number=74800000000&amp;sourceID=14","74800000000")</f>
        <v>74800000000</v>
      </c>
      <c r="G268" s="4" t="str">
        <f>HYPERLINK("http://141.218.60.56/~jnz1568/getInfo.php?workbook=12_04.xlsx&amp;sheet=A0&amp;row=268&amp;col=7&amp;number=0&amp;sourceID=14","0")</f>
        <v>0</v>
      </c>
    </row>
    <row r="269" spans="1:7">
      <c r="A269" s="3">
        <v>12</v>
      </c>
      <c r="B269" s="3">
        <v>4</v>
      </c>
      <c r="C269" s="3">
        <v>12</v>
      </c>
      <c r="D269" s="3">
        <v>4</v>
      </c>
      <c r="E269" s="3">
        <v>70.722</v>
      </c>
      <c r="F269" s="4" t="str">
        <f>HYPERLINK("http://141.218.60.56/~jnz1568/getInfo.php?workbook=12_04.xlsx&amp;sheet=A0&amp;row=269&amp;col=6&amp;number=2370&amp;sourceID=14","2370")</f>
        <v>2370</v>
      </c>
      <c r="G269" s="4" t="str">
        <f>HYPERLINK("http://141.218.60.56/~jnz1568/getInfo.php?workbook=12_04.xlsx&amp;sheet=A0&amp;row=269&amp;col=7&amp;number=0&amp;sourceID=14","0")</f>
        <v>0</v>
      </c>
    </row>
    <row r="270" spans="1:7">
      <c r="A270" s="3">
        <v>12</v>
      </c>
      <c r="B270" s="3">
        <v>4</v>
      </c>
      <c r="C270" s="3">
        <v>13</v>
      </c>
      <c r="D270" s="3">
        <v>4</v>
      </c>
      <c r="E270" s="3">
        <v>68.989</v>
      </c>
      <c r="F270" s="4" t="str">
        <f>HYPERLINK("http://141.218.60.56/~jnz1568/getInfo.php?workbook=12_04.xlsx&amp;sheet=A0&amp;row=270&amp;col=6&amp;number=471000&amp;sourceID=14","471000")</f>
        <v>471000</v>
      </c>
      <c r="G270" s="4" t="str">
        <f>HYPERLINK("http://141.218.60.56/~jnz1568/getInfo.php?workbook=12_04.xlsx&amp;sheet=A0&amp;row=270&amp;col=7&amp;number=0&amp;sourceID=14","0")</f>
        <v>0</v>
      </c>
    </row>
    <row r="271" spans="1:7">
      <c r="A271" s="3">
        <v>12</v>
      </c>
      <c r="B271" s="3">
        <v>4</v>
      </c>
      <c r="C271" s="3">
        <v>14</v>
      </c>
      <c r="D271" s="3">
        <v>4</v>
      </c>
      <c r="E271" s="3">
        <v>68.804</v>
      </c>
      <c r="F271" s="4" t="str">
        <f>HYPERLINK("http://141.218.60.56/~jnz1568/getInfo.php?workbook=12_04.xlsx&amp;sheet=A0&amp;row=271&amp;col=6&amp;number=26200000&amp;sourceID=14","26200000")</f>
        <v>26200000</v>
      </c>
      <c r="G271" s="4" t="str">
        <f>HYPERLINK("http://141.218.60.56/~jnz1568/getInfo.php?workbook=12_04.xlsx&amp;sheet=A0&amp;row=271&amp;col=7&amp;number=0&amp;sourceID=14","0")</f>
        <v>0</v>
      </c>
    </row>
    <row r="272" spans="1:7">
      <c r="A272" s="3">
        <v>12</v>
      </c>
      <c r="B272" s="3">
        <v>4</v>
      </c>
      <c r="C272" s="3">
        <v>15</v>
      </c>
      <c r="D272" s="3">
        <v>4</v>
      </c>
      <c r="E272" s="3">
        <v>68.804</v>
      </c>
      <c r="F272" s="4" t="str">
        <f>HYPERLINK("http://141.218.60.56/~jnz1568/getInfo.php?workbook=12_04.xlsx&amp;sheet=A0&amp;row=272&amp;col=6&amp;number=19200000&amp;sourceID=14","19200000")</f>
        <v>19200000</v>
      </c>
      <c r="G272" s="4" t="str">
        <f>HYPERLINK("http://141.218.60.56/~jnz1568/getInfo.php?workbook=12_04.xlsx&amp;sheet=A0&amp;row=272&amp;col=7&amp;number=0&amp;sourceID=14","0")</f>
        <v>0</v>
      </c>
    </row>
    <row r="273" spans="1:7">
      <c r="A273" s="3">
        <v>12</v>
      </c>
      <c r="B273" s="3">
        <v>4</v>
      </c>
      <c r="C273" s="3">
        <v>16</v>
      </c>
      <c r="D273" s="3">
        <v>4</v>
      </c>
      <c r="E273" s="3">
        <v>68.804</v>
      </c>
      <c r="F273" s="4" t="str">
        <f>HYPERLINK("http://141.218.60.56/~jnz1568/getInfo.php?workbook=12_04.xlsx&amp;sheet=A0&amp;row=273&amp;col=6&amp;number=9150000&amp;sourceID=14","9150000")</f>
        <v>9150000</v>
      </c>
      <c r="G273" s="4" t="str">
        <f>HYPERLINK("http://141.218.60.56/~jnz1568/getInfo.php?workbook=12_04.xlsx&amp;sheet=A0&amp;row=273&amp;col=7&amp;number=0&amp;sourceID=14","0")</f>
        <v>0</v>
      </c>
    </row>
    <row r="274" spans="1:7">
      <c r="A274" s="3">
        <v>12</v>
      </c>
      <c r="B274" s="3">
        <v>4</v>
      </c>
      <c r="C274" s="3">
        <v>17</v>
      </c>
      <c r="D274" s="3">
        <v>4</v>
      </c>
      <c r="E274" s="3">
        <v>67.252</v>
      </c>
      <c r="F274" s="4" t="str">
        <f>HYPERLINK("http://141.218.60.56/~jnz1568/getInfo.php?workbook=12_04.xlsx&amp;sheet=A0&amp;row=274&amp;col=6&amp;number=17100000000&amp;sourceID=14","17100000000")</f>
        <v>17100000000</v>
      </c>
      <c r="G274" s="4" t="str">
        <f>HYPERLINK("http://141.218.60.56/~jnz1568/getInfo.php?workbook=12_04.xlsx&amp;sheet=A0&amp;row=274&amp;col=7&amp;number=0&amp;sourceID=14","0")</f>
        <v>0</v>
      </c>
    </row>
    <row r="275" spans="1:7">
      <c r="A275" s="3">
        <v>12</v>
      </c>
      <c r="B275" s="3">
        <v>4</v>
      </c>
      <c r="C275" s="3">
        <v>18</v>
      </c>
      <c r="D275" s="3">
        <v>4</v>
      </c>
      <c r="E275" s="3">
        <v>67.246</v>
      </c>
      <c r="F275" s="4" t="str">
        <f>HYPERLINK("http://141.218.60.56/~jnz1568/getInfo.php?workbook=12_04.xlsx&amp;sheet=A0&amp;row=275&amp;col=6&amp;number=154000000000&amp;sourceID=14","154000000000")</f>
        <v>154000000000</v>
      </c>
      <c r="G275" s="4" t="str">
        <f>HYPERLINK("http://141.218.60.56/~jnz1568/getInfo.php?workbook=12_04.xlsx&amp;sheet=A0&amp;row=275&amp;col=7&amp;number=0&amp;sourceID=14","0")</f>
        <v>0</v>
      </c>
    </row>
    <row r="276" spans="1:7">
      <c r="A276" s="3">
        <v>12</v>
      </c>
      <c r="B276" s="3">
        <v>4</v>
      </c>
      <c r="C276" s="3">
        <v>19</v>
      </c>
      <c r="D276" s="3">
        <v>4</v>
      </c>
      <c r="E276" s="3">
        <v>67.239</v>
      </c>
      <c r="F276" s="4" t="str">
        <f>HYPERLINK("http://141.218.60.56/~jnz1568/getInfo.php?workbook=12_04.xlsx&amp;sheet=A0&amp;row=276&amp;col=6&amp;number=614000000000&amp;sourceID=14","614000000000")</f>
        <v>614000000000</v>
      </c>
      <c r="G276" s="4" t="str">
        <f>HYPERLINK("http://141.218.60.56/~jnz1568/getInfo.php?workbook=12_04.xlsx&amp;sheet=A0&amp;row=276&amp;col=7&amp;number=0&amp;sourceID=14","0")</f>
        <v>0</v>
      </c>
    </row>
    <row r="277" spans="1:7">
      <c r="A277" s="3">
        <v>12</v>
      </c>
      <c r="B277" s="3">
        <v>4</v>
      </c>
      <c r="C277" s="3">
        <v>20</v>
      </c>
      <c r="D277" s="3">
        <v>4</v>
      </c>
      <c r="E277" s="3">
        <v>66.204</v>
      </c>
      <c r="F277" s="4" t="str">
        <f>HYPERLINK("http://141.218.60.56/~jnz1568/getInfo.php?workbook=12_04.xlsx&amp;sheet=A0&amp;row=277&amp;col=6&amp;number=2100000&amp;sourceID=14","2100000")</f>
        <v>2100000</v>
      </c>
      <c r="G277" s="4" t="str">
        <f>HYPERLINK("http://141.218.60.56/~jnz1568/getInfo.php?workbook=12_04.xlsx&amp;sheet=A0&amp;row=277&amp;col=7&amp;number=0&amp;sourceID=14","0")</f>
        <v>0</v>
      </c>
    </row>
    <row r="278" spans="1:7">
      <c r="A278" s="3">
        <v>12</v>
      </c>
      <c r="B278" s="3">
        <v>4</v>
      </c>
      <c r="C278" s="3">
        <v>21</v>
      </c>
      <c r="D278" s="3">
        <v>4</v>
      </c>
      <c r="E278" s="3">
        <v>63.855</v>
      </c>
      <c r="F278" s="4" t="str">
        <f>HYPERLINK("http://141.218.60.56/~jnz1568/getInfo.php?workbook=12_04.xlsx&amp;sheet=A0&amp;row=278&amp;col=6&amp;number=825000&amp;sourceID=14","825000")</f>
        <v>825000</v>
      </c>
      <c r="G278" s="4" t="str">
        <f>HYPERLINK("http://141.218.60.56/~jnz1568/getInfo.php?workbook=12_04.xlsx&amp;sheet=A0&amp;row=278&amp;col=7&amp;number=0&amp;sourceID=14","0")</f>
        <v>0</v>
      </c>
    </row>
    <row r="279" spans="1:7">
      <c r="A279" s="3">
        <v>12</v>
      </c>
      <c r="B279" s="3">
        <v>4</v>
      </c>
      <c r="C279" s="3">
        <v>22</v>
      </c>
      <c r="D279" s="3">
        <v>4</v>
      </c>
      <c r="E279" s="3">
        <v>63.81</v>
      </c>
      <c r="F279" s="4" t="str">
        <f>HYPERLINK("http://141.218.60.56/~jnz1568/getInfo.php?workbook=12_04.xlsx&amp;sheet=A0&amp;row=279&amp;col=6&amp;number=622000&amp;sourceID=14","622000")</f>
        <v>622000</v>
      </c>
      <c r="G279" s="4" t="str">
        <f>HYPERLINK("http://141.218.60.56/~jnz1568/getInfo.php?workbook=12_04.xlsx&amp;sheet=A0&amp;row=279&amp;col=7&amp;number=0&amp;sourceID=14","0")</f>
        <v>0</v>
      </c>
    </row>
    <row r="280" spans="1:7">
      <c r="A280" s="3">
        <v>12</v>
      </c>
      <c r="B280" s="3">
        <v>4</v>
      </c>
      <c r="C280" s="3">
        <v>23</v>
      </c>
      <c r="D280" s="3">
        <v>4</v>
      </c>
      <c r="E280" s="3">
        <v>63.702</v>
      </c>
      <c r="F280" s="4" t="str">
        <f>HYPERLINK("http://141.218.60.56/~jnz1568/getInfo.php?workbook=12_04.xlsx&amp;sheet=A0&amp;row=280&amp;col=6&amp;number=298000&amp;sourceID=14","298000")</f>
        <v>298000</v>
      </c>
      <c r="G280" s="4" t="str">
        <f>HYPERLINK("http://141.218.60.56/~jnz1568/getInfo.php?workbook=12_04.xlsx&amp;sheet=A0&amp;row=280&amp;col=7&amp;number=0&amp;sourceID=14","0")</f>
        <v>0</v>
      </c>
    </row>
    <row r="281" spans="1:7">
      <c r="A281" s="3">
        <v>12</v>
      </c>
      <c r="B281" s="3">
        <v>4</v>
      </c>
      <c r="C281" s="3">
        <v>24</v>
      </c>
      <c r="D281" s="3">
        <v>4</v>
      </c>
      <c r="E281" s="3">
        <v>62.541</v>
      </c>
      <c r="F281" s="4" t="str">
        <f>HYPERLINK("http://141.218.60.56/~jnz1568/getInfo.php?workbook=12_04.xlsx&amp;sheet=A0&amp;row=281&amp;col=6&amp;number=2990&amp;sourceID=14","2990")</f>
        <v>2990</v>
      </c>
      <c r="G281" s="4" t="str">
        <f>HYPERLINK("http://141.218.60.56/~jnz1568/getInfo.php?workbook=12_04.xlsx&amp;sheet=A0&amp;row=281&amp;col=7&amp;number=0&amp;sourceID=14","0")</f>
        <v>0</v>
      </c>
    </row>
    <row r="282" spans="1:7">
      <c r="A282" s="3">
        <v>12</v>
      </c>
      <c r="B282" s="3">
        <v>4</v>
      </c>
      <c r="C282" s="3">
        <v>25</v>
      </c>
      <c r="D282" s="3">
        <v>4</v>
      </c>
      <c r="E282" s="3">
        <v>62.343</v>
      </c>
      <c r="F282" s="4" t="str">
        <f>HYPERLINK("http://141.218.60.56/~jnz1568/getInfo.php?workbook=12_04.xlsx&amp;sheet=A0&amp;row=282&amp;col=6&amp;number=4300000&amp;sourceID=14","4300000")</f>
        <v>4300000</v>
      </c>
      <c r="G282" s="4" t="str">
        <f>HYPERLINK("http://141.218.60.56/~jnz1568/getInfo.php?workbook=12_04.xlsx&amp;sheet=A0&amp;row=282&amp;col=7&amp;number=0&amp;sourceID=14","0")</f>
        <v>0</v>
      </c>
    </row>
    <row r="283" spans="1:7">
      <c r="A283" s="3">
        <v>12</v>
      </c>
      <c r="B283" s="3">
        <v>4</v>
      </c>
      <c r="C283" s="3">
        <v>26</v>
      </c>
      <c r="D283" s="3">
        <v>4</v>
      </c>
      <c r="E283" s="3">
        <v>62.059</v>
      </c>
      <c r="F283" s="4" t="str">
        <f>HYPERLINK("http://141.218.60.56/~jnz1568/getInfo.php?workbook=12_04.xlsx&amp;sheet=A0&amp;row=283&amp;col=6&amp;number=2010000000&amp;sourceID=14","2010000000")</f>
        <v>2010000000</v>
      </c>
      <c r="G283" s="4" t="str">
        <f>HYPERLINK("http://141.218.60.56/~jnz1568/getInfo.php?workbook=12_04.xlsx&amp;sheet=A0&amp;row=283&amp;col=7&amp;number=0&amp;sourceID=14","0")</f>
        <v>0</v>
      </c>
    </row>
    <row r="284" spans="1:7">
      <c r="A284" s="3">
        <v>12</v>
      </c>
      <c r="B284" s="3">
        <v>4</v>
      </c>
      <c r="C284" s="3">
        <v>27</v>
      </c>
      <c r="D284" s="3">
        <v>4</v>
      </c>
      <c r="E284" s="3">
        <v>62.02</v>
      </c>
      <c r="F284" s="4" t="str">
        <f>HYPERLINK("http://141.218.60.56/~jnz1568/getInfo.php?workbook=12_04.xlsx&amp;sheet=A0&amp;row=284&amp;col=6&amp;number=17700000000&amp;sourceID=14","17700000000")</f>
        <v>17700000000</v>
      </c>
      <c r="G284" s="4" t="str">
        <f>HYPERLINK("http://141.218.60.56/~jnz1568/getInfo.php?workbook=12_04.xlsx&amp;sheet=A0&amp;row=284&amp;col=7&amp;number=0&amp;sourceID=14","0")</f>
        <v>0</v>
      </c>
    </row>
    <row r="285" spans="1:7">
      <c r="A285" s="3">
        <v>12</v>
      </c>
      <c r="B285" s="3">
        <v>4</v>
      </c>
      <c r="C285" s="3">
        <v>28</v>
      </c>
      <c r="D285" s="3">
        <v>4</v>
      </c>
      <c r="E285" s="3">
        <v>61.924</v>
      </c>
      <c r="F285" s="4" t="str">
        <f>HYPERLINK("http://141.218.60.56/~jnz1568/getInfo.php?workbook=12_04.xlsx&amp;sheet=A0&amp;row=285&amp;col=6&amp;number=85400000000&amp;sourceID=14","85400000000")</f>
        <v>85400000000</v>
      </c>
      <c r="G285" s="4" t="str">
        <f>HYPERLINK("http://141.218.60.56/~jnz1568/getInfo.php?workbook=12_04.xlsx&amp;sheet=A0&amp;row=285&amp;col=7&amp;number=0&amp;sourceID=14","0")</f>
        <v>0</v>
      </c>
    </row>
    <row r="286" spans="1:7">
      <c r="A286" s="3">
        <v>12</v>
      </c>
      <c r="B286" s="3">
        <v>4</v>
      </c>
      <c r="C286" s="3">
        <v>29</v>
      </c>
      <c r="D286" s="3">
        <v>4</v>
      </c>
      <c r="E286" s="3">
        <v>61.49</v>
      </c>
      <c r="F286" s="4" t="str">
        <f>HYPERLINK("http://141.218.60.56/~jnz1568/getInfo.php?workbook=12_04.xlsx&amp;sheet=A0&amp;row=286&amp;col=6&amp;number=62700000000&amp;sourceID=14","62700000000")</f>
        <v>62700000000</v>
      </c>
      <c r="G286" s="4" t="str">
        <f>HYPERLINK("http://141.218.60.56/~jnz1568/getInfo.php?workbook=12_04.xlsx&amp;sheet=A0&amp;row=286&amp;col=7&amp;number=0&amp;sourceID=14","0")</f>
        <v>0</v>
      </c>
    </row>
    <row r="287" spans="1:7">
      <c r="A287" s="3">
        <v>12</v>
      </c>
      <c r="B287" s="3">
        <v>4</v>
      </c>
      <c r="C287" s="3">
        <v>30</v>
      </c>
      <c r="D287" s="3">
        <v>4</v>
      </c>
      <c r="E287" s="3">
        <v>-61.251</v>
      </c>
      <c r="F287" s="4" t="str">
        <f>HYPERLINK("http://141.218.60.56/~jnz1568/getInfo.php?workbook=12_04.xlsx&amp;sheet=A0&amp;row=287&amp;col=6&amp;number=1430&amp;sourceID=14","1430")</f>
        <v>1430</v>
      </c>
      <c r="G287" s="4" t="str">
        <f>HYPERLINK("http://141.218.60.56/~jnz1568/getInfo.php?workbook=12_04.xlsx&amp;sheet=A0&amp;row=287&amp;col=7&amp;number=0&amp;sourceID=14","0")</f>
        <v>0</v>
      </c>
    </row>
    <row r="288" spans="1:7">
      <c r="A288" s="3">
        <v>12</v>
      </c>
      <c r="B288" s="3">
        <v>4</v>
      </c>
      <c r="C288" s="3">
        <v>31</v>
      </c>
      <c r="D288" s="3">
        <v>4</v>
      </c>
      <c r="E288" s="3">
        <v>61.177</v>
      </c>
      <c r="F288" s="4" t="str">
        <f>HYPERLINK("http://141.218.60.56/~jnz1568/getInfo.php?workbook=12_04.xlsx&amp;sheet=A0&amp;row=288&amp;col=6&amp;number=81200000000&amp;sourceID=14","81200000000")</f>
        <v>81200000000</v>
      </c>
      <c r="G288" s="4" t="str">
        <f>HYPERLINK("http://141.218.60.56/~jnz1568/getInfo.php?workbook=12_04.xlsx&amp;sheet=A0&amp;row=288&amp;col=7&amp;number=0&amp;sourceID=14","0")</f>
        <v>0</v>
      </c>
    </row>
    <row r="289" spans="1:7">
      <c r="A289" s="3">
        <v>12</v>
      </c>
      <c r="B289" s="3">
        <v>4</v>
      </c>
      <c r="C289" s="3">
        <v>32</v>
      </c>
      <c r="D289" s="3">
        <v>4</v>
      </c>
      <c r="E289" s="3">
        <v>61.129</v>
      </c>
      <c r="F289" s="4" t="str">
        <f>HYPERLINK("http://141.218.60.56/~jnz1568/getInfo.php?workbook=12_04.xlsx&amp;sheet=A0&amp;row=289&amp;col=6&amp;number=114000000000&amp;sourceID=14","114000000000")</f>
        <v>114000000000</v>
      </c>
      <c r="G289" s="4" t="str">
        <f>HYPERLINK("http://141.218.60.56/~jnz1568/getInfo.php?workbook=12_04.xlsx&amp;sheet=A0&amp;row=289&amp;col=7&amp;number=0&amp;sourceID=14","0")</f>
        <v>0</v>
      </c>
    </row>
    <row r="290" spans="1:7">
      <c r="A290" s="3">
        <v>12</v>
      </c>
      <c r="B290" s="3">
        <v>4</v>
      </c>
      <c r="C290" s="3">
        <v>33</v>
      </c>
      <c r="D290" s="3">
        <v>4</v>
      </c>
      <c r="E290" s="3">
        <v>-60.944</v>
      </c>
      <c r="F290" s="4" t="str">
        <f>HYPERLINK("http://141.218.60.56/~jnz1568/getInfo.php?workbook=12_04.xlsx&amp;sheet=A0&amp;row=290&amp;col=6&amp;number=2530000&amp;sourceID=14","2530000")</f>
        <v>2530000</v>
      </c>
      <c r="G290" s="4" t="str">
        <f>HYPERLINK("http://141.218.60.56/~jnz1568/getInfo.php?workbook=12_04.xlsx&amp;sheet=A0&amp;row=290&amp;col=7&amp;number=0&amp;sourceID=14","0")</f>
        <v>0</v>
      </c>
    </row>
    <row r="291" spans="1:7">
      <c r="A291" s="3">
        <v>12</v>
      </c>
      <c r="B291" s="3">
        <v>4</v>
      </c>
      <c r="C291" s="3">
        <v>34</v>
      </c>
      <c r="D291" s="3">
        <v>4</v>
      </c>
      <c r="E291" s="3">
        <v>-60.868</v>
      </c>
      <c r="F291" s="4" t="str">
        <f>HYPERLINK("http://141.218.60.56/~jnz1568/getInfo.php?workbook=12_04.xlsx&amp;sheet=A0&amp;row=291&amp;col=6&amp;number=18400000&amp;sourceID=14","18400000")</f>
        <v>18400000</v>
      </c>
      <c r="G291" s="4" t="str">
        <f>HYPERLINK("http://141.218.60.56/~jnz1568/getInfo.php?workbook=12_04.xlsx&amp;sheet=A0&amp;row=291&amp;col=7&amp;number=0&amp;sourceID=14","0")</f>
        <v>0</v>
      </c>
    </row>
    <row r="292" spans="1:7">
      <c r="A292" s="3">
        <v>12</v>
      </c>
      <c r="B292" s="3">
        <v>4</v>
      </c>
      <c r="C292" s="3">
        <v>35</v>
      </c>
      <c r="D292" s="3">
        <v>4</v>
      </c>
      <c r="E292" s="3">
        <v>60.77</v>
      </c>
      <c r="F292" s="4" t="str">
        <f>HYPERLINK("http://141.218.60.56/~jnz1568/getInfo.php?workbook=12_04.xlsx&amp;sheet=A0&amp;row=292&amp;col=6&amp;number=772000&amp;sourceID=14","772000")</f>
        <v>772000</v>
      </c>
      <c r="G292" s="4" t="str">
        <f>HYPERLINK("http://141.218.60.56/~jnz1568/getInfo.php?workbook=12_04.xlsx&amp;sheet=A0&amp;row=292&amp;col=7&amp;number=0&amp;sourceID=14","0")</f>
        <v>0</v>
      </c>
    </row>
    <row r="293" spans="1:7">
      <c r="A293" s="3">
        <v>12</v>
      </c>
      <c r="B293" s="3">
        <v>4</v>
      </c>
      <c r="C293" s="3">
        <v>36</v>
      </c>
      <c r="D293" s="3">
        <v>4</v>
      </c>
      <c r="E293" s="3">
        <v>-60.793</v>
      </c>
      <c r="F293" s="4" t="str">
        <f>HYPERLINK("http://141.218.60.56/~jnz1568/getInfo.php?workbook=12_04.xlsx&amp;sheet=A0&amp;row=293&amp;col=6&amp;number=65500000&amp;sourceID=14","65500000")</f>
        <v>65500000</v>
      </c>
      <c r="G293" s="4" t="str">
        <f>HYPERLINK("http://141.218.60.56/~jnz1568/getInfo.php?workbook=12_04.xlsx&amp;sheet=A0&amp;row=293&amp;col=7&amp;number=0&amp;sourceID=14","0")</f>
        <v>0</v>
      </c>
    </row>
    <row r="294" spans="1:7">
      <c r="A294" s="3">
        <v>12</v>
      </c>
      <c r="B294" s="3">
        <v>4</v>
      </c>
      <c r="C294" s="3">
        <v>37</v>
      </c>
      <c r="D294" s="3">
        <v>4</v>
      </c>
      <c r="E294" s="3">
        <v>60.541</v>
      </c>
      <c r="F294" s="4" t="str">
        <f>HYPERLINK("http://141.218.60.56/~jnz1568/getInfo.php?workbook=12_04.xlsx&amp;sheet=A0&amp;row=294&amp;col=6&amp;number=235000000&amp;sourceID=14","235000000")</f>
        <v>235000000</v>
      </c>
      <c r="G294" s="4" t="str">
        <f>HYPERLINK("http://141.218.60.56/~jnz1568/getInfo.php?workbook=12_04.xlsx&amp;sheet=A0&amp;row=294&amp;col=7&amp;number=0&amp;sourceID=14","0")</f>
        <v>0</v>
      </c>
    </row>
    <row r="295" spans="1:7">
      <c r="A295" s="3">
        <v>12</v>
      </c>
      <c r="B295" s="3">
        <v>4</v>
      </c>
      <c r="C295" s="3">
        <v>38</v>
      </c>
      <c r="D295" s="3">
        <v>4</v>
      </c>
      <c r="E295" s="3">
        <v>60.124</v>
      </c>
      <c r="F295" s="4" t="str">
        <f>HYPERLINK("http://141.218.60.56/~jnz1568/getInfo.php?workbook=12_04.xlsx&amp;sheet=A0&amp;row=295&amp;col=6&amp;number=9290000&amp;sourceID=14","9290000")</f>
        <v>9290000</v>
      </c>
      <c r="G295" s="4" t="str">
        <f>HYPERLINK("http://141.218.60.56/~jnz1568/getInfo.php?workbook=12_04.xlsx&amp;sheet=A0&amp;row=295&amp;col=7&amp;number=0&amp;sourceID=14","0")</f>
        <v>0</v>
      </c>
    </row>
    <row r="296" spans="1:7">
      <c r="A296" s="3">
        <v>12</v>
      </c>
      <c r="B296" s="3">
        <v>4</v>
      </c>
      <c r="C296" s="3">
        <v>39</v>
      </c>
      <c r="D296" s="3">
        <v>4</v>
      </c>
      <c r="E296" s="3">
        <v>60.105</v>
      </c>
      <c r="F296" s="4" t="str">
        <f>HYPERLINK("http://141.218.60.56/~jnz1568/getInfo.php?workbook=12_04.xlsx&amp;sheet=A0&amp;row=296&amp;col=6&amp;number=26000000&amp;sourceID=14","26000000")</f>
        <v>26000000</v>
      </c>
      <c r="G296" s="4" t="str">
        <f>HYPERLINK("http://141.218.60.56/~jnz1568/getInfo.php?workbook=12_04.xlsx&amp;sheet=A0&amp;row=296&amp;col=7&amp;number=0&amp;sourceID=14","0")</f>
        <v>0</v>
      </c>
    </row>
    <row r="297" spans="1:7">
      <c r="A297" s="3">
        <v>12</v>
      </c>
      <c r="B297" s="3">
        <v>4</v>
      </c>
      <c r="C297" s="3">
        <v>40</v>
      </c>
      <c r="D297" s="3">
        <v>4</v>
      </c>
      <c r="E297" s="3">
        <v>60.069</v>
      </c>
      <c r="F297" s="4" t="str">
        <f>HYPERLINK("http://141.218.60.56/~jnz1568/getInfo.php?workbook=12_04.xlsx&amp;sheet=A0&amp;row=297&amp;col=6&amp;number=43100000&amp;sourceID=14","43100000")</f>
        <v>43100000</v>
      </c>
      <c r="G297" s="4" t="str">
        <f>HYPERLINK("http://141.218.60.56/~jnz1568/getInfo.php?workbook=12_04.xlsx&amp;sheet=A0&amp;row=297&amp;col=7&amp;number=0&amp;sourceID=14","0")</f>
        <v>0</v>
      </c>
    </row>
    <row r="298" spans="1:7">
      <c r="A298" s="3">
        <v>12</v>
      </c>
      <c r="B298" s="3">
        <v>4</v>
      </c>
      <c r="C298" s="3">
        <v>41</v>
      </c>
      <c r="D298" s="3">
        <v>4</v>
      </c>
      <c r="E298" s="3">
        <v>59.84</v>
      </c>
      <c r="F298" s="4" t="str">
        <f>HYPERLINK("http://141.218.60.56/~jnz1568/getInfo.php?workbook=12_04.xlsx&amp;sheet=A0&amp;row=298&amp;col=6&amp;number=28900000&amp;sourceID=14","28900000")</f>
        <v>28900000</v>
      </c>
      <c r="G298" s="4" t="str">
        <f>HYPERLINK("http://141.218.60.56/~jnz1568/getInfo.php?workbook=12_04.xlsx&amp;sheet=A0&amp;row=298&amp;col=7&amp;number=0&amp;sourceID=14","0")</f>
        <v>0</v>
      </c>
    </row>
    <row r="299" spans="1:7">
      <c r="A299" s="3">
        <v>12</v>
      </c>
      <c r="B299" s="3">
        <v>4</v>
      </c>
      <c r="C299" s="3">
        <v>42</v>
      </c>
      <c r="D299" s="3">
        <v>4</v>
      </c>
      <c r="E299" s="3">
        <v>59.804</v>
      </c>
      <c r="F299" s="4" t="str">
        <f>HYPERLINK("http://141.218.60.56/~jnz1568/getInfo.php?workbook=12_04.xlsx&amp;sheet=A0&amp;row=299&amp;col=6&amp;number=46600000&amp;sourceID=14","46600000")</f>
        <v>46600000</v>
      </c>
      <c r="G299" s="4" t="str">
        <f>HYPERLINK("http://141.218.60.56/~jnz1568/getInfo.php?workbook=12_04.xlsx&amp;sheet=A0&amp;row=299&amp;col=7&amp;number=0&amp;sourceID=14","0")</f>
        <v>0</v>
      </c>
    </row>
    <row r="300" spans="1:7">
      <c r="A300" s="3">
        <v>12</v>
      </c>
      <c r="B300" s="3">
        <v>4</v>
      </c>
      <c r="C300" s="3">
        <v>43</v>
      </c>
      <c r="D300" s="3">
        <v>4</v>
      </c>
      <c r="E300" s="3">
        <v>59.786</v>
      </c>
      <c r="F300" s="4" t="str">
        <f>HYPERLINK("http://141.218.60.56/~jnz1568/getInfo.php?workbook=12_04.xlsx&amp;sheet=A0&amp;row=300&amp;col=6&amp;number=54700000&amp;sourceID=14","54700000")</f>
        <v>54700000</v>
      </c>
      <c r="G300" s="4" t="str">
        <f>HYPERLINK("http://141.218.60.56/~jnz1568/getInfo.php?workbook=12_04.xlsx&amp;sheet=A0&amp;row=300&amp;col=7&amp;number=0&amp;sourceID=14","0")</f>
        <v>0</v>
      </c>
    </row>
    <row r="301" spans="1:7">
      <c r="A301" s="3">
        <v>12</v>
      </c>
      <c r="B301" s="3">
        <v>4</v>
      </c>
      <c r="C301" s="3">
        <v>44</v>
      </c>
      <c r="D301" s="3">
        <v>4</v>
      </c>
      <c r="E301" s="3">
        <v>-59.29</v>
      </c>
      <c r="F301" s="4" t="str">
        <f>HYPERLINK("http://141.218.60.56/~jnz1568/getInfo.php?workbook=12_04.xlsx&amp;sheet=A0&amp;row=301&amp;col=6&amp;number=2670&amp;sourceID=14","2670")</f>
        <v>2670</v>
      </c>
      <c r="G301" s="4" t="str">
        <f>HYPERLINK("http://141.218.60.56/~jnz1568/getInfo.php?workbook=12_04.xlsx&amp;sheet=A0&amp;row=301&amp;col=7&amp;number=0&amp;sourceID=14","0")</f>
        <v>0</v>
      </c>
    </row>
    <row r="302" spans="1:7">
      <c r="A302" s="3">
        <v>12</v>
      </c>
      <c r="B302" s="3">
        <v>4</v>
      </c>
      <c r="C302" s="3">
        <v>45</v>
      </c>
      <c r="D302" s="3">
        <v>4</v>
      </c>
      <c r="E302" s="3">
        <v>59.151</v>
      </c>
      <c r="F302" s="4" t="str">
        <f>HYPERLINK("http://141.218.60.56/~jnz1568/getInfo.php?workbook=12_04.xlsx&amp;sheet=A0&amp;row=302&amp;col=6&amp;number=9830&amp;sourceID=14","9830")</f>
        <v>9830</v>
      </c>
      <c r="G302" s="4" t="str">
        <f>HYPERLINK("http://141.218.60.56/~jnz1568/getInfo.php?workbook=12_04.xlsx&amp;sheet=A0&amp;row=302&amp;col=7&amp;number=0&amp;sourceID=14","0")</f>
        <v>0</v>
      </c>
    </row>
    <row r="303" spans="1:7">
      <c r="A303" s="3">
        <v>12</v>
      </c>
      <c r="B303" s="3">
        <v>4</v>
      </c>
      <c r="C303" s="3">
        <v>46</v>
      </c>
      <c r="D303" s="3">
        <v>4</v>
      </c>
      <c r="E303" s="3">
        <v>58.911</v>
      </c>
      <c r="F303" s="4" t="str">
        <f>HYPERLINK("http://141.218.60.56/~jnz1568/getInfo.php?workbook=12_04.xlsx&amp;sheet=A0&amp;row=303&amp;col=6&amp;number=3340&amp;sourceID=14","3340")</f>
        <v>3340</v>
      </c>
      <c r="G303" s="4" t="str">
        <f>HYPERLINK("http://141.218.60.56/~jnz1568/getInfo.php?workbook=12_04.xlsx&amp;sheet=A0&amp;row=303&amp;col=7&amp;number=0&amp;sourceID=14","0")</f>
        <v>0</v>
      </c>
    </row>
    <row r="304" spans="1:7">
      <c r="A304" s="3">
        <v>12</v>
      </c>
      <c r="B304" s="3">
        <v>4</v>
      </c>
      <c r="C304" s="3">
        <v>47</v>
      </c>
      <c r="D304" s="3">
        <v>4</v>
      </c>
      <c r="E304" s="3">
        <v>-52.77</v>
      </c>
      <c r="F304" s="4" t="str">
        <f>HYPERLINK("http://141.218.60.56/~jnz1568/getInfo.php?workbook=12_04.xlsx&amp;sheet=A0&amp;row=304&amp;col=6&amp;number=25100000000&amp;sourceID=14","25100000000")</f>
        <v>25100000000</v>
      </c>
      <c r="G304" s="4" t="str">
        <f>HYPERLINK("http://141.218.60.56/~jnz1568/getInfo.php?workbook=12_04.xlsx&amp;sheet=A0&amp;row=304&amp;col=7&amp;number=0&amp;sourceID=14","0")</f>
        <v>0</v>
      </c>
    </row>
    <row r="305" spans="1:7">
      <c r="A305" s="3">
        <v>12</v>
      </c>
      <c r="B305" s="3">
        <v>4</v>
      </c>
      <c r="C305" s="3">
        <v>48</v>
      </c>
      <c r="D305" s="3">
        <v>4</v>
      </c>
      <c r="E305" s="3">
        <v>-52.491</v>
      </c>
      <c r="F305" s="4" t="str">
        <f>HYPERLINK("http://141.218.60.56/~jnz1568/getInfo.php?workbook=12_04.xlsx&amp;sheet=A0&amp;row=305&amp;col=6&amp;number=1410&amp;sourceID=14","1410")</f>
        <v>1410</v>
      </c>
      <c r="G305" s="4" t="str">
        <f>HYPERLINK("http://141.218.60.56/~jnz1568/getInfo.php?workbook=12_04.xlsx&amp;sheet=A0&amp;row=305&amp;col=7&amp;number=0&amp;sourceID=14","0")</f>
        <v>0</v>
      </c>
    </row>
    <row r="306" spans="1:7">
      <c r="A306" s="3">
        <v>12</v>
      </c>
      <c r="B306" s="3">
        <v>4</v>
      </c>
      <c r="C306" s="3">
        <v>49</v>
      </c>
      <c r="D306" s="3">
        <v>4</v>
      </c>
      <c r="E306" s="3">
        <v>-52.094</v>
      </c>
      <c r="F306" s="4" t="str">
        <f>HYPERLINK("http://141.218.60.56/~jnz1568/getInfo.php?workbook=12_04.xlsx&amp;sheet=A0&amp;row=306&amp;col=6&amp;number=13100000&amp;sourceID=14","13100000")</f>
        <v>13100000</v>
      </c>
      <c r="G306" s="4" t="str">
        <f>HYPERLINK("http://141.218.60.56/~jnz1568/getInfo.php?workbook=12_04.xlsx&amp;sheet=A0&amp;row=306&amp;col=7&amp;number=0&amp;sourceID=14","0")</f>
        <v>0</v>
      </c>
    </row>
    <row r="307" spans="1:7">
      <c r="A307" s="3">
        <v>12</v>
      </c>
      <c r="B307" s="3">
        <v>4</v>
      </c>
      <c r="C307" s="3">
        <v>50</v>
      </c>
      <c r="D307" s="3">
        <v>4</v>
      </c>
      <c r="E307" s="3">
        <v>-52.09</v>
      </c>
      <c r="F307" s="4" t="str">
        <f>HYPERLINK("http://141.218.60.56/~jnz1568/getInfo.php?workbook=12_04.xlsx&amp;sheet=A0&amp;row=307&amp;col=6&amp;number=9770000&amp;sourceID=14","9770000")</f>
        <v>9770000</v>
      </c>
      <c r="G307" s="4" t="str">
        <f>HYPERLINK("http://141.218.60.56/~jnz1568/getInfo.php?workbook=12_04.xlsx&amp;sheet=A0&amp;row=307&amp;col=7&amp;number=0&amp;sourceID=14","0")</f>
        <v>0</v>
      </c>
    </row>
    <row r="308" spans="1:7">
      <c r="A308" s="3">
        <v>12</v>
      </c>
      <c r="B308" s="3">
        <v>4</v>
      </c>
      <c r="C308" s="3">
        <v>51</v>
      </c>
      <c r="D308" s="3">
        <v>4</v>
      </c>
      <c r="E308" s="3">
        <v>-52.083</v>
      </c>
      <c r="F308" s="4" t="str">
        <f>HYPERLINK("http://141.218.60.56/~jnz1568/getInfo.php?workbook=12_04.xlsx&amp;sheet=A0&amp;row=308&amp;col=6&amp;number=4580000&amp;sourceID=14","4580000")</f>
        <v>4580000</v>
      </c>
      <c r="G308" s="4" t="str">
        <f>HYPERLINK("http://141.218.60.56/~jnz1568/getInfo.php?workbook=12_04.xlsx&amp;sheet=A0&amp;row=308&amp;col=7&amp;number=0&amp;sourceID=14","0")</f>
        <v>0</v>
      </c>
    </row>
    <row r="309" spans="1:7">
      <c r="A309" s="3">
        <v>12</v>
      </c>
      <c r="B309" s="3">
        <v>4</v>
      </c>
      <c r="C309" s="3">
        <v>52</v>
      </c>
      <c r="D309" s="3">
        <v>4</v>
      </c>
      <c r="E309" s="3">
        <v>51.959</v>
      </c>
      <c r="F309" s="4" t="str">
        <f>HYPERLINK("http://141.218.60.56/~jnz1568/getInfo.php?workbook=12_04.xlsx&amp;sheet=A0&amp;row=309&amp;col=6&amp;number=35300&amp;sourceID=14","35300")</f>
        <v>35300</v>
      </c>
      <c r="G309" s="4" t="str">
        <f>HYPERLINK("http://141.218.60.56/~jnz1568/getInfo.php?workbook=12_04.xlsx&amp;sheet=A0&amp;row=309&amp;col=7&amp;number=0&amp;sourceID=14","0")</f>
        <v>0</v>
      </c>
    </row>
    <row r="310" spans="1:7">
      <c r="A310" s="3">
        <v>12</v>
      </c>
      <c r="B310" s="3">
        <v>4</v>
      </c>
      <c r="C310" s="3">
        <v>53</v>
      </c>
      <c r="D310" s="3">
        <v>4</v>
      </c>
      <c r="E310" s="3">
        <v>51.656</v>
      </c>
      <c r="F310" s="4" t="str">
        <f>HYPERLINK("http://141.218.60.56/~jnz1568/getInfo.php?workbook=12_04.xlsx&amp;sheet=A0&amp;row=310&amp;col=6&amp;number=5360000000&amp;sourceID=14","5360000000")</f>
        <v>5360000000</v>
      </c>
      <c r="G310" s="4" t="str">
        <f>HYPERLINK("http://141.218.60.56/~jnz1568/getInfo.php?workbook=12_04.xlsx&amp;sheet=A0&amp;row=310&amp;col=7&amp;number=0&amp;sourceID=14","0")</f>
        <v>0</v>
      </c>
    </row>
    <row r="311" spans="1:7">
      <c r="A311" s="3">
        <v>12</v>
      </c>
      <c r="B311" s="3">
        <v>4</v>
      </c>
      <c r="C311" s="3">
        <v>54</v>
      </c>
      <c r="D311" s="3">
        <v>4</v>
      </c>
      <c r="E311" s="3">
        <v>51.656</v>
      </c>
      <c r="F311" s="4" t="str">
        <f>HYPERLINK("http://141.218.60.56/~jnz1568/getInfo.php?workbook=12_04.xlsx&amp;sheet=A0&amp;row=311&amp;col=6&amp;number=48300000000&amp;sourceID=14","48300000000")</f>
        <v>48300000000</v>
      </c>
      <c r="G311" s="4" t="str">
        <f>HYPERLINK("http://141.218.60.56/~jnz1568/getInfo.php?workbook=12_04.xlsx&amp;sheet=A0&amp;row=311&amp;col=7&amp;number=0&amp;sourceID=14","0")</f>
        <v>0</v>
      </c>
    </row>
    <row r="312" spans="1:7">
      <c r="A312" s="3">
        <v>12</v>
      </c>
      <c r="B312" s="3">
        <v>4</v>
      </c>
      <c r="C312" s="3">
        <v>55</v>
      </c>
      <c r="D312" s="3">
        <v>4</v>
      </c>
      <c r="E312" s="3">
        <v>51.654</v>
      </c>
      <c r="F312" s="4" t="str">
        <f>HYPERLINK("http://141.218.60.56/~jnz1568/getInfo.php?workbook=12_04.xlsx&amp;sheet=A0&amp;row=312&amp;col=6&amp;number=193000000000&amp;sourceID=14","193000000000")</f>
        <v>193000000000</v>
      </c>
      <c r="G312" s="4" t="str">
        <f>HYPERLINK("http://141.218.60.56/~jnz1568/getInfo.php?workbook=12_04.xlsx&amp;sheet=A0&amp;row=312&amp;col=7&amp;number=0&amp;sourceID=14","0")</f>
        <v>0</v>
      </c>
    </row>
    <row r="313" spans="1:7">
      <c r="A313" s="3">
        <v>12</v>
      </c>
      <c r="B313" s="3">
        <v>4</v>
      </c>
      <c r="C313" s="3">
        <v>56</v>
      </c>
      <c r="D313" s="3">
        <v>4</v>
      </c>
      <c r="E313" s="3">
        <v>51.446</v>
      </c>
      <c r="F313" s="4" t="str">
        <f>HYPERLINK("http://141.218.60.56/~jnz1568/getInfo.php?workbook=12_04.xlsx&amp;sheet=A0&amp;row=313&amp;col=6&amp;number=2090000&amp;sourceID=14","2090000")</f>
        <v>2090000</v>
      </c>
      <c r="G313" s="4" t="str">
        <f>HYPERLINK("http://141.218.60.56/~jnz1568/getInfo.php?workbook=12_04.xlsx&amp;sheet=A0&amp;row=313&amp;col=7&amp;number=0&amp;sourceID=14","0")</f>
        <v>0</v>
      </c>
    </row>
    <row r="314" spans="1:7">
      <c r="A314" s="3">
        <v>12</v>
      </c>
      <c r="B314" s="3">
        <v>4</v>
      </c>
      <c r="C314" s="3">
        <v>57</v>
      </c>
      <c r="D314" s="3">
        <v>4</v>
      </c>
      <c r="E314" s="3">
        <v>-51.476</v>
      </c>
      <c r="F314" s="4" t="str">
        <f>HYPERLINK("http://141.218.60.56/~jnz1568/getInfo.php?workbook=12_04.xlsx&amp;sheet=A0&amp;row=314&amp;col=6&amp;number=1850000&amp;sourceID=14","1850000")</f>
        <v>1850000</v>
      </c>
      <c r="G314" s="4" t="str">
        <f>HYPERLINK("http://141.218.60.56/~jnz1568/getInfo.php?workbook=12_04.xlsx&amp;sheet=A0&amp;row=314&amp;col=7&amp;number=0&amp;sourceID=14","0")</f>
        <v>0</v>
      </c>
    </row>
    <row r="315" spans="1:7">
      <c r="A315" s="3">
        <v>12</v>
      </c>
      <c r="B315" s="3">
        <v>4</v>
      </c>
      <c r="C315" s="3">
        <v>58</v>
      </c>
      <c r="D315" s="3">
        <v>4</v>
      </c>
      <c r="E315" s="3">
        <v>-51.475</v>
      </c>
      <c r="F315" s="4" t="str">
        <f>HYPERLINK("http://141.218.60.56/~jnz1568/getInfo.php?workbook=12_04.xlsx&amp;sheet=A0&amp;row=315&amp;col=6&amp;number=9250000&amp;sourceID=14","9250000")</f>
        <v>9250000</v>
      </c>
      <c r="G315" s="4" t="str">
        <f>HYPERLINK("http://141.218.60.56/~jnz1568/getInfo.php?workbook=12_04.xlsx&amp;sheet=A0&amp;row=315&amp;col=7&amp;number=0&amp;sourceID=14","0")</f>
        <v>0</v>
      </c>
    </row>
    <row r="316" spans="1:7">
      <c r="A316" s="3">
        <v>12</v>
      </c>
      <c r="B316" s="3">
        <v>4</v>
      </c>
      <c r="C316" s="3">
        <v>59</v>
      </c>
      <c r="D316" s="3">
        <v>4</v>
      </c>
      <c r="E316" s="3">
        <v>-51.474</v>
      </c>
      <c r="F316" s="4" t="str">
        <f>HYPERLINK("http://141.218.60.56/~jnz1568/getInfo.php?workbook=12_04.xlsx&amp;sheet=A0&amp;row=316&amp;col=6&amp;number=27700000&amp;sourceID=14","27700000")</f>
        <v>27700000</v>
      </c>
      <c r="G316" s="4" t="str">
        <f>HYPERLINK("http://141.218.60.56/~jnz1568/getInfo.php?workbook=12_04.xlsx&amp;sheet=A0&amp;row=316&amp;col=7&amp;number=0&amp;sourceID=14","0")</f>
        <v>0</v>
      </c>
    </row>
    <row r="317" spans="1:7">
      <c r="A317" s="3">
        <v>12</v>
      </c>
      <c r="B317" s="3">
        <v>4</v>
      </c>
      <c r="C317" s="3">
        <v>60</v>
      </c>
      <c r="D317" s="3">
        <v>4</v>
      </c>
      <c r="E317" s="3">
        <v>-51.407</v>
      </c>
      <c r="F317" s="4" t="str">
        <f>HYPERLINK("http://141.218.60.56/~jnz1568/getInfo.php?workbook=12_04.xlsx&amp;sheet=A0&amp;row=317&amp;col=6&amp;number=650&amp;sourceID=14","650")</f>
        <v>650</v>
      </c>
      <c r="G317" s="4" t="str">
        <f>HYPERLINK("http://141.218.60.56/~jnz1568/getInfo.php?workbook=12_04.xlsx&amp;sheet=A0&amp;row=317&amp;col=7&amp;number=0&amp;sourceID=14","0")</f>
        <v>0</v>
      </c>
    </row>
    <row r="318" spans="1:7">
      <c r="A318" s="3">
        <v>12</v>
      </c>
      <c r="B318" s="3">
        <v>4</v>
      </c>
      <c r="C318" s="3">
        <v>61</v>
      </c>
      <c r="D318" s="3">
        <v>4</v>
      </c>
      <c r="E318" s="3">
        <v>-48.521</v>
      </c>
      <c r="F318" s="4" t="str">
        <f>HYPERLINK("http://141.218.60.56/~jnz1568/getInfo.php?workbook=12_04.xlsx&amp;sheet=A0&amp;row=318&amp;col=6&amp;number=490000&amp;sourceID=14","490000")</f>
        <v>490000</v>
      </c>
      <c r="G318" s="4" t="str">
        <f>HYPERLINK("http://141.218.60.56/~jnz1568/getInfo.php?workbook=12_04.xlsx&amp;sheet=A0&amp;row=318&amp;col=7&amp;number=0&amp;sourceID=14","0")</f>
        <v>0</v>
      </c>
    </row>
    <row r="319" spans="1:7">
      <c r="A319" s="3">
        <v>12</v>
      </c>
      <c r="B319" s="3">
        <v>4</v>
      </c>
      <c r="C319" s="3">
        <v>62</v>
      </c>
      <c r="D319" s="3">
        <v>4</v>
      </c>
      <c r="E319" s="3">
        <v>-48.499</v>
      </c>
      <c r="F319" s="4" t="str">
        <f>HYPERLINK("http://141.218.60.56/~jnz1568/getInfo.php?workbook=12_04.xlsx&amp;sheet=A0&amp;row=319&amp;col=6&amp;number=345000&amp;sourceID=14","345000")</f>
        <v>345000</v>
      </c>
      <c r="G319" s="4" t="str">
        <f>HYPERLINK("http://141.218.60.56/~jnz1568/getInfo.php?workbook=12_04.xlsx&amp;sheet=A0&amp;row=319&amp;col=7&amp;number=0&amp;sourceID=14","0")</f>
        <v>0</v>
      </c>
    </row>
    <row r="320" spans="1:7">
      <c r="A320" s="3">
        <v>12</v>
      </c>
      <c r="B320" s="3">
        <v>4</v>
      </c>
      <c r="C320" s="3">
        <v>63</v>
      </c>
      <c r="D320" s="3">
        <v>4</v>
      </c>
      <c r="E320" s="3">
        <v>-48.429</v>
      </c>
      <c r="F320" s="4" t="str">
        <f>HYPERLINK("http://141.218.60.56/~jnz1568/getInfo.php?workbook=12_04.xlsx&amp;sheet=A0&amp;row=320&amp;col=6&amp;number=156000&amp;sourceID=14","156000")</f>
        <v>156000</v>
      </c>
      <c r="G320" s="4" t="str">
        <f>HYPERLINK("http://141.218.60.56/~jnz1568/getInfo.php?workbook=12_04.xlsx&amp;sheet=A0&amp;row=320&amp;col=7&amp;number=0&amp;sourceID=14","0")</f>
        <v>0</v>
      </c>
    </row>
    <row r="321" spans="1:7">
      <c r="A321" s="3">
        <v>12</v>
      </c>
      <c r="B321" s="3">
        <v>4</v>
      </c>
      <c r="C321" s="3">
        <v>64</v>
      </c>
      <c r="D321" s="3">
        <v>4</v>
      </c>
      <c r="E321" s="3">
        <v>-48.284</v>
      </c>
      <c r="F321" s="4" t="str">
        <f>HYPERLINK("http://141.218.60.56/~jnz1568/getInfo.php?workbook=12_04.xlsx&amp;sheet=A0&amp;row=321&amp;col=6&amp;number=11900&amp;sourceID=14","11900")</f>
        <v>11900</v>
      </c>
      <c r="G321" s="4" t="str">
        <f>HYPERLINK("http://141.218.60.56/~jnz1568/getInfo.php?workbook=12_04.xlsx&amp;sheet=A0&amp;row=321&amp;col=7&amp;number=0&amp;sourceID=14","0")</f>
        <v>0</v>
      </c>
    </row>
    <row r="322" spans="1:7">
      <c r="A322" s="3">
        <v>12</v>
      </c>
      <c r="B322" s="3">
        <v>4</v>
      </c>
      <c r="C322" s="3">
        <v>65</v>
      </c>
      <c r="D322" s="3">
        <v>4</v>
      </c>
      <c r="E322" s="3">
        <v>-48.109</v>
      </c>
      <c r="F322" s="4" t="str">
        <f>HYPERLINK("http://141.218.60.56/~jnz1568/getInfo.php?workbook=12_04.xlsx&amp;sheet=A0&amp;row=322&amp;col=6&amp;number=17000000&amp;sourceID=14","17000000")</f>
        <v>17000000</v>
      </c>
      <c r="G322" s="4" t="str">
        <f>HYPERLINK("http://141.218.60.56/~jnz1568/getInfo.php?workbook=12_04.xlsx&amp;sheet=A0&amp;row=322&amp;col=7&amp;number=0&amp;sourceID=14","0")</f>
        <v>0</v>
      </c>
    </row>
    <row r="323" spans="1:7">
      <c r="A323" s="3">
        <v>12</v>
      </c>
      <c r="B323" s="3">
        <v>4</v>
      </c>
      <c r="C323" s="3">
        <v>66</v>
      </c>
      <c r="D323" s="3">
        <v>4</v>
      </c>
      <c r="E323" s="3">
        <v>-48.05</v>
      </c>
      <c r="F323" s="4" t="str">
        <f>HYPERLINK("http://141.218.60.56/~jnz1568/getInfo.php?workbook=12_04.xlsx&amp;sheet=A0&amp;row=323&amp;col=6&amp;number=1160000000&amp;sourceID=14","1160000000")</f>
        <v>1160000000</v>
      </c>
      <c r="G323" s="4" t="str">
        <f>HYPERLINK("http://141.218.60.56/~jnz1568/getInfo.php?workbook=12_04.xlsx&amp;sheet=A0&amp;row=323&amp;col=7&amp;number=0&amp;sourceID=14","0")</f>
        <v>0</v>
      </c>
    </row>
    <row r="324" spans="1:7">
      <c r="A324" s="3">
        <v>12</v>
      </c>
      <c r="B324" s="3">
        <v>4</v>
      </c>
      <c r="C324" s="3">
        <v>67</v>
      </c>
      <c r="D324" s="3">
        <v>4</v>
      </c>
      <c r="E324" s="3">
        <v>-48.039</v>
      </c>
      <c r="F324" s="4" t="str">
        <f>HYPERLINK("http://141.218.60.56/~jnz1568/getInfo.php?workbook=12_04.xlsx&amp;sheet=A0&amp;row=324&amp;col=6&amp;number=7840000000&amp;sourceID=14","7840000000")</f>
        <v>7840000000</v>
      </c>
      <c r="G324" s="4" t="str">
        <f>HYPERLINK("http://141.218.60.56/~jnz1568/getInfo.php?workbook=12_04.xlsx&amp;sheet=A0&amp;row=324&amp;col=7&amp;number=0&amp;sourceID=14","0")</f>
        <v>0</v>
      </c>
    </row>
    <row r="325" spans="1:7">
      <c r="A325" s="3">
        <v>12</v>
      </c>
      <c r="B325" s="3">
        <v>4</v>
      </c>
      <c r="C325" s="3">
        <v>68</v>
      </c>
      <c r="D325" s="3">
        <v>4</v>
      </c>
      <c r="E325" s="3">
        <v>47.947</v>
      </c>
      <c r="F325" s="4" t="str">
        <f>HYPERLINK("http://141.218.60.56/~jnz1568/getInfo.php?workbook=12_04.xlsx&amp;sheet=A0&amp;row=325&amp;col=6&amp;number=58000000000&amp;sourceID=14","58000000000")</f>
        <v>58000000000</v>
      </c>
      <c r="G325" s="4" t="str">
        <f>HYPERLINK("http://141.218.60.56/~jnz1568/getInfo.php?workbook=12_04.xlsx&amp;sheet=A0&amp;row=325&amp;col=7&amp;number=0&amp;sourceID=14","0")</f>
        <v>0</v>
      </c>
    </row>
    <row r="326" spans="1:7">
      <c r="A326" s="3">
        <v>12</v>
      </c>
      <c r="B326" s="3">
        <v>4</v>
      </c>
      <c r="C326" s="3">
        <v>69</v>
      </c>
      <c r="D326" s="3">
        <v>4</v>
      </c>
      <c r="E326" s="3">
        <v>-47.916</v>
      </c>
      <c r="F326" s="4" t="str">
        <f>HYPERLINK("http://141.218.60.56/~jnz1568/getInfo.php?workbook=12_04.xlsx&amp;sheet=A0&amp;row=326&amp;col=6&amp;number=7280000000&amp;sourceID=14","7280000000")</f>
        <v>7280000000</v>
      </c>
      <c r="G326" s="4" t="str">
        <f>HYPERLINK("http://141.218.60.56/~jnz1568/getInfo.php?workbook=12_04.xlsx&amp;sheet=A0&amp;row=326&amp;col=7&amp;number=0&amp;sourceID=14","0")</f>
        <v>0</v>
      </c>
    </row>
    <row r="327" spans="1:7">
      <c r="A327" s="3">
        <v>12</v>
      </c>
      <c r="B327" s="3">
        <v>4</v>
      </c>
      <c r="C327" s="3">
        <v>70</v>
      </c>
      <c r="D327" s="3">
        <v>4</v>
      </c>
      <c r="E327" s="3">
        <v>-47.902</v>
      </c>
      <c r="F327" s="4" t="str">
        <f>HYPERLINK("http://141.218.60.56/~jnz1568/getInfo.php?workbook=12_04.xlsx&amp;sheet=A0&amp;row=327&amp;col=6&amp;number=997&amp;sourceID=14","997")</f>
        <v>997</v>
      </c>
      <c r="G327" s="4" t="str">
        <f>HYPERLINK("http://141.218.60.56/~jnz1568/getInfo.php?workbook=12_04.xlsx&amp;sheet=A0&amp;row=327&amp;col=7&amp;number=0&amp;sourceID=14","0")</f>
        <v>0</v>
      </c>
    </row>
    <row r="328" spans="1:7">
      <c r="A328" s="3">
        <v>12</v>
      </c>
      <c r="B328" s="3">
        <v>4</v>
      </c>
      <c r="C328" s="3">
        <v>71</v>
      </c>
      <c r="D328" s="3">
        <v>4</v>
      </c>
      <c r="E328" s="3">
        <v>-47.858</v>
      </c>
      <c r="F328" s="4" t="str">
        <f>HYPERLINK("http://141.218.60.56/~jnz1568/getInfo.php?workbook=12_04.xlsx&amp;sheet=A0&amp;row=328&amp;col=6&amp;number=70500000000&amp;sourceID=14","70500000000")</f>
        <v>70500000000</v>
      </c>
      <c r="G328" s="4" t="str">
        <f>HYPERLINK("http://141.218.60.56/~jnz1568/getInfo.php?workbook=12_04.xlsx&amp;sheet=A0&amp;row=328&amp;col=7&amp;number=0&amp;sourceID=14","0")</f>
        <v>0</v>
      </c>
    </row>
    <row r="329" spans="1:7">
      <c r="A329" s="3">
        <v>12</v>
      </c>
      <c r="B329" s="3">
        <v>4</v>
      </c>
      <c r="C329" s="3">
        <v>72</v>
      </c>
      <c r="D329" s="3">
        <v>4</v>
      </c>
      <c r="E329" s="3">
        <v>47.818</v>
      </c>
      <c r="F329" s="4" t="str">
        <f>HYPERLINK("http://141.218.60.56/~jnz1568/getInfo.php?workbook=12_04.xlsx&amp;sheet=A0&amp;row=329&amp;col=6&amp;number=55900000000&amp;sourceID=14","55900000000")</f>
        <v>55900000000</v>
      </c>
      <c r="G329" s="4" t="str">
        <f>HYPERLINK("http://141.218.60.56/~jnz1568/getInfo.php?workbook=12_04.xlsx&amp;sheet=A0&amp;row=329&amp;col=7&amp;number=0&amp;sourceID=14","0")</f>
        <v>0</v>
      </c>
    </row>
    <row r="330" spans="1:7">
      <c r="A330" s="3">
        <v>12</v>
      </c>
      <c r="B330" s="3">
        <v>4</v>
      </c>
      <c r="C330" s="3">
        <v>73</v>
      </c>
      <c r="D330" s="3">
        <v>4</v>
      </c>
      <c r="E330" s="3">
        <v>-47.778</v>
      </c>
      <c r="F330" s="4" t="str">
        <f>HYPERLINK("http://141.218.60.56/~jnz1568/getInfo.php?workbook=12_04.xlsx&amp;sheet=A0&amp;row=330&amp;col=6&amp;number=303000&amp;sourceID=14","303000")</f>
        <v>303000</v>
      </c>
      <c r="G330" s="4" t="str">
        <f>HYPERLINK("http://141.218.60.56/~jnz1568/getInfo.php?workbook=12_04.xlsx&amp;sheet=A0&amp;row=330&amp;col=7&amp;number=0&amp;sourceID=14","0")</f>
        <v>0</v>
      </c>
    </row>
    <row r="331" spans="1:7">
      <c r="A331" s="3">
        <v>12</v>
      </c>
      <c r="B331" s="3">
        <v>4</v>
      </c>
      <c r="C331" s="3">
        <v>74</v>
      </c>
      <c r="D331" s="3">
        <v>4</v>
      </c>
      <c r="E331" s="3">
        <v>-47.734</v>
      </c>
      <c r="F331" s="4" t="str">
        <f>HYPERLINK("http://141.218.60.56/~jnz1568/getInfo.php?workbook=12_04.xlsx&amp;sheet=A0&amp;row=331&amp;col=6&amp;number=3000000&amp;sourceID=14","3000000")</f>
        <v>3000000</v>
      </c>
      <c r="G331" s="4" t="str">
        <f>HYPERLINK("http://141.218.60.56/~jnz1568/getInfo.php?workbook=12_04.xlsx&amp;sheet=A0&amp;row=331&amp;col=7&amp;number=0&amp;sourceID=14","0")</f>
        <v>0</v>
      </c>
    </row>
    <row r="332" spans="1:7">
      <c r="A332" s="3">
        <v>12</v>
      </c>
      <c r="B332" s="3">
        <v>4</v>
      </c>
      <c r="C332" s="3">
        <v>75</v>
      </c>
      <c r="D332" s="3">
        <v>4</v>
      </c>
      <c r="E332" s="3">
        <v>47.685</v>
      </c>
      <c r="F332" s="4" t="str">
        <f>HYPERLINK("http://141.218.60.56/~jnz1568/getInfo.php?workbook=12_04.xlsx&amp;sheet=A0&amp;row=332&amp;col=6&amp;number=189000&amp;sourceID=14","189000")</f>
        <v>189000</v>
      </c>
      <c r="G332" s="4" t="str">
        <f>HYPERLINK("http://141.218.60.56/~jnz1568/getInfo.php?workbook=12_04.xlsx&amp;sheet=A0&amp;row=332&amp;col=7&amp;number=0&amp;sourceID=14","0")</f>
        <v>0</v>
      </c>
    </row>
    <row r="333" spans="1:7">
      <c r="A333" s="3">
        <v>12</v>
      </c>
      <c r="B333" s="3">
        <v>4</v>
      </c>
      <c r="C333" s="3">
        <v>76</v>
      </c>
      <c r="D333" s="3">
        <v>4</v>
      </c>
      <c r="E333" s="3">
        <v>47.688</v>
      </c>
      <c r="F333" s="4" t="str">
        <f>HYPERLINK("http://141.218.60.56/~jnz1568/getInfo.php?workbook=12_04.xlsx&amp;sheet=A0&amp;row=333&amp;col=6&amp;number=418000000&amp;sourceID=14","418000000")</f>
        <v>418000000</v>
      </c>
      <c r="G333" s="4" t="str">
        <f>HYPERLINK("http://141.218.60.56/~jnz1568/getInfo.php?workbook=12_04.xlsx&amp;sheet=A0&amp;row=333&amp;col=7&amp;number=0&amp;sourceID=14","0")</f>
        <v>0</v>
      </c>
    </row>
    <row r="334" spans="1:7">
      <c r="A334" s="3">
        <v>12</v>
      </c>
      <c r="B334" s="3">
        <v>4</v>
      </c>
      <c r="C334" s="3">
        <v>77</v>
      </c>
      <c r="D334" s="3">
        <v>4</v>
      </c>
      <c r="E334" s="3">
        <v>-47.685</v>
      </c>
      <c r="F334" s="4" t="str">
        <f>HYPERLINK("http://141.218.60.56/~jnz1568/getInfo.php?workbook=12_04.xlsx&amp;sheet=A0&amp;row=334&amp;col=6&amp;number=15800000&amp;sourceID=14","15800000")</f>
        <v>15800000</v>
      </c>
      <c r="G334" s="4" t="str">
        <f>HYPERLINK("http://141.218.60.56/~jnz1568/getInfo.php?workbook=12_04.xlsx&amp;sheet=A0&amp;row=334&amp;col=7&amp;number=0&amp;sourceID=14","0")</f>
        <v>0</v>
      </c>
    </row>
    <row r="335" spans="1:7">
      <c r="A335" s="3">
        <v>12</v>
      </c>
      <c r="B335" s="3">
        <v>4</v>
      </c>
      <c r="C335" s="3">
        <v>78</v>
      </c>
      <c r="D335" s="3">
        <v>4</v>
      </c>
      <c r="E335" s="3">
        <v>-47.616</v>
      </c>
      <c r="F335" s="4" t="str">
        <f>HYPERLINK("http://141.218.60.56/~jnz1568/getInfo.php?workbook=12_04.xlsx&amp;sheet=A0&amp;row=335&amp;col=6&amp;number=328000&amp;sourceID=14","328000")</f>
        <v>328000</v>
      </c>
      <c r="G335" s="4" t="str">
        <f>HYPERLINK("http://141.218.60.56/~jnz1568/getInfo.php?workbook=12_04.xlsx&amp;sheet=A0&amp;row=335&amp;col=7&amp;number=0&amp;sourceID=14","0")</f>
        <v>0</v>
      </c>
    </row>
    <row r="336" spans="1:7">
      <c r="A336" s="3">
        <v>12</v>
      </c>
      <c r="B336" s="3">
        <v>4</v>
      </c>
      <c r="C336" s="3">
        <v>79</v>
      </c>
      <c r="D336" s="3">
        <v>4</v>
      </c>
      <c r="E336" s="3">
        <v>-47.602</v>
      </c>
      <c r="F336" s="4" t="str">
        <f>HYPERLINK("http://141.218.60.56/~jnz1568/getInfo.php?workbook=12_04.xlsx&amp;sheet=A0&amp;row=336&amp;col=6&amp;number=1810000&amp;sourceID=14","1810000")</f>
        <v>1810000</v>
      </c>
      <c r="G336" s="4" t="str">
        <f>HYPERLINK("http://141.218.60.56/~jnz1568/getInfo.php?workbook=12_04.xlsx&amp;sheet=A0&amp;row=336&amp;col=7&amp;number=0&amp;sourceID=14","0")</f>
        <v>0</v>
      </c>
    </row>
    <row r="337" spans="1:7">
      <c r="A337" s="3">
        <v>12</v>
      </c>
      <c r="B337" s="3">
        <v>4</v>
      </c>
      <c r="C337" s="3">
        <v>80</v>
      </c>
      <c r="D337" s="3">
        <v>4</v>
      </c>
      <c r="E337" s="3">
        <v>-47.574</v>
      </c>
      <c r="F337" s="4" t="str">
        <f>HYPERLINK("http://141.218.60.56/~jnz1568/getInfo.php?workbook=12_04.xlsx&amp;sheet=A0&amp;row=337&amp;col=6&amp;number=2020000&amp;sourceID=14","2020000")</f>
        <v>2020000</v>
      </c>
      <c r="G337" s="4" t="str">
        <f>HYPERLINK("http://141.218.60.56/~jnz1568/getInfo.php?workbook=12_04.xlsx&amp;sheet=A0&amp;row=337&amp;col=7&amp;number=0&amp;sourceID=14","0")</f>
        <v>0</v>
      </c>
    </row>
    <row r="338" spans="1:7">
      <c r="A338" s="3">
        <v>12</v>
      </c>
      <c r="B338" s="3">
        <v>4</v>
      </c>
      <c r="C338" s="3">
        <v>81</v>
      </c>
      <c r="D338" s="3">
        <v>4</v>
      </c>
      <c r="E338" s="3">
        <v>47.525</v>
      </c>
      <c r="F338" s="4" t="str">
        <f>HYPERLINK("http://141.218.60.56/~jnz1568/getInfo.php?workbook=12_04.xlsx&amp;sheet=A0&amp;row=338&amp;col=6&amp;number=9760000&amp;sourceID=14","9760000")</f>
        <v>9760000</v>
      </c>
      <c r="G338" s="4" t="str">
        <f>HYPERLINK("http://141.218.60.56/~jnz1568/getInfo.php?workbook=12_04.xlsx&amp;sheet=A0&amp;row=338&amp;col=7&amp;number=0&amp;sourceID=14","0")</f>
        <v>0</v>
      </c>
    </row>
    <row r="339" spans="1:7">
      <c r="A339" s="3">
        <v>12</v>
      </c>
      <c r="B339" s="3">
        <v>4</v>
      </c>
      <c r="C339" s="3">
        <v>82</v>
      </c>
      <c r="D339" s="3">
        <v>4</v>
      </c>
      <c r="E339" s="3">
        <v>-47.566</v>
      </c>
      <c r="F339" s="4" t="str">
        <f>HYPERLINK("http://141.218.60.56/~jnz1568/getInfo.php?workbook=12_04.xlsx&amp;sheet=A0&amp;row=339&amp;col=6&amp;number=1520000&amp;sourceID=14","1520000")</f>
        <v>1520000</v>
      </c>
      <c r="G339" s="4" t="str">
        <f>HYPERLINK("http://141.218.60.56/~jnz1568/getInfo.php?workbook=12_04.xlsx&amp;sheet=A0&amp;row=339&amp;col=7&amp;number=0&amp;sourceID=14","0")</f>
        <v>0</v>
      </c>
    </row>
    <row r="340" spans="1:7">
      <c r="A340" s="3">
        <v>12</v>
      </c>
      <c r="B340" s="3">
        <v>4</v>
      </c>
      <c r="C340" s="3">
        <v>83</v>
      </c>
      <c r="D340" s="3">
        <v>4</v>
      </c>
      <c r="E340" s="3">
        <v>-47.566</v>
      </c>
      <c r="F340" s="4" t="str">
        <f>HYPERLINK("http://141.218.60.56/~jnz1568/getInfo.php?workbook=12_04.xlsx&amp;sheet=A0&amp;row=340&amp;col=6&amp;number=1330000&amp;sourceID=14","1330000")</f>
        <v>1330000</v>
      </c>
      <c r="G340" s="4" t="str">
        <f>HYPERLINK("http://141.218.60.56/~jnz1568/getInfo.php?workbook=12_04.xlsx&amp;sheet=A0&amp;row=340&amp;col=7&amp;number=0&amp;sourceID=14","0")</f>
        <v>0</v>
      </c>
    </row>
    <row r="341" spans="1:7">
      <c r="A341" s="3">
        <v>12</v>
      </c>
      <c r="B341" s="3">
        <v>4</v>
      </c>
      <c r="C341" s="3">
        <v>84</v>
      </c>
      <c r="D341" s="3">
        <v>4</v>
      </c>
      <c r="E341" s="3">
        <v>-47.559</v>
      </c>
      <c r="F341" s="4" t="str">
        <f>HYPERLINK("http://141.218.60.56/~jnz1568/getInfo.php?workbook=12_04.xlsx&amp;sheet=A0&amp;row=341&amp;col=6&amp;number=1720&amp;sourceID=14","1720")</f>
        <v>1720</v>
      </c>
      <c r="G341" s="4" t="str">
        <f>HYPERLINK("http://141.218.60.56/~jnz1568/getInfo.php?workbook=12_04.xlsx&amp;sheet=A0&amp;row=341&amp;col=7&amp;number=0&amp;sourceID=14","0")</f>
        <v>0</v>
      </c>
    </row>
    <row r="342" spans="1:7">
      <c r="A342" s="3">
        <v>12</v>
      </c>
      <c r="B342" s="3">
        <v>4</v>
      </c>
      <c r="C342" s="3">
        <v>85</v>
      </c>
      <c r="D342" s="3">
        <v>4</v>
      </c>
      <c r="E342" s="3">
        <v>47.498</v>
      </c>
      <c r="F342" s="4" t="str">
        <f>HYPERLINK("http://141.218.60.56/~jnz1568/getInfo.php?workbook=12_04.xlsx&amp;sheet=A0&amp;row=342&amp;col=6&amp;number=12000000&amp;sourceID=14","12000000")</f>
        <v>12000000</v>
      </c>
      <c r="G342" s="4" t="str">
        <f>HYPERLINK("http://141.218.60.56/~jnz1568/getInfo.php?workbook=12_04.xlsx&amp;sheet=A0&amp;row=342&amp;col=7&amp;number=0&amp;sourceID=14","0")</f>
        <v>0</v>
      </c>
    </row>
    <row r="343" spans="1:7">
      <c r="A343" s="3">
        <v>12</v>
      </c>
      <c r="B343" s="3">
        <v>4</v>
      </c>
      <c r="C343" s="3">
        <v>86</v>
      </c>
      <c r="D343" s="3">
        <v>4</v>
      </c>
      <c r="E343" s="3">
        <v>47.486</v>
      </c>
      <c r="F343" s="4" t="str">
        <f>HYPERLINK("http://141.218.60.56/~jnz1568/getInfo.php?workbook=12_04.xlsx&amp;sheet=A0&amp;row=343&amp;col=6&amp;number=16800000&amp;sourceID=14","16800000")</f>
        <v>16800000</v>
      </c>
      <c r="G343" s="4" t="str">
        <f>HYPERLINK("http://141.218.60.56/~jnz1568/getInfo.php?workbook=12_04.xlsx&amp;sheet=A0&amp;row=343&amp;col=7&amp;number=0&amp;sourceID=14","0")</f>
        <v>0</v>
      </c>
    </row>
    <row r="344" spans="1:7">
      <c r="A344" s="3">
        <v>12</v>
      </c>
      <c r="B344" s="3">
        <v>4</v>
      </c>
      <c r="C344" s="3">
        <v>87</v>
      </c>
      <c r="D344" s="3">
        <v>4</v>
      </c>
      <c r="E344" s="3">
        <v>-47.504</v>
      </c>
      <c r="F344" s="4" t="str">
        <f>HYPERLINK("http://141.218.60.56/~jnz1568/getInfo.php?workbook=12_04.xlsx&amp;sheet=A0&amp;row=344&amp;col=6&amp;number=19100000&amp;sourceID=14","19100000")</f>
        <v>19100000</v>
      </c>
      <c r="G344" s="4" t="str">
        <f>HYPERLINK("http://141.218.60.56/~jnz1568/getInfo.php?workbook=12_04.xlsx&amp;sheet=A0&amp;row=344&amp;col=7&amp;number=0&amp;sourceID=14","0")</f>
        <v>0</v>
      </c>
    </row>
    <row r="345" spans="1:7">
      <c r="A345" s="3">
        <v>12</v>
      </c>
      <c r="B345" s="3">
        <v>4</v>
      </c>
      <c r="C345" s="3">
        <v>88</v>
      </c>
      <c r="D345" s="3">
        <v>4</v>
      </c>
      <c r="E345" s="3">
        <v>-47.486</v>
      </c>
      <c r="F345" s="4" t="str">
        <f>HYPERLINK("http://141.218.60.56/~jnz1568/getInfo.php?workbook=12_04.xlsx&amp;sheet=A0&amp;row=345&amp;col=6&amp;number=16800&amp;sourceID=14","16800")</f>
        <v>16800</v>
      </c>
      <c r="G345" s="4" t="str">
        <f>HYPERLINK("http://141.218.60.56/~jnz1568/getInfo.php?workbook=12_04.xlsx&amp;sheet=A0&amp;row=345&amp;col=7&amp;number=0&amp;sourceID=14","0")</f>
        <v>0</v>
      </c>
    </row>
    <row r="346" spans="1:7">
      <c r="A346" s="3">
        <v>12</v>
      </c>
      <c r="B346" s="3">
        <v>4</v>
      </c>
      <c r="C346" s="3">
        <v>89</v>
      </c>
      <c r="D346" s="3">
        <v>4</v>
      </c>
      <c r="E346" s="3">
        <v>-47.476</v>
      </c>
      <c r="F346" s="4" t="str">
        <f>HYPERLINK("http://141.218.60.56/~jnz1568/getInfo.php?workbook=12_04.xlsx&amp;sheet=A0&amp;row=346&amp;col=6&amp;number=6450&amp;sourceID=14","6450")</f>
        <v>6450</v>
      </c>
      <c r="G346" s="4" t="str">
        <f>HYPERLINK("http://141.218.60.56/~jnz1568/getInfo.php?workbook=12_04.xlsx&amp;sheet=A0&amp;row=346&amp;col=7&amp;number=0&amp;sourceID=14","0")</f>
        <v>0</v>
      </c>
    </row>
    <row r="347" spans="1:7">
      <c r="A347" s="3">
        <v>12</v>
      </c>
      <c r="B347" s="3">
        <v>4</v>
      </c>
      <c r="C347" s="3">
        <v>90</v>
      </c>
      <c r="D347" s="3">
        <v>4</v>
      </c>
      <c r="E347" s="3">
        <v>-47.445</v>
      </c>
      <c r="F347" s="4" t="str">
        <f>HYPERLINK("http://141.218.60.56/~jnz1568/getInfo.php?workbook=12_04.xlsx&amp;sheet=A0&amp;row=347&amp;col=6&amp;number=7080&amp;sourceID=14","7080")</f>
        <v>7080</v>
      </c>
      <c r="G347" s="4" t="str">
        <f>HYPERLINK("http://141.218.60.56/~jnz1568/getInfo.php?workbook=12_04.xlsx&amp;sheet=A0&amp;row=347&amp;col=7&amp;number=0&amp;sourceID=14","0")</f>
        <v>0</v>
      </c>
    </row>
    <row r="348" spans="1:7">
      <c r="A348" s="3">
        <v>12</v>
      </c>
      <c r="B348" s="3">
        <v>4</v>
      </c>
      <c r="C348" s="3">
        <v>91</v>
      </c>
      <c r="D348" s="3">
        <v>4</v>
      </c>
      <c r="E348" s="3">
        <v>-47.417</v>
      </c>
      <c r="F348" s="4" t="str">
        <f>HYPERLINK("http://141.218.60.56/~jnz1568/getInfo.php?workbook=12_04.xlsx&amp;sheet=A0&amp;row=348&amp;col=6&amp;number=61500000&amp;sourceID=14","61500000")</f>
        <v>61500000</v>
      </c>
      <c r="G348" s="4" t="str">
        <f>HYPERLINK("http://141.218.60.56/~jnz1568/getInfo.php?workbook=12_04.xlsx&amp;sheet=A0&amp;row=348&amp;col=7&amp;number=0&amp;sourceID=14","0")</f>
        <v>0</v>
      </c>
    </row>
    <row r="349" spans="1:7">
      <c r="A349" s="3">
        <v>12</v>
      </c>
      <c r="B349" s="3">
        <v>4</v>
      </c>
      <c r="C349" s="3">
        <v>92</v>
      </c>
      <c r="D349" s="3">
        <v>4</v>
      </c>
      <c r="E349" s="3">
        <v>-47.411</v>
      </c>
      <c r="F349" s="4" t="str">
        <f>HYPERLINK("http://141.218.60.56/~jnz1568/getInfo.php?workbook=12_04.xlsx&amp;sheet=A0&amp;row=349&amp;col=6&amp;number=133&amp;sourceID=14","133")</f>
        <v>133</v>
      </c>
      <c r="G349" s="4" t="str">
        <f>HYPERLINK("http://141.218.60.56/~jnz1568/getInfo.php?workbook=12_04.xlsx&amp;sheet=A0&amp;row=349&amp;col=7&amp;number=0&amp;sourceID=14","0")</f>
        <v>0</v>
      </c>
    </row>
    <row r="350" spans="1:7">
      <c r="A350" s="3">
        <v>12</v>
      </c>
      <c r="B350" s="3">
        <v>4</v>
      </c>
      <c r="C350" s="3">
        <v>93</v>
      </c>
      <c r="D350" s="3">
        <v>4</v>
      </c>
      <c r="E350" s="3">
        <v>-47.405</v>
      </c>
      <c r="F350" s="4" t="str">
        <f>HYPERLINK("http://141.218.60.56/~jnz1568/getInfo.php?workbook=12_04.xlsx&amp;sheet=A0&amp;row=350&amp;col=6&amp;number=16200000&amp;sourceID=14","16200000")</f>
        <v>16200000</v>
      </c>
      <c r="G350" s="4" t="str">
        <f>HYPERLINK("http://141.218.60.56/~jnz1568/getInfo.php?workbook=12_04.xlsx&amp;sheet=A0&amp;row=350&amp;col=7&amp;number=0&amp;sourceID=14","0")</f>
        <v>0</v>
      </c>
    </row>
    <row r="351" spans="1:7">
      <c r="A351" s="3">
        <v>12</v>
      </c>
      <c r="B351" s="3">
        <v>4</v>
      </c>
      <c r="C351" s="3">
        <v>94</v>
      </c>
      <c r="D351" s="3">
        <v>4</v>
      </c>
      <c r="E351" s="3">
        <v>-47.383</v>
      </c>
      <c r="F351" s="4" t="str">
        <f>HYPERLINK("http://141.218.60.56/~jnz1568/getInfo.php?workbook=12_04.xlsx&amp;sheet=A0&amp;row=351&amp;col=6&amp;number=2040000&amp;sourceID=14","2040000")</f>
        <v>2040000</v>
      </c>
      <c r="G351" s="4" t="str">
        <f>HYPERLINK("http://141.218.60.56/~jnz1568/getInfo.php?workbook=12_04.xlsx&amp;sheet=A0&amp;row=351&amp;col=7&amp;number=0&amp;sourceID=14","0")</f>
        <v>0</v>
      </c>
    </row>
    <row r="352" spans="1:7">
      <c r="A352" s="3">
        <v>12</v>
      </c>
      <c r="B352" s="3">
        <v>4</v>
      </c>
      <c r="C352" s="3">
        <v>95</v>
      </c>
      <c r="D352" s="3">
        <v>4</v>
      </c>
      <c r="E352" s="3">
        <v>-47.369</v>
      </c>
      <c r="F352" s="4" t="str">
        <f>HYPERLINK("http://141.218.60.56/~jnz1568/getInfo.php?workbook=12_04.xlsx&amp;sheet=A0&amp;row=352&amp;col=6&amp;number=3530&amp;sourceID=14","3530")</f>
        <v>3530</v>
      </c>
      <c r="G352" s="4" t="str">
        <f>HYPERLINK("http://141.218.60.56/~jnz1568/getInfo.php?workbook=12_04.xlsx&amp;sheet=A0&amp;row=352&amp;col=7&amp;number=0&amp;sourceID=14","0")</f>
        <v>0</v>
      </c>
    </row>
    <row r="353" spans="1:7">
      <c r="A353" s="3">
        <v>12</v>
      </c>
      <c r="B353" s="3">
        <v>4</v>
      </c>
      <c r="C353" s="3">
        <v>96</v>
      </c>
      <c r="D353" s="3">
        <v>4</v>
      </c>
      <c r="E353" s="3">
        <v>-47.356</v>
      </c>
      <c r="F353" s="4" t="str">
        <f>HYPERLINK("http://141.218.60.56/~jnz1568/getInfo.php?workbook=12_04.xlsx&amp;sheet=A0&amp;row=353&amp;col=6&amp;number=1650000&amp;sourceID=14","1650000")</f>
        <v>1650000</v>
      </c>
      <c r="G353" s="4" t="str">
        <f>HYPERLINK("http://141.218.60.56/~jnz1568/getInfo.php?workbook=12_04.xlsx&amp;sheet=A0&amp;row=353&amp;col=7&amp;number=0&amp;sourceID=14","0")</f>
        <v>0</v>
      </c>
    </row>
    <row r="354" spans="1:7">
      <c r="A354" s="3">
        <v>12</v>
      </c>
      <c r="B354" s="3">
        <v>4</v>
      </c>
      <c r="C354" s="3">
        <v>97</v>
      </c>
      <c r="D354" s="3">
        <v>4</v>
      </c>
      <c r="E354" s="3">
        <v>47.338</v>
      </c>
      <c r="F354" s="4" t="str">
        <f>HYPERLINK("http://141.218.60.56/~jnz1568/getInfo.php?workbook=12_04.xlsx&amp;sheet=A0&amp;row=354&amp;col=6&amp;number=3520&amp;sourceID=14","3520")</f>
        <v>3520</v>
      </c>
      <c r="G354" s="4" t="str">
        <f>HYPERLINK("http://141.218.60.56/~jnz1568/getInfo.php?workbook=12_04.xlsx&amp;sheet=A0&amp;row=354&amp;col=7&amp;number=0&amp;sourceID=14","0")</f>
        <v>0</v>
      </c>
    </row>
    <row r="355" spans="1:7">
      <c r="A355" s="3">
        <v>12</v>
      </c>
      <c r="B355" s="3">
        <v>4</v>
      </c>
      <c r="C355" s="3">
        <v>98</v>
      </c>
      <c r="D355" s="3">
        <v>4</v>
      </c>
      <c r="E355" s="3">
        <v>47.299</v>
      </c>
      <c r="F355" s="4" t="str">
        <f>HYPERLINK("http://141.218.60.56/~jnz1568/getInfo.php?workbook=12_04.xlsx&amp;sheet=A0&amp;row=355&amp;col=6&amp;number=16000&amp;sourceID=14","16000")</f>
        <v>16000</v>
      </c>
      <c r="G355" s="4" t="str">
        <f>HYPERLINK("http://141.218.60.56/~jnz1568/getInfo.php?workbook=12_04.xlsx&amp;sheet=A0&amp;row=355&amp;col=7&amp;number=0&amp;sourceID=14","0")</f>
        <v>0</v>
      </c>
    </row>
    <row r="356" spans="1:7">
      <c r="A356" s="3">
        <v>12</v>
      </c>
      <c r="B356" s="3">
        <v>4</v>
      </c>
      <c r="C356" s="3">
        <v>6</v>
      </c>
      <c r="D356" s="3">
        <v>5</v>
      </c>
      <c r="E356" s="3">
        <v>1061.922</v>
      </c>
      <c r="F356" s="4" t="str">
        <f>HYPERLINK("http://141.218.60.56/~jnz1568/getInfo.php?workbook=12_04.xlsx&amp;sheet=A0&amp;row=356&amp;col=6&amp;number=155000&amp;sourceID=14","155000")</f>
        <v>155000</v>
      </c>
      <c r="G356" s="4" t="str">
        <f>HYPERLINK("http://141.218.60.56/~jnz1568/getInfo.php?workbook=12_04.xlsx&amp;sheet=A0&amp;row=356&amp;col=7&amp;number=0&amp;sourceID=14","0")</f>
        <v>0</v>
      </c>
    </row>
    <row r="357" spans="1:7">
      <c r="A357" s="3">
        <v>12</v>
      </c>
      <c r="B357" s="3">
        <v>4</v>
      </c>
      <c r="C357" s="3">
        <v>7</v>
      </c>
      <c r="D357" s="3">
        <v>5</v>
      </c>
      <c r="E357" s="3">
        <v>1047.429</v>
      </c>
      <c r="F357" s="4" t="str">
        <f>HYPERLINK("http://141.218.60.56/~jnz1568/getInfo.php?workbook=12_04.xlsx&amp;sheet=A0&amp;row=357&amp;col=6&amp;number=12700&amp;sourceID=14","12700")</f>
        <v>12700</v>
      </c>
      <c r="G357" s="4" t="str">
        <f>HYPERLINK("http://141.218.60.56/~jnz1568/getInfo.php?workbook=12_04.xlsx&amp;sheet=A0&amp;row=357&amp;col=7&amp;number=0&amp;sourceID=14","0")</f>
        <v>0</v>
      </c>
    </row>
    <row r="358" spans="1:7">
      <c r="A358" s="3">
        <v>12</v>
      </c>
      <c r="B358" s="3">
        <v>4</v>
      </c>
      <c r="C358" s="3">
        <v>8</v>
      </c>
      <c r="D358" s="3">
        <v>5</v>
      </c>
      <c r="E358" s="3">
        <v>1024.141</v>
      </c>
      <c r="F358" s="4" t="str">
        <f>HYPERLINK("http://141.218.60.56/~jnz1568/getInfo.php?workbook=12_04.xlsx&amp;sheet=A0&amp;row=358&amp;col=6&amp;number=447000&amp;sourceID=14","447000")</f>
        <v>447000</v>
      </c>
      <c r="G358" s="4" t="str">
        <f>HYPERLINK("http://141.218.60.56/~jnz1568/getInfo.php?workbook=12_04.xlsx&amp;sheet=A0&amp;row=358&amp;col=7&amp;number=0&amp;sourceID=14","0")</f>
        <v>0</v>
      </c>
    </row>
    <row r="359" spans="1:7">
      <c r="A359" s="3">
        <v>12</v>
      </c>
      <c r="B359" s="3">
        <v>4</v>
      </c>
      <c r="C359" s="3">
        <v>9</v>
      </c>
      <c r="D359" s="3">
        <v>5</v>
      </c>
      <c r="E359" s="3">
        <v>749.553</v>
      </c>
      <c r="F359" s="4" t="str">
        <f>HYPERLINK("http://141.218.60.56/~jnz1568/getInfo.php?workbook=12_04.xlsx&amp;sheet=A0&amp;row=359&amp;col=6&amp;number=800000000&amp;sourceID=14","800000000")</f>
        <v>800000000</v>
      </c>
      <c r="G359" s="4" t="str">
        <f>HYPERLINK("http://141.218.60.56/~jnz1568/getInfo.php?workbook=12_04.xlsx&amp;sheet=A0&amp;row=359&amp;col=7&amp;number=0&amp;sourceID=14","0")</f>
        <v>0</v>
      </c>
    </row>
    <row r="360" spans="1:7">
      <c r="A360" s="3">
        <v>12</v>
      </c>
      <c r="B360" s="3">
        <v>4</v>
      </c>
      <c r="C360" s="3">
        <v>10</v>
      </c>
      <c r="D360" s="3">
        <v>5</v>
      </c>
      <c r="E360" s="3">
        <v>438.701</v>
      </c>
      <c r="F360" s="4" t="str">
        <f>HYPERLINK("http://141.218.60.56/~jnz1568/getInfo.php?workbook=12_04.xlsx&amp;sheet=A0&amp;row=360&amp;col=6&amp;number=7760000000&amp;sourceID=14","7760000000")</f>
        <v>7760000000</v>
      </c>
      <c r="G360" s="4" t="str">
        <f>HYPERLINK("http://141.218.60.56/~jnz1568/getInfo.php?workbook=12_04.xlsx&amp;sheet=A0&amp;row=360&amp;col=7&amp;number=0&amp;sourceID=14","0")</f>
        <v>0</v>
      </c>
    </row>
    <row r="361" spans="1:7">
      <c r="A361" s="3">
        <v>12</v>
      </c>
      <c r="B361" s="3">
        <v>4</v>
      </c>
      <c r="C361" s="3">
        <v>11</v>
      </c>
      <c r="D361" s="3">
        <v>5</v>
      </c>
      <c r="E361" s="3">
        <v>79.317</v>
      </c>
      <c r="F361" s="4" t="str">
        <f>HYPERLINK("http://141.218.60.56/~jnz1568/getInfo.php?workbook=12_04.xlsx&amp;sheet=A0&amp;row=361&amp;col=6&amp;number=8640000&amp;sourceID=14","8640000")</f>
        <v>8640000</v>
      </c>
      <c r="G361" s="4" t="str">
        <f>HYPERLINK("http://141.218.60.56/~jnz1568/getInfo.php?workbook=12_04.xlsx&amp;sheet=A0&amp;row=361&amp;col=7&amp;number=0&amp;sourceID=14","0")</f>
        <v>0</v>
      </c>
    </row>
    <row r="362" spans="1:7">
      <c r="A362" s="3">
        <v>12</v>
      </c>
      <c r="B362" s="3">
        <v>4</v>
      </c>
      <c r="C362" s="3">
        <v>12</v>
      </c>
      <c r="D362" s="3">
        <v>5</v>
      </c>
      <c r="E362" s="3">
        <v>77.737</v>
      </c>
      <c r="F362" s="4" t="str">
        <f>HYPERLINK("http://141.218.60.56/~jnz1568/getInfo.php?workbook=12_04.xlsx&amp;sheet=A0&amp;row=362&amp;col=6&amp;number=51700000000&amp;sourceID=14","51700000000")</f>
        <v>51700000000</v>
      </c>
      <c r="G362" s="4" t="str">
        <f>HYPERLINK("http://141.218.60.56/~jnz1568/getInfo.php?workbook=12_04.xlsx&amp;sheet=A0&amp;row=362&amp;col=7&amp;number=0&amp;sourceID=14","0")</f>
        <v>0</v>
      </c>
    </row>
    <row r="363" spans="1:7">
      <c r="A363" s="3">
        <v>12</v>
      </c>
      <c r="B363" s="3">
        <v>4</v>
      </c>
      <c r="C363" s="3">
        <v>13</v>
      </c>
      <c r="D363" s="3">
        <v>5</v>
      </c>
      <c r="E363" s="3">
        <v>75.648</v>
      </c>
      <c r="F363" s="4" t="str">
        <f>HYPERLINK("http://141.218.60.56/~jnz1568/getInfo.php?workbook=12_04.xlsx&amp;sheet=A0&amp;row=363&amp;col=6&amp;number=10300000&amp;sourceID=14","10300000")</f>
        <v>10300000</v>
      </c>
      <c r="G363" s="4" t="str">
        <f>HYPERLINK("http://141.218.60.56/~jnz1568/getInfo.php?workbook=12_04.xlsx&amp;sheet=A0&amp;row=363&amp;col=7&amp;number=0&amp;sourceID=14","0")</f>
        <v>0</v>
      </c>
    </row>
    <row r="364" spans="1:7">
      <c r="A364" s="3">
        <v>12</v>
      </c>
      <c r="B364" s="3">
        <v>4</v>
      </c>
      <c r="C364" s="3">
        <v>14</v>
      </c>
      <c r="D364" s="3">
        <v>5</v>
      </c>
      <c r="E364" s="3">
        <v>75.426</v>
      </c>
      <c r="F364" s="4" t="str">
        <f>HYPERLINK("http://141.218.60.56/~jnz1568/getInfo.php?workbook=12_04.xlsx&amp;sheet=A0&amp;row=364&amp;col=6&amp;number=94&amp;sourceID=14","94")</f>
        <v>94</v>
      </c>
      <c r="G364" s="4" t="str">
        <f>HYPERLINK("http://141.218.60.56/~jnz1568/getInfo.php?workbook=12_04.xlsx&amp;sheet=A0&amp;row=364&amp;col=7&amp;number=0&amp;sourceID=14","0")</f>
        <v>0</v>
      </c>
    </row>
    <row r="365" spans="1:7">
      <c r="A365" s="3">
        <v>12</v>
      </c>
      <c r="B365" s="3">
        <v>4</v>
      </c>
      <c r="C365" s="3">
        <v>15</v>
      </c>
      <c r="D365" s="3">
        <v>5</v>
      </c>
      <c r="E365" s="3">
        <v>75.426</v>
      </c>
      <c r="F365" s="4" t="str">
        <f>HYPERLINK("http://141.218.60.56/~jnz1568/getInfo.php?workbook=12_04.xlsx&amp;sheet=A0&amp;row=365&amp;col=6&amp;number=222000&amp;sourceID=14","222000")</f>
        <v>222000</v>
      </c>
      <c r="G365" s="4" t="str">
        <f>HYPERLINK("http://141.218.60.56/~jnz1568/getInfo.php?workbook=12_04.xlsx&amp;sheet=A0&amp;row=365&amp;col=7&amp;number=0&amp;sourceID=14","0")</f>
        <v>0</v>
      </c>
    </row>
    <row r="366" spans="1:7">
      <c r="A366" s="3">
        <v>12</v>
      </c>
      <c r="B366" s="3">
        <v>4</v>
      </c>
      <c r="C366" s="3">
        <v>16</v>
      </c>
      <c r="D366" s="3">
        <v>5</v>
      </c>
      <c r="E366" s="3">
        <v>75.426</v>
      </c>
      <c r="F366" s="4" t="str">
        <f>HYPERLINK("http://141.218.60.56/~jnz1568/getInfo.php?workbook=12_04.xlsx&amp;sheet=A0&amp;row=366&amp;col=6&amp;number=1680&amp;sourceID=14","1680")</f>
        <v>1680</v>
      </c>
      <c r="G366" s="4" t="str">
        <f>HYPERLINK("http://141.218.60.56/~jnz1568/getInfo.php?workbook=12_04.xlsx&amp;sheet=A0&amp;row=366&amp;col=7&amp;number=0&amp;sourceID=14","0")</f>
        <v>0</v>
      </c>
    </row>
    <row r="367" spans="1:7">
      <c r="A367" s="3">
        <v>12</v>
      </c>
      <c r="B367" s="3">
        <v>4</v>
      </c>
      <c r="C367" s="3">
        <v>17</v>
      </c>
      <c r="D367" s="3">
        <v>5</v>
      </c>
      <c r="E367" s="3">
        <v>73.564</v>
      </c>
      <c r="F367" s="4" t="str">
        <f>HYPERLINK("http://141.218.60.56/~jnz1568/getInfo.php?workbook=12_04.xlsx&amp;sheet=A0&amp;row=367&amp;col=6&amp;number=33100000&amp;sourceID=14","33100000")</f>
        <v>33100000</v>
      </c>
      <c r="G367" s="4" t="str">
        <f>HYPERLINK("http://141.218.60.56/~jnz1568/getInfo.php?workbook=12_04.xlsx&amp;sheet=A0&amp;row=367&amp;col=7&amp;number=0&amp;sourceID=14","0")</f>
        <v>0</v>
      </c>
    </row>
    <row r="368" spans="1:7">
      <c r="A368" s="3">
        <v>12</v>
      </c>
      <c r="B368" s="3">
        <v>4</v>
      </c>
      <c r="C368" s="3">
        <v>18</v>
      </c>
      <c r="D368" s="3">
        <v>5</v>
      </c>
      <c r="E368" s="3">
        <v>73.558</v>
      </c>
      <c r="F368" s="4" t="str">
        <f>HYPERLINK("http://141.218.60.56/~jnz1568/getInfo.php?workbook=12_04.xlsx&amp;sheet=A0&amp;row=368&amp;col=6&amp;number=29300000&amp;sourceID=14","29300000")</f>
        <v>29300000</v>
      </c>
      <c r="G368" s="4" t="str">
        <f>HYPERLINK("http://141.218.60.56/~jnz1568/getInfo.php?workbook=12_04.xlsx&amp;sheet=A0&amp;row=368&amp;col=7&amp;number=0&amp;sourceID=14","0")</f>
        <v>0</v>
      </c>
    </row>
    <row r="369" spans="1:7">
      <c r="A369" s="3">
        <v>12</v>
      </c>
      <c r="B369" s="3">
        <v>4</v>
      </c>
      <c r="C369" s="3">
        <v>19</v>
      </c>
      <c r="D369" s="3">
        <v>5</v>
      </c>
      <c r="E369" s="3">
        <v>73.549</v>
      </c>
      <c r="F369" s="4" t="str">
        <f>HYPERLINK("http://141.218.60.56/~jnz1568/getInfo.php?workbook=12_04.xlsx&amp;sheet=A0&amp;row=369&amp;col=6&amp;number=3340&amp;sourceID=14","3340")</f>
        <v>3340</v>
      </c>
      <c r="G369" s="4" t="str">
        <f>HYPERLINK("http://141.218.60.56/~jnz1568/getInfo.php?workbook=12_04.xlsx&amp;sheet=A0&amp;row=369&amp;col=7&amp;number=0&amp;sourceID=14","0")</f>
        <v>0</v>
      </c>
    </row>
    <row r="370" spans="1:7">
      <c r="A370" s="3">
        <v>12</v>
      </c>
      <c r="B370" s="3">
        <v>4</v>
      </c>
      <c r="C370" s="3">
        <v>20</v>
      </c>
      <c r="D370" s="3">
        <v>5</v>
      </c>
      <c r="E370" s="3">
        <v>72.312</v>
      </c>
      <c r="F370" s="4" t="str">
        <f>HYPERLINK("http://141.218.60.56/~jnz1568/getInfo.php?workbook=12_04.xlsx&amp;sheet=A0&amp;row=370&amp;col=6&amp;number=414000000000&amp;sourceID=14","414000000000")</f>
        <v>414000000000</v>
      </c>
      <c r="G370" s="4" t="str">
        <f>HYPERLINK("http://141.218.60.56/~jnz1568/getInfo.php?workbook=12_04.xlsx&amp;sheet=A0&amp;row=370&amp;col=7&amp;number=0&amp;sourceID=14","0")</f>
        <v>0</v>
      </c>
    </row>
    <row r="371" spans="1:7">
      <c r="A371" s="3">
        <v>12</v>
      </c>
      <c r="B371" s="3">
        <v>4</v>
      </c>
      <c r="C371" s="3">
        <v>21</v>
      </c>
      <c r="D371" s="3">
        <v>5</v>
      </c>
      <c r="E371" s="3">
        <v>69.519</v>
      </c>
      <c r="F371" s="4" t="str">
        <f>HYPERLINK("http://141.218.60.56/~jnz1568/getInfo.php?workbook=12_04.xlsx&amp;sheet=A0&amp;row=371&amp;col=6&amp;number=12.6&amp;sourceID=14","12.6")</f>
        <v>12.6</v>
      </c>
      <c r="G371" s="4" t="str">
        <f>HYPERLINK("http://141.218.60.56/~jnz1568/getInfo.php?workbook=12_04.xlsx&amp;sheet=A0&amp;row=371&amp;col=7&amp;number=0&amp;sourceID=14","0")</f>
        <v>0</v>
      </c>
    </row>
    <row r="372" spans="1:7">
      <c r="A372" s="3">
        <v>12</v>
      </c>
      <c r="B372" s="3">
        <v>4</v>
      </c>
      <c r="C372" s="3">
        <v>22</v>
      </c>
      <c r="D372" s="3">
        <v>5</v>
      </c>
      <c r="E372" s="3">
        <v>69.466</v>
      </c>
      <c r="F372" s="4" t="str">
        <f>HYPERLINK("http://141.218.60.56/~jnz1568/getInfo.php?workbook=12_04.xlsx&amp;sheet=A0&amp;row=372&amp;col=6&amp;number=4730&amp;sourceID=14","4730")</f>
        <v>4730</v>
      </c>
      <c r="G372" s="4" t="str">
        <f>HYPERLINK("http://141.218.60.56/~jnz1568/getInfo.php?workbook=12_04.xlsx&amp;sheet=A0&amp;row=372&amp;col=7&amp;number=0&amp;sourceID=14","0")</f>
        <v>0</v>
      </c>
    </row>
    <row r="373" spans="1:7">
      <c r="A373" s="3">
        <v>12</v>
      </c>
      <c r="B373" s="3">
        <v>4</v>
      </c>
      <c r="C373" s="3">
        <v>23</v>
      </c>
      <c r="D373" s="3">
        <v>5</v>
      </c>
      <c r="E373" s="3">
        <v>69.338</v>
      </c>
      <c r="F373" s="4" t="str">
        <f>HYPERLINK("http://141.218.60.56/~jnz1568/getInfo.php?workbook=12_04.xlsx&amp;sheet=A0&amp;row=373&amp;col=6&amp;number=39.4&amp;sourceID=14","39.4")</f>
        <v>39.4</v>
      </c>
      <c r="G373" s="4" t="str">
        <f>HYPERLINK("http://141.218.60.56/~jnz1568/getInfo.php?workbook=12_04.xlsx&amp;sheet=A0&amp;row=373&amp;col=7&amp;number=0&amp;sourceID=14","0")</f>
        <v>0</v>
      </c>
    </row>
    <row r="374" spans="1:7">
      <c r="A374" s="3">
        <v>12</v>
      </c>
      <c r="B374" s="3">
        <v>4</v>
      </c>
      <c r="C374" s="3">
        <v>24</v>
      </c>
      <c r="D374" s="3">
        <v>5</v>
      </c>
      <c r="E374" s="3">
        <v>67.965</v>
      </c>
      <c r="F374" s="4" t="str">
        <f>HYPERLINK("http://141.218.60.56/~jnz1568/getInfo.php?workbook=12_04.xlsx&amp;sheet=A0&amp;row=374&amp;col=6&amp;number=743000&amp;sourceID=14","743000")</f>
        <v>743000</v>
      </c>
      <c r="G374" s="4" t="str">
        <f>HYPERLINK("http://141.218.60.56/~jnz1568/getInfo.php?workbook=12_04.xlsx&amp;sheet=A0&amp;row=374&amp;col=7&amp;number=0&amp;sourceID=14","0")</f>
        <v>0</v>
      </c>
    </row>
    <row r="375" spans="1:7">
      <c r="A375" s="3">
        <v>12</v>
      </c>
      <c r="B375" s="3">
        <v>4</v>
      </c>
      <c r="C375" s="3">
        <v>25</v>
      </c>
      <c r="D375" s="3">
        <v>5</v>
      </c>
      <c r="E375" s="3">
        <v>67.731</v>
      </c>
      <c r="F375" s="4" t="str">
        <f>HYPERLINK("http://141.218.60.56/~jnz1568/getInfo.php?workbook=12_04.xlsx&amp;sheet=A0&amp;row=375&amp;col=6&amp;number=176000000000&amp;sourceID=14","176000000000")</f>
        <v>176000000000</v>
      </c>
      <c r="G375" s="4" t="str">
        <f>HYPERLINK("http://141.218.60.56/~jnz1568/getInfo.php?workbook=12_04.xlsx&amp;sheet=A0&amp;row=375&amp;col=7&amp;number=0&amp;sourceID=14","0")</f>
        <v>0</v>
      </c>
    </row>
    <row r="376" spans="1:7">
      <c r="A376" s="3">
        <v>12</v>
      </c>
      <c r="B376" s="3">
        <v>4</v>
      </c>
      <c r="C376" s="3">
        <v>26</v>
      </c>
      <c r="D376" s="3">
        <v>5</v>
      </c>
      <c r="E376" s="3">
        <v>67.395</v>
      </c>
      <c r="F376" s="4" t="str">
        <f>HYPERLINK("http://141.218.60.56/~jnz1568/getInfo.php?workbook=12_04.xlsx&amp;sheet=A0&amp;row=376&amp;col=6&amp;number=7520000000&amp;sourceID=14","7520000000")</f>
        <v>7520000000</v>
      </c>
      <c r="G376" s="4" t="str">
        <f>HYPERLINK("http://141.218.60.56/~jnz1568/getInfo.php?workbook=12_04.xlsx&amp;sheet=A0&amp;row=376&amp;col=7&amp;number=0&amp;sourceID=14","0")</f>
        <v>0</v>
      </c>
    </row>
    <row r="377" spans="1:7">
      <c r="A377" s="3">
        <v>12</v>
      </c>
      <c r="B377" s="3">
        <v>4</v>
      </c>
      <c r="C377" s="3">
        <v>27</v>
      </c>
      <c r="D377" s="3">
        <v>5</v>
      </c>
      <c r="E377" s="3">
        <v>67.35</v>
      </c>
      <c r="F377" s="4" t="str">
        <f>HYPERLINK("http://141.218.60.56/~jnz1568/getInfo.php?workbook=12_04.xlsx&amp;sheet=A0&amp;row=377&amp;col=6&amp;number=115000000&amp;sourceID=14","115000000")</f>
        <v>115000000</v>
      </c>
      <c r="G377" s="4" t="str">
        <f>HYPERLINK("http://141.218.60.56/~jnz1568/getInfo.php?workbook=12_04.xlsx&amp;sheet=A0&amp;row=377&amp;col=7&amp;number=0&amp;sourceID=14","0")</f>
        <v>0</v>
      </c>
    </row>
    <row r="378" spans="1:7">
      <c r="A378" s="3">
        <v>12</v>
      </c>
      <c r="B378" s="3">
        <v>4</v>
      </c>
      <c r="C378" s="3">
        <v>28</v>
      </c>
      <c r="D378" s="3">
        <v>5</v>
      </c>
      <c r="E378" s="3">
        <v>67.237</v>
      </c>
      <c r="F378" s="4" t="str">
        <f>HYPERLINK("http://141.218.60.56/~jnz1568/getInfo.php?workbook=12_04.xlsx&amp;sheet=A0&amp;row=378&amp;col=6&amp;number=2290&amp;sourceID=14","2290")</f>
        <v>2290</v>
      </c>
      <c r="G378" s="4" t="str">
        <f>HYPERLINK("http://141.218.60.56/~jnz1568/getInfo.php?workbook=12_04.xlsx&amp;sheet=A0&amp;row=378&amp;col=7&amp;number=0&amp;sourceID=14","0")</f>
        <v>0</v>
      </c>
    </row>
    <row r="379" spans="1:7">
      <c r="A379" s="3">
        <v>12</v>
      </c>
      <c r="B379" s="3">
        <v>4</v>
      </c>
      <c r="C379" s="3">
        <v>29</v>
      </c>
      <c r="D379" s="3">
        <v>5</v>
      </c>
      <c r="E379" s="3">
        <v>66.725</v>
      </c>
      <c r="F379" s="4" t="str">
        <f>HYPERLINK("http://141.218.60.56/~jnz1568/getInfo.php?workbook=12_04.xlsx&amp;sheet=A0&amp;row=379&amp;col=6&amp;number=908000000&amp;sourceID=14","908000000")</f>
        <v>908000000</v>
      </c>
      <c r="G379" s="4" t="str">
        <f>HYPERLINK("http://141.218.60.56/~jnz1568/getInfo.php?workbook=12_04.xlsx&amp;sheet=A0&amp;row=379&amp;col=7&amp;number=0&amp;sourceID=14","0")</f>
        <v>0</v>
      </c>
    </row>
    <row r="380" spans="1:7">
      <c r="A380" s="3">
        <v>12</v>
      </c>
      <c r="B380" s="3">
        <v>4</v>
      </c>
      <c r="C380" s="3">
        <v>30</v>
      </c>
      <c r="D380" s="3">
        <v>5</v>
      </c>
      <c r="E380" s="3">
        <v>-66.762</v>
      </c>
      <c r="F380" s="4" t="str">
        <f>HYPERLINK("http://141.218.60.56/~jnz1568/getInfo.php?workbook=12_04.xlsx&amp;sheet=A0&amp;row=380&amp;col=6&amp;number=102000000&amp;sourceID=14","102000000")</f>
        <v>102000000</v>
      </c>
      <c r="G380" s="4" t="str">
        <f>HYPERLINK("http://141.218.60.56/~jnz1568/getInfo.php?workbook=12_04.xlsx&amp;sheet=A0&amp;row=380&amp;col=7&amp;number=0&amp;sourceID=14","0")</f>
        <v>0</v>
      </c>
    </row>
    <row r="381" spans="1:7">
      <c r="A381" s="3">
        <v>12</v>
      </c>
      <c r="B381" s="3">
        <v>4</v>
      </c>
      <c r="C381" s="3">
        <v>31</v>
      </c>
      <c r="D381" s="3">
        <v>5</v>
      </c>
      <c r="E381" s="3">
        <v>66.357</v>
      </c>
      <c r="F381" s="4" t="str">
        <f>HYPERLINK("http://141.218.60.56/~jnz1568/getInfo.php?workbook=12_04.xlsx&amp;sheet=A0&amp;row=381&amp;col=6&amp;number=107000000&amp;sourceID=14","107000000")</f>
        <v>107000000</v>
      </c>
      <c r="G381" s="4" t="str">
        <f>HYPERLINK("http://141.218.60.56/~jnz1568/getInfo.php?workbook=12_04.xlsx&amp;sheet=A0&amp;row=381&amp;col=7&amp;number=0&amp;sourceID=14","0")</f>
        <v>0</v>
      </c>
    </row>
    <row r="382" spans="1:7">
      <c r="A382" s="3">
        <v>12</v>
      </c>
      <c r="B382" s="3">
        <v>4</v>
      </c>
      <c r="C382" s="3">
        <v>32</v>
      </c>
      <c r="D382" s="3">
        <v>5</v>
      </c>
      <c r="E382" s="3">
        <v>66.3</v>
      </c>
      <c r="F382" s="4" t="str">
        <f>HYPERLINK("http://141.218.60.56/~jnz1568/getInfo.php?workbook=12_04.xlsx&amp;sheet=A0&amp;row=382&amp;col=6&amp;number=729000000&amp;sourceID=14","729000000")</f>
        <v>729000000</v>
      </c>
      <c r="G382" s="4" t="str">
        <f>HYPERLINK("http://141.218.60.56/~jnz1568/getInfo.php?workbook=12_04.xlsx&amp;sheet=A0&amp;row=382&amp;col=7&amp;number=0&amp;sourceID=14","0")</f>
        <v>0</v>
      </c>
    </row>
    <row r="383" spans="1:7">
      <c r="A383" s="3">
        <v>12</v>
      </c>
      <c r="B383" s="3">
        <v>4</v>
      </c>
      <c r="C383" s="3">
        <v>33</v>
      </c>
      <c r="D383" s="3">
        <v>5</v>
      </c>
      <c r="E383" s="3">
        <v>-66.398</v>
      </c>
      <c r="F383" s="4" t="str">
        <f>HYPERLINK("http://141.218.60.56/~jnz1568/getInfo.php?workbook=12_04.xlsx&amp;sheet=A0&amp;row=383&amp;col=6&amp;number=10800000&amp;sourceID=14","10800000")</f>
        <v>10800000</v>
      </c>
      <c r="G383" s="4" t="str">
        <f>HYPERLINK("http://141.218.60.56/~jnz1568/getInfo.php?workbook=12_04.xlsx&amp;sheet=A0&amp;row=383&amp;col=7&amp;number=0&amp;sourceID=14","0")</f>
        <v>0</v>
      </c>
    </row>
    <row r="384" spans="1:7">
      <c r="A384" s="3">
        <v>12</v>
      </c>
      <c r="B384" s="3">
        <v>4</v>
      </c>
      <c r="C384" s="3">
        <v>34</v>
      </c>
      <c r="D384" s="3">
        <v>5</v>
      </c>
      <c r="E384" s="3">
        <v>-66.308</v>
      </c>
      <c r="F384" s="4" t="str">
        <f>HYPERLINK("http://141.218.60.56/~jnz1568/getInfo.php?workbook=12_04.xlsx&amp;sheet=A0&amp;row=384&amp;col=6&amp;number=9140&amp;sourceID=14","9140")</f>
        <v>9140</v>
      </c>
      <c r="G384" s="4" t="str">
        <f>HYPERLINK("http://141.218.60.56/~jnz1568/getInfo.php?workbook=12_04.xlsx&amp;sheet=A0&amp;row=384&amp;col=7&amp;number=0&amp;sourceID=14","0")</f>
        <v>0</v>
      </c>
    </row>
    <row r="385" spans="1:7">
      <c r="A385" s="3">
        <v>12</v>
      </c>
      <c r="B385" s="3">
        <v>4</v>
      </c>
      <c r="C385" s="3">
        <v>35</v>
      </c>
      <c r="D385" s="3">
        <v>5</v>
      </c>
      <c r="E385" s="3">
        <v>65.878</v>
      </c>
      <c r="F385" s="4" t="str">
        <f>HYPERLINK("http://141.218.60.56/~jnz1568/getInfo.php?workbook=12_04.xlsx&amp;sheet=A0&amp;row=385&amp;col=6&amp;number=41600000&amp;sourceID=14","41600000")</f>
        <v>41600000</v>
      </c>
      <c r="G385" s="4" t="str">
        <f>HYPERLINK("http://141.218.60.56/~jnz1568/getInfo.php?workbook=12_04.xlsx&amp;sheet=A0&amp;row=385&amp;col=7&amp;number=0&amp;sourceID=14","0")</f>
        <v>0</v>
      </c>
    </row>
    <row r="386" spans="1:7">
      <c r="A386" s="3">
        <v>12</v>
      </c>
      <c r="B386" s="3">
        <v>4</v>
      </c>
      <c r="C386" s="3">
        <v>36</v>
      </c>
      <c r="D386" s="3">
        <v>5</v>
      </c>
      <c r="E386" s="3">
        <v>-66.219</v>
      </c>
      <c r="F386" s="4" t="str">
        <f>HYPERLINK("http://141.218.60.56/~jnz1568/getInfo.php?workbook=12_04.xlsx&amp;sheet=A0&amp;row=386&amp;col=6&amp;number=0.545&amp;sourceID=14","0.545")</f>
        <v>0.545</v>
      </c>
      <c r="G386" s="4" t="str">
        <f>HYPERLINK("http://141.218.60.56/~jnz1568/getInfo.php?workbook=12_04.xlsx&amp;sheet=A0&amp;row=386&amp;col=7&amp;number=0&amp;sourceID=14","0")</f>
        <v>0</v>
      </c>
    </row>
    <row r="387" spans="1:7">
      <c r="A387" s="3">
        <v>12</v>
      </c>
      <c r="B387" s="3">
        <v>4</v>
      </c>
      <c r="C387" s="3">
        <v>37</v>
      </c>
      <c r="D387" s="3">
        <v>5</v>
      </c>
      <c r="E387" s="3">
        <v>65.609</v>
      </c>
      <c r="F387" s="4" t="str">
        <f>HYPERLINK("http://141.218.60.56/~jnz1568/getInfo.php?workbook=12_04.xlsx&amp;sheet=A0&amp;row=387&amp;col=6&amp;number=224000000000&amp;sourceID=14","224000000000")</f>
        <v>224000000000</v>
      </c>
      <c r="G387" s="4" t="str">
        <f>HYPERLINK("http://141.218.60.56/~jnz1568/getInfo.php?workbook=12_04.xlsx&amp;sheet=A0&amp;row=387&amp;col=7&amp;number=0&amp;sourceID=14","0")</f>
        <v>0</v>
      </c>
    </row>
    <row r="388" spans="1:7">
      <c r="A388" s="3">
        <v>12</v>
      </c>
      <c r="B388" s="3">
        <v>4</v>
      </c>
      <c r="C388" s="3">
        <v>38</v>
      </c>
      <c r="D388" s="3">
        <v>5</v>
      </c>
      <c r="E388" s="3">
        <v>65.12</v>
      </c>
      <c r="F388" s="4" t="str">
        <f>HYPERLINK("http://141.218.60.56/~jnz1568/getInfo.php?workbook=12_04.xlsx&amp;sheet=A0&amp;row=388&amp;col=6&amp;number=68600&amp;sourceID=14","68600")</f>
        <v>68600</v>
      </c>
      <c r="G388" s="4" t="str">
        <f>HYPERLINK("http://141.218.60.56/~jnz1568/getInfo.php?workbook=12_04.xlsx&amp;sheet=A0&amp;row=388&amp;col=7&amp;number=0&amp;sourceID=14","0")</f>
        <v>0</v>
      </c>
    </row>
    <row r="389" spans="1:7">
      <c r="A389" s="3">
        <v>12</v>
      </c>
      <c r="B389" s="3">
        <v>4</v>
      </c>
      <c r="C389" s="3">
        <v>39</v>
      </c>
      <c r="D389" s="3">
        <v>5</v>
      </c>
      <c r="E389" s="3">
        <v>65.097</v>
      </c>
      <c r="F389" s="4" t="str">
        <f>HYPERLINK("http://141.218.60.56/~jnz1568/getInfo.php?workbook=12_04.xlsx&amp;sheet=A0&amp;row=389&amp;col=6&amp;number=100000&amp;sourceID=14","100000")</f>
        <v>100000</v>
      </c>
      <c r="G389" s="4" t="str">
        <f>HYPERLINK("http://141.218.60.56/~jnz1568/getInfo.php?workbook=12_04.xlsx&amp;sheet=A0&amp;row=389&amp;col=7&amp;number=0&amp;sourceID=14","0")</f>
        <v>0</v>
      </c>
    </row>
    <row r="390" spans="1:7">
      <c r="A390" s="3">
        <v>12</v>
      </c>
      <c r="B390" s="3">
        <v>4</v>
      </c>
      <c r="C390" s="3">
        <v>40</v>
      </c>
      <c r="D390" s="3">
        <v>5</v>
      </c>
      <c r="E390" s="3">
        <v>65.055</v>
      </c>
      <c r="F390" s="4" t="str">
        <f>HYPERLINK("http://141.218.60.56/~jnz1568/getInfo.php?workbook=12_04.xlsx&amp;sheet=A0&amp;row=390&amp;col=6&amp;number=27300&amp;sourceID=14","27300")</f>
        <v>27300</v>
      </c>
      <c r="G390" s="4" t="str">
        <f>HYPERLINK("http://141.218.60.56/~jnz1568/getInfo.php?workbook=12_04.xlsx&amp;sheet=A0&amp;row=390&amp;col=7&amp;number=0&amp;sourceID=14","0")</f>
        <v>0</v>
      </c>
    </row>
    <row r="391" spans="1:7">
      <c r="A391" s="3">
        <v>12</v>
      </c>
      <c r="B391" s="3">
        <v>4</v>
      </c>
      <c r="C391" s="3">
        <v>41</v>
      </c>
      <c r="D391" s="3">
        <v>5</v>
      </c>
      <c r="E391" s="3">
        <v>64.787</v>
      </c>
      <c r="F391" s="4" t="str">
        <f>HYPERLINK("http://141.218.60.56/~jnz1568/getInfo.php?workbook=12_04.xlsx&amp;sheet=A0&amp;row=391&amp;col=6&amp;number=143000&amp;sourceID=14","143000")</f>
        <v>143000</v>
      </c>
      <c r="G391" s="4" t="str">
        <f>HYPERLINK("http://141.218.60.56/~jnz1568/getInfo.php?workbook=12_04.xlsx&amp;sheet=A0&amp;row=391&amp;col=7&amp;number=0&amp;sourceID=14","0")</f>
        <v>0</v>
      </c>
    </row>
    <row r="392" spans="1:7">
      <c r="A392" s="3">
        <v>12</v>
      </c>
      <c r="B392" s="3">
        <v>4</v>
      </c>
      <c r="C392" s="3">
        <v>42</v>
      </c>
      <c r="D392" s="3">
        <v>5</v>
      </c>
      <c r="E392" s="3">
        <v>64.745</v>
      </c>
      <c r="F392" s="4" t="str">
        <f>HYPERLINK("http://141.218.60.56/~jnz1568/getInfo.php?workbook=12_04.xlsx&amp;sheet=A0&amp;row=392&amp;col=6&amp;number=32100&amp;sourceID=14","32100")</f>
        <v>32100</v>
      </c>
      <c r="G392" s="4" t="str">
        <f>HYPERLINK("http://141.218.60.56/~jnz1568/getInfo.php?workbook=12_04.xlsx&amp;sheet=A0&amp;row=392&amp;col=7&amp;number=0&amp;sourceID=14","0")</f>
        <v>0</v>
      </c>
    </row>
    <row r="393" spans="1:7">
      <c r="A393" s="3">
        <v>12</v>
      </c>
      <c r="B393" s="3">
        <v>4</v>
      </c>
      <c r="C393" s="3">
        <v>43</v>
      </c>
      <c r="D393" s="3">
        <v>5</v>
      </c>
      <c r="E393" s="3">
        <v>64.723</v>
      </c>
      <c r="F393" s="4" t="str">
        <f>HYPERLINK("http://141.218.60.56/~jnz1568/getInfo.php?workbook=12_04.xlsx&amp;sheet=A0&amp;row=393&amp;col=6&amp;number=0.682&amp;sourceID=14","0.682")</f>
        <v>0.682</v>
      </c>
      <c r="G393" s="4" t="str">
        <f>HYPERLINK("http://141.218.60.56/~jnz1568/getInfo.php?workbook=12_04.xlsx&amp;sheet=A0&amp;row=393&amp;col=7&amp;number=0&amp;sourceID=14","0")</f>
        <v>0</v>
      </c>
    </row>
    <row r="394" spans="1:7">
      <c r="A394" s="3">
        <v>12</v>
      </c>
      <c r="B394" s="3">
        <v>4</v>
      </c>
      <c r="C394" s="3">
        <v>44</v>
      </c>
      <c r="D394" s="3">
        <v>5</v>
      </c>
      <c r="E394" s="3">
        <v>-64.44</v>
      </c>
      <c r="F394" s="4" t="str">
        <f>HYPERLINK("http://141.218.60.56/~jnz1568/getInfo.php?workbook=12_04.xlsx&amp;sheet=A0&amp;row=394&amp;col=6&amp;number=109000000000&amp;sourceID=14","109000000000")</f>
        <v>109000000000</v>
      </c>
      <c r="G394" s="4" t="str">
        <f>HYPERLINK("http://141.218.60.56/~jnz1568/getInfo.php?workbook=12_04.xlsx&amp;sheet=A0&amp;row=394&amp;col=7&amp;number=0&amp;sourceID=14","0")</f>
        <v>0</v>
      </c>
    </row>
    <row r="395" spans="1:7">
      <c r="A395" s="3">
        <v>12</v>
      </c>
      <c r="B395" s="3">
        <v>4</v>
      </c>
      <c r="C395" s="3">
        <v>45</v>
      </c>
      <c r="D395" s="3">
        <v>5</v>
      </c>
      <c r="E395" s="3">
        <v>63.98</v>
      </c>
      <c r="F395" s="4" t="str">
        <f>HYPERLINK("http://141.218.60.56/~jnz1568/getInfo.php?workbook=12_04.xlsx&amp;sheet=A0&amp;row=395&amp;col=6&amp;number=41000000&amp;sourceID=14","41000000")</f>
        <v>41000000</v>
      </c>
      <c r="G395" s="4" t="str">
        <f>HYPERLINK("http://141.218.60.56/~jnz1568/getInfo.php?workbook=12_04.xlsx&amp;sheet=A0&amp;row=395&amp;col=7&amp;number=0&amp;sourceID=14","0")</f>
        <v>0</v>
      </c>
    </row>
    <row r="396" spans="1:7">
      <c r="A396" s="3">
        <v>12</v>
      </c>
      <c r="B396" s="3">
        <v>4</v>
      </c>
      <c r="C396" s="3">
        <v>46</v>
      </c>
      <c r="D396" s="3">
        <v>5</v>
      </c>
      <c r="E396" s="3">
        <v>63.7</v>
      </c>
      <c r="F396" s="4" t="str">
        <f>HYPERLINK("http://141.218.60.56/~jnz1568/getInfo.php?workbook=12_04.xlsx&amp;sheet=A0&amp;row=396&amp;col=6&amp;number=53900000&amp;sourceID=14","53900000")</f>
        <v>53900000</v>
      </c>
      <c r="G396" s="4" t="str">
        <f>HYPERLINK("http://141.218.60.56/~jnz1568/getInfo.php?workbook=12_04.xlsx&amp;sheet=A0&amp;row=396&amp;col=7&amp;number=0&amp;sourceID=14","0")</f>
        <v>0</v>
      </c>
    </row>
    <row r="397" spans="1:7">
      <c r="A397" s="3">
        <v>12</v>
      </c>
      <c r="B397" s="3">
        <v>4</v>
      </c>
      <c r="C397" s="3">
        <v>47</v>
      </c>
      <c r="D397" s="3">
        <v>5</v>
      </c>
      <c r="E397" s="3">
        <v>-56.81</v>
      </c>
      <c r="F397" s="4" t="str">
        <f>HYPERLINK("http://141.218.60.56/~jnz1568/getInfo.php?workbook=12_04.xlsx&amp;sheet=A0&amp;row=397&amp;col=6&amp;number=5030000&amp;sourceID=14","5030000")</f>
        <v>5030000</v>
      </c>
      <c r="G397" s="4" t="str">
        <f>HYPERLINK("http://141.218.60.56/~jnz1568/getInfo.php?workbook=12_04.xlsx&amp;sheet=A0&amp;row=397&amp;col=7&amp;number=0&amp;sourceID=14","0")</f>
        <v>0</v>
      </c>
    </row>
    <row r="398" spans="1:7">
      <c r="A398" s="3">
        <v>12</v>
      </c>
      <c r="B398" s="3">
        <v>4</v>
      </c>
      <c r="C398" s="3">
        <v>48</v>
      </c>
      <c r="D398" s="3">
        <v>5</v>
      </c>
      <c r="E398" s="3">
        <v>-56.487</v>
      </c>
      <c r="F398" s="4" t="str">
        <f>HYPERLINK("http://141.218.60.56/~jnz1568/getInfo.php?workbook=12_04.xlsx&amp;sheet=A0&amp;row=398&amp;col=6&amp;number=46700000000&amp;sourceID=14","46700000000")</f>
        <v>46700000000</v>
      </c>
      <c r="G398" s="4" t="str">
        <f>HYPERLINK("http://141.218.60.56/~jnz1568/getInfo.php?workbook=12_04.xlsx&amp;sheet=A0&amp;row=398&amp;col=7&amp;number=0&amp;sourceID=14","0")</f>
        <v>0</v>
      </c>
    </row>
    <row r="399" spans="1:7">
      <c r="A399" s="3">
        <v>12</v>
      </c>
      <c r="B399" s="3">
        <v>4</v>
      </c>
      <c r="C399" s="3">
        <v>49</v>
      </c>
      <c r="D399" s="3">
        <v>5</v>
      </c>
      <c r="E399" s="3">
        <v>-56.028</v>
      </c>
      <c r="F399" s="4" t="str">
        <f>HYPERLINK("http://141.218.60.56/~jnz1568/getInfo.php?workbook=12_04.xlsx&amp;sheet=A0&amp;row=399&amp;col=6&amp;number=54.9&amp;sourceID=14","54.9")</f>
        <v>54.9</v>
      </c>
      <c r="G399" s="4" t="str">
        <f>HYPERLINK("http://141.218.60.56/~jnz1568/getInfo.php?workbook=12_04.xlsx&amp;sheet=A0&amp;row=399&amp;col=7&amp;number=0&amp;sourceID=14","0")</f>
        <v>0</v>
      </c>
    </row>
    <row r="400" spans="1:7">
      <c r="A400" s="3">
        <v>12</v>
      </c>
      <c r="B400" s="3">
        <v>4</v>
      </c>
      <c r="C400" s="3">
        <v>50</v>
      </c>
      <c r="D400" s="3">
        <v>5</v>
      </c>
      <c r="E400" s="3">
        <v>-56.024</v>
      </c>
      <c r="F400" s="4" t="str">
        <f>HYPERLINK("http://141.218.60.56/~jnz1568/getInfo.php?workbook=12_04.xlsx&amp;sheet=A0&amp;row=400&amp;col=6&amp;number=59700&amp;sourceID=14","59700")</f>
        <v>59700</v>
      </c>
      <c r="G400" s="4" t="str">
        <f>HYPERLINK("http://141.218.60.56/~jnz1568/getInfo.php?workbook=12_04.xlsx&amp;sheet=A0&amp;row=400&amp;col=7&amp;number=0&amp;sourceID=14","0")</f>
        <v>0</v>
      </c>
    </row>
    <row r="401" spans="1:7">
      <c r="A401" s="3">
        <v>12</v>
      </c>
      <c r="B401" s="3">
        <v>4</v>
      </c>
      <c r="C401" s="3">
        <v>51</v>
      </c>
      <c r="D401" s="3">
        <v>5</v>
      </c>
      <c r="E401" s="3">
        <v>-56.016</v>
      </c>
      <c r="F401" s="4" t="str">
        <f>HYPERLINK("http://141.218.60.56/~jnz1568/getInfo.php?workbook=12_04.xlsx&amp;sheet=A0&amp;row=401&amp;col=6&amp;number=2380&amp;sourceID=14","2380")</f>
        <v>2380</v>
      </c>
      <c r="G401" s="4" t="str">
        <f>HYPERLINK("http://141.218.60.56/~jnz1568/getInfo.php?workbook=12_04.xlsx&amp;sheet=A0&amp;row=401&amp;col=7&amp;number=0&amp;sourceID=14","0")</f>
        <v>0</v>
      </c>
    </row>
    <row r="402" spans="1:7">
      <c r="A402" s="3">
        <v>12</v>
      </c>
      <c r="B402" s="3">
        <v>4</v>
      </c>
      <c r="C402" s="3">
        <v>52</v>
      </c>
      <c r="D402" s="3">
        <v>5</v>
      </c>
      <c r="E402" s="3">
        <v>55.649</v>
      </c>
      <c r="F402" s="4" t="str">
        <f>HYPERLINK("http://141.218.60.56/~jnz1568/getInfo.php?workbook=12_04.xlsx&amp;sheet=A0&amp;row=402&amp;col=6&amp;number=13000000&amp;sourceID=14","13000000")</f>
        <v>13000000</v>
      </c>
      <c r="G402" s="4" t="str">
        <f>HYPERLINK("http://141.218.60.56/~jnz1568/getInfo.php?workbook=12_04.xlsx&amp;sheet=A0&amp;row=402&amp;col=7&amp;number=0&amp;sourceID=14","0")</f>
        <v>0</v>
      </c>
    </row>
    <row r="403" spans="1:7">
      <c r="A403" s="3">
        <v>12</v>
      </c>
      <c r="B403" s="3">
        <v>4</v>
      </c>
      <c r="C403" s="3">
        <v>53</v>
      </c>
      <c r="D403" s="3">
        <v>5</v>
      </c>
      <c r="E403" s="3">
        <v>55.301</v>
      </c>
      <c r="F403" s="4" t="str">
        <f>HYPERLINK("http://141.218.60.56/~jnz1568/getInfo.php?workbook=12_04.xlsx&amp;sheet=A0&amp;row=403&amp;col=6&amp;number=13000000&amp;sourceID=14","13000000")</f>
        <v>13000000</v>
      </c>
      <c r="G403" s="4" t="str">
        <f>HYPERLINK("http://141.218.60.56/~jnz1568/getInfo.php?workbook=12_04.xlsx&amp;sheet=A0&amp;row=403&amp;col=7&amp;number=0&amp;sourceID=14","0")</f>
        <v>0</v>
      </c>
    </row>
    <row r="404" spans="1:7">
      <c r="A404" s="3">
        <v>12</v>
      </c>
      <c r="B404" s="3">
        <v>4</v>
      </c>
      <c r="C404" s="3">
        <v>54</v>
      </c>
      <c r="D404" s="3">
        <v>5</v>
      </c>
      <c r="E404" s="3">
        <v>55.301</v>
      </c>
      <c r="F404" s="4" t="str">
        <f>HYPERLINK("http://141.218.60.56/~jnz1568/getInfo.php?workbook=12_04.xlsx&amp;sheet=A0&amp;row=404&amp;col=6&amp;number=6440000&amp;sourceID=14","6440000")</f>
        <v>6440000</v>
      </c>
      <c r="G404" s="4" t="str">
        <f>HYPERLINK("http://141.218.60.56/~jnz1568/getInfo.php?workbook=12_04.xlsx&amp;sheet=A0&amp;row=404&amp;col=7&amp;number=0&amp;sourceID=14","0")</f>
        <v>0</v>
      </c>
    </row>
    <row r="405" spans="1:7">
      <c r="A405" s="3">
        <v>12</v>
      </c>
      <c r="B405" s="3">
        <v>4</v>
      </c>
      <c r="C405" s="3">
        <v>55</v>
      </c>
      <c r="D405" s="3">
        <v>5</v>
      </c>
      <c r="E405" s="3">
        <v>55.299</v>
      </c>
      <c r="F405" s="4" t="str">
        <f>HYPERLINK("http://141.218.60.56/~jnz1568/getInfo.php?workbook=12_04.xlsx&amp;sheet=A0&amp;row=405&amp;col=6&amp;number=2170&amp;sourceID=14","2170")</f>
        <v>2170</v>
      </c>
      <c r="G405" s="4" t="str">
        <f>HYPERLINK("http://141.218.60.56/~jnz1568/getInfo.php?workbook=12_04.xlsx&amp;sheet=A0&amp;row=405&amp;col=7&amp;number=0&amp;sourceID=14","0")</f>
        <v>0</v>
      </c>
    </row>
    <row r="406" spans="1:7">
      <c r="A406" s="3">
        <v>12</v>
      </c>
      <c r="B406" s="3">
        <v>4</v>
      </c>
      <c r="C406" s="3">
        <v>56</v>
      </c>
      <c r="D406" s="3">
        <v>5</v>
      </c>
      <c r="E406" s="3">
        <v>55.06</v>
      </c>
      <c r="F406" s="4" t="str">
        <f>HYPERLINK("http://141.218.60.56/~jnz1568/getInfo.php?workbook=12_04.xlsx&amp;sheet=A0&amp;row=406&amp;col=6&amp;number=169000000000&amp;sourceID=14","169000000000")</f>
        <v>169000000000</v>
      </c>
      <c r="G406" s="4" t="str">
        <f>HYPERLINK("http://141.218.60.56/~jnz1568/getInfo.php?workbook=12_04.xlsx&amp;sheet=A0&amp;row=406&amp;col=7&amp;number=0&amp;sourceID=14","0")</f>
        <v>0</v>
      </c>
    </row>
    <row r="407" spans="1:7">
      <c r="A407" s="3">
        <v>12</v>
      </c>
      <c r="B407" s="3">
        <v>4</v>
      </c>
      <c r="C407" s="3">
        <v>57</v>
      </c>
      <c r="D407" s="3">
        <v>5</v>
      </c>
      <c r="E407" s="3">
        <v>-55.314</v>
      </c>
      <c r="F407" s="4" t="str">
        <f>HYPERLINK("http://141.218.60.56/~jnz1568/getInfo.php?workbook=12_04.xlsx&amp;sheet=A0&amp;row=407&amp;col=6&amp;number=1720&amp;sourceID=14","1720")</f>
        <v>1720</v>
      </c>
      <c r="G407" s="4" t="str">
        <f>HYPERLINK("http://141.218.60.56/~jnz1568/getInfo.php?workbook=12_04.xlsx&amp;sheet=A0&amp;row=407&amp;col=7&amp;number=0&amp;sourceID=14","0")</f>
        <v>0</v>
      </c>
    </row>
    <row r="408" spans="1:7">
      <c r="A408" s="3">
        <v>12</v>
      </c>
      <c r="B408" s="3">
        <v>4</v>
      </c>
      <c r="C408" s="3">
        <v>58</v>
      </c>
      <c r="D408" s="3">
        <v>5</v>
      </c>
      <c r="E408" s="3">
        <v>-55.313</v>
      </c>
      <c r="F408" s="4" t="str">
        <f>HYPERLINK("http://141.218.60.56/~jnz1568/getInfo.php?workbook=12_04.xlsx&amp;sheet=A0&amp;row=408&amp;col=6&amp;number=6.15&amp;sourceID=14","6.15")</f>
        <v>6.15</v>
      </c>
      <c r="G408" s="4" t="str">
        <f>HYPERLINK("http://141.218.60.56/~jnz1568/getInfo.php?workbook=12_04.xlsx&amp;sheet=A0&amp;row=408&amp;col=7&amp;number=0&amp;sourceID=14","0")</f>
        <v>0</v>
      </c>
    </row>
    <row r="409" spans="1:7">
      <c r="A409" s="3">
        <v>12</v>
      </c>
      <c r="B409" s="3">
        <v>4</v>
      </c>
      <c r="C409" s="3">
        <v>59</v>
      </c>
      <c r="D409" s="3">
        <v>5</v>
      </c>
      <c r="E409" s="3">
        <v>-55.312</v>
      </c>
      <c r="F409" s="4" t="str">
        <f>HYPERLINK("http://141.218.60.56/~jnz1568/getInfo.php?workbook=12_04.xlsx&amp;sheet=A0&amp;row=409&amp;col=6&amp;number=0.662&amp;sourceID=14","0.662")</f>
        <v>0.662</v>
      </c>
      <c r="G409" s="4" t="str">
        <f>HYPERLINK("http://141.218.60.56/~jnz1568/getInfo.php?workbook=12_04.xlsx&amp;sheet=A0&amp;row=409&amp;col=7&amp;number=0&amp;sourceID=14","0")</f>
        <v>0</v>
      </c>
    </row>
    <row r="410" spans="1:7">
      <c r="A410" s="3">
        <v>12</v>
      </c>
      <c r="B410" s="3">
        <v>4</v>
      </c>
      <c r="C410" s="3">
        <v>60</v>
      </c>
      <c r="D410" s="3">
        <v>5</v>
      </c>
      <c r="E410" s="3">
        <v>-55.234</v>
      </c>
      <c r="F410" s="4" t="str">
        <f>HYPERLINK("http://141.218.60.56/~jnz1568/getInfo.php?workbook=12_04.xlsx&amp;sheet=A0&amp;row=410&amp;col=6&amp;number=38600000&amp;sourceID=14","38600000")</f>
        <v>38600000</v>
      </c>
      <c r="G410" s="4" t="str">
        <f>HYPERLINK("http://141.218.60.56/~jnz1568/getInfo.php?workbook=12_04.xlsx&amp;sheet=A0&amp;row=410&amp;col=7&amp;number=0&amp;sourceID=14","0")</f>
        <v>0</v>
      </c>
    </row>
    <row r="411" spans="1:7">
      <c r="A411" s="3">
        <v>12</v>
      </c>
      <c r="B411" s="3">
        <v>4</v>
      </c>
      <c r="C411" s="3">
        <v>61</v>
      </c>
      <c r="D411" s="3">
        <v>5</v>
      </c>
      <c r="E411" s="3">
        <v>-51.916</v>
      </c>
      <c r="F411" s="4" t="str">
        <f>HYPERLINK("http://141.218.60.56/~jnz1568/getInfo.php?workbook=12_04.xlsx&amp;sheet=A0&amp;row=411&amp;col=6&amp;number=7.17&amp;sourceID=14","7.17")</f>
        <v>7.17</v>
      </c>
      <c r="G411" s="4" t="str">
        <f>HYPERLINK("http://141.218.60.56/~jnz1568/getInfo.php?workbook=12_04.xlsx&amp;sheet=A0&amp;row=411&amp;col=7&amp;number=0&amp;sourceID=14","0")</f>
        <v>0</v>
      </c>
    </row>
    <row r="412" spans="1:7">
      <c r="A412" s="3">
        <v>12</v>
      </c>
      <c r="B412" s="3">
        <v>4</v>
      </c>
      <c r="C412" s="3">
        <v>62</v>
      </c>
      <c r="D412" s="3">
        <v>5</v>
      </c>
      <c r="E412" s="3">
        <v>-51.892</v>
      </c>
      <c r="F412" s="4" t="str">
        <f>HYPERLINK("http://141.218.60.56/~jnz1568/getInfo.php?workbook=12_04.xlsx&amp;sheet=A0&amp;row=412&amp;col=6&amp;number=143000&amp;sourceID=14","143000")</f>
        <v>143000</v>
      </c>
      <c r="G412" s="4" t="str">
        <f>HYPERLINK("http://141.218.60.56/~jnz1568/getInfo.php?workbook=12_04.xlsx&amp;sheet=A0&amp;row=412&amp;col=7&amp;number=0&amp;sourceID=14","0")</f>
        <v>0</v>
      </c>
    </row>
    <row r="413" spans="1:7">
      <c r="A413" s="3">
        <v>12</v>
      </c>
      <c r="B413" s="3">
        <v>4</v>
      </c>
      <c r="C413" s="3">
        <v>63</v>
      </c>
      <c r="D413" s="3">
        <v>5</v>
      </c>
      <c r="E413" s="3">
        <v>-51.812</v>
      </c>
      <c r="F413" s="4" t="str">
        <f>HYPERLINK("http://141.218.60.56/~jnz1568/getInfo.php?workbook=12_04.xlsx&amp;sheet=A0&amp;row=413&amp;col=6&amp;number=629&amp;sourceID=14","629")</f>
        <v>629</v>
      </c>
      <c r="G413" s="4" t="str">
        <f>HYPERLINK("http://141.218.60.56/~jnz1568/getInfo.php?workbook=12_04.xlsx&amp;sheet=A0&amp;row=413&amp;col=7&amp;number=0&amp;sourceID=14","0")</f>
        <v>0</v>
      </c>
    </row>
    <row r="414" spans="1:7">
      <c r="A414" s="3">
        <v>12</v>
      </c>
      <c r="B414" s="3">
        <v>4</v>
      </c>
      <c r="C414" s="3">
        <v>64</v>
      </c>
      <c r="D414" s="3">
        <v>5</v>
      </c>
      <c r="E414" s="3">
        <v>-51.645</v>
      </c>
      <c r="F414" s="4" t="str">
        <f>HYPERLINK("http://141.218.60.56/~jnz1568/getInfo.php?workbook=12_04.xlsx&amp;sheet=A0&amp;row=414&amp;col=6&amp;number=3550000&amp;sourceID=14","3550000")</f>
        <v>3550000</v>
      </c>
      <c r="G414" s="4" t="str">
        <f>HYPERLINK("http://141.218.60.56/~jnz1568/getInfo.php?workbook=12_04.xlsx&amp;sheet=A0&amp;row=414&amp;col=7&amp;number=0&amp;sourceID=14","0")</f>
        <v>0</v>
      </c>
    </row>
    <row r="415" spans="1:7">
      <c r="A415" s="3">
        <v>12</v>
      </c>
      <c r="B415" s="3">
        <v>4</v>
      </c>
      <c r="C415" s="3">
        <v>65</v>
      </c>
      <c r="D415" s="3">
        <v>5</v>
      </c>
      <c r="E415" s="3">
        <v>-51.445</v>
      </c>
      <c r="F415" s="4" t="str">
        <f>HYPERLINK("http://141.218.60.56/~jnz1568/getInfo.php?workbook=12_04.xlsx&amp;sheet=A0&amp;row=415&amp;col=6&amp;number=73100000000&amp;sourceID=14","73100000000")</f>
        <v>73100000000</v>
      </c>
      <c r="G415" s="4" t="str">
        <f>HYPERLINK("http://141.218.60.56/~jnz1568/getInfo.php?workbook=12_04.xlsx&amp;sheet=A0&amp;row=415&amp;col=7&amp;number=0&amp;sourceID=14","0")</f>
        <v>0</v>
      </c>
    </row>
    <row r="416" spans="1:7">
      <c r="A416" s="3">
        <v>12</v>
      </c>
      <c r="B416" s="3">
        <v>4</v>
      </c>
      <c r="C416" s="3">
        <v>66</v>
      </c>
      <c r="D416" s="3">
        <v>5</v>
      </c>
      <c r="E416" s="3">
        <v>-51.377</v>
      </c>
      <c r="F416" s="4" t="str">
        <f>HYPERLINK("http://141.218.60.56/~jnz1568/getInfo.php?workbook=12_04.xlsx&amp;sheet=A0&amp;row=416&amp;col=6&amp;number=31400000000&amp;sourceID=14","31400000000")</f>
        <v>31400000000</v>
      </c>
      <c r="G416" s="4" t="str">
        <f>HYPERLINK("http://141.218.60.56/~jnz1568/getInfo.php?workbook=12_04.xlsx&amp;sheet=A0&amp;row=416&amp;col=7&amp;number=0&amp;sourceID=14","0")</f>
        <v>0</v>
      </c>
    </row>
    <row r="417" spans="1:7">
      <c r="A417" s="3">
        <v>12</v>
      </c>
      <c r="B417" s="3">
        <v>4</v>
      </c>
      <c r="C417" s="3">
        <v>67</v>
      </c>
      <c r="D417" s="3">
        <v>5</v>
      </c>
      <c r="E417" s="3">
        <v>-51.365</v>
      </c>
      <c r="F417" s="4" t="str">
        <f>HYPERLINK("http://141.218.60.56/~jnz1568/getInfo.php?workbook=12_04.xlsx&amp;sheet=A0&amp;row=417&amp;col=6&amp;number=925000000&amp;sourceID=14","925000000")</f>
        <v>925000000</v>
      </c>
      <c r="G417" s="4" t="str">
        <f>HYPERLINK("http://141.218.60.56/~jnz1568/getInfo.php?workbook=12_04.xlsx&amp;sheet=A0&amp;row=417&amp;col=7&amp;number=0&amp;sourceID=14","0")</f>
        <v>0</v>
      </c>
    </row>
    <row r="418" spans="1:7">
      <c r="A418" s="3">
        <v>12</v>
      </c>
      <c r="B418" s="3">
        <v>4</v>
      </c>
      <c r="C418" s="3">
        <v>68</v>
      </c>
      <c r="D418" s="3">
        <v>5</v>
      </c>
      <c r="E418" s="3">
        <v>51.072</v>
      </c>
      <c r="F418" s="4" t="str">
        <f>HYPERLINK("http://141.218.60.56/~jnz1568/getInfo.php?workbook=12_04.xlsx&amp;sheet=A0&amp;row=418&amp;col=6&amp;number=1360&amp;sourceID=14","1360")</f>
        <v>1360</v>
      </c>
      <c r="G418" s="4" t="str">
        <f>HYPERLINK("http://141.218.60.56/~jnz1568/getInfo.php?workbook=12_04.xlsx&amp;sheet=A0&amp;row=418&amp;col=7&amp;number=0&amp;sourceID=14","0")</f>
        <v>0</v>
      </c>
    </row>
    <row r="419" spans="1:7">
      <c r="A419" s="3">
        <v>12</v>
      </c>
      <c r="B419" s="3">
        <v>4</v>
      </c>
      <c r="C419" s="3">
        <v>69</v>
      </c>
      <c r="D419" s="3">
        <v>5</v>
      </c>
      <c r="E419" s="3">
        <v>-51.225</v>
      </c>
      <c r="F419" s="4" t="str">
        <f>HYPERLINK("http://141.218.60.56/~jnz1568/getInfo.php?workbook=12_04.xlsx&amp;sheet=A0&amp;row=419&amp;col=6&amp;number=5380000000&amp;sourceID=14","5380000000")</f>
        <v>5380000000</v>
      </c>
      <c r="G419" s="4" t="str">
        <f>HYPERLINK("http://141.218.60.56/~jnz1568/getInfo.php?workbook=12_04.xlsx&amp;sheet=A0&amp;row=419&amp;col=7&amp;number=0&amp;sourceID=14","0")</f>
        <v>0</v>
      </c>
    </row>
    <row r="420" spans="1:7">
      <c r="A420" s="3">
        <v>12</v>
      </c>
      <c r="B420" s="3">
        <v>4</v>
      </c>
      <c r="C420" s="3">
        <v>70</v>
      </c>
      <c r="D420" s="3">
        <v>5</v>
      </c>
      <c r="E420" s="3">
        <v>-51.208</v>
      </c>
      <c r="F420" s="4" t="str">
        <f>HYPERLINK("http://141.218.60.56/~jnz1568/getInfo.php?workbook=12_04.xlsx&amp;sheet=A0&amp;row=420&amp;col=6&amp;number=206000000&amp;sourceID=14","206000000")</f>
        <v>206000000</v>
      </c>
      <c r="G420" s="4" t="str">
        <f>HYPERLINK("http://141.218.60.56/~jnz1568/getInfo.php?workbook=12_04.xlsx&amp;sheet=A0&amp;row=420&amp;col=7&amp;number=0&amp;sourceID=14","0")</f>
        <v>0</v>
      </c>
    </row>
    <row r="421" spans="1:7">
      <c r="A421" s="3">
        <v>12</v>
      </c>
      <c r="B421" s="3">
        <v>4</v>
      </c>
      <c r="C421" s="3">
        <v>71</v>
      </c>
      <c r="D421" s="3">
        <v>5</v>
      </c>
      <c r="E421" s="3">
        <v>-51.158</v>
      </c>
      <c r="F421" s="4" t="str">
        <f>HYPERLINK("http://141.218.60.56/~jnz1568/getInfo.php?workbook=12_04.xlsx&amp;sheet=A0&amp;row=421&amp;col=6&amp;number=19600000&amp;sourceID=14","19600000")</f>
        <v>19600000</v>
      </c>
      <c r="G421" s="4" t="str">
        <f>HYPERLINK("http://141.218.60.56/~jnz1568/getInfo.php?workbook=12_04.xlsx&amp;sheet=A0&amp;row=421&amp;col=7&amp;number=0&amp;sourceID=14","0")</f>
        <v>0</v>
      </c>
    </row>
    <row r="422" spans="1:7">
      <c r="A422" s="3">
        <v>12</v>
      </c>
      <c r="B422" s="3">
        <v>4</v>
      </c>
      <c r="C422" s="3">
        <v>72</v>
      </c>
      <c r="D422" s="3">
        <v>5</v>
      </c>
      <c r="E422" s="3">
        <v>50.925</v>
      </c>
      <c r="F422" s="4" t="str">
        <f>HYPERLINK("http://141.218.60.56/~jnz1568/getInfo.php?workbook=12_04.xlsx&amp;sheet=A0&amp;row=422&amp;col=6&amp;number=1450000000&amp;sourceID=14","1450000000")</f>
        <v>1450000000</v>
      </c>
      <c r="G422" s="4" t="str">
        <f>HYPERLINK("http://141.218.60.56/~jnz1568/getInfo.php?workbook=12_04.xlsx&amp;sheet=A0&amp;row=422&amp;col=7&amp;number=0&amp;sourceID=14","0")</f>
        <v>0</v>
      </c>
    </row>
    <row r="423" spans="1:7">
      <c r="A423" s="3">
        <v>12</v>
      </c>
      <c r="B423" s="3">
        <v>4</v>
      </c>
      <c r="C423" s="3">
        <v>73</v>
      </c>
      <c r="D423" s="3">
        <v>5</v>
      </c>
      <c r="E423" s="3">
        <v>-51.066</v>
      </c>
      <c r="F423" s="4" t="str">
        <f>HYPERLINK("http://141.218.60.56/~jnz1568/getInfo.php?workbook=12_04.xlsx&amp;sheet=A0&amp;row=423&amp;col=6&amp;number=7350000&amp;sourceID=14","7350000")</f>
        <v>7350000</v>
      </c>
      <c r="G423" s="4" t="str">
        <f>HYPERLINK("http://141.218.60.56/~jnz1568/getInfo.php?workbook=12_04.xlsx&amp;sheet=A0&amp;row=423&amp;col=7&amp;number=0&amp;sourceID=14","0")</f>
        <v>0</v>
      </c>
    </row>
    <row r="424" spans="1:7">
      <c r="A424" s="3">
        <v>12</v>
      </c>
      <c r="B424" s="3">
        <v>4</v>
      </c>
      <c r="C424" s="3">
        <v>74</v>
      </c>
      <c r="D424" s="3">
        <v>5</v>
      </c>
      <c r="E424" s="3">
        <v>-51.016</v>
      </c>
      <c r="F424" s="4" t="str">
        <f>HYPERLINK("http://141.218.60.56/~jnz1568/getInfo.php?workbook=12_04.xlsx&amp;sheet=A0&amp;row=424&amp;col=6&amp;number=81000&amp;sourceID=14","81000")</f>
        <v>81000</v>
      </c>
      <c r="G424" s="4" t="str">
        <f>HYPERLINK("http://141.218.60.56/~jnz1568/getInfo.php?workbook=12_04.xlsx&amp;sheet=A0&amp;row=424&amp;col=7&amp;number=0&amp;sourceID=14","0")</f>
        <v>0</v>
      </c>
    </row>
    <row r="425" spans="1:7">
      <c r="A425" s="3">
        <v>12</v>
      </c>
      <c r="B425" s="3">
        <v>4</v>
      </c>
      <c r="C425" s="3">
        <v>75</v>
      </c>
      <c r="D425" s="3">
        <v>5</v>
      </c>
      <c r="E425" s="3">
        <v>50.774</v>
      </c>
      <c r="F425" s="4" t="str">
        <f>HYPERLINK("http://141.218.60.56/~jnz1568/getInfo.php?workbook=12_04.xlsx&amp;sheet=A0&amp;row=425&amp;col=6&amp;number=17000000&amp;sourceID=14","17000000")</f>
        <v>17000000</v>
      </c>
      <c r="G425" s="4" t="str">
        <f>HYPERLINK("http://141.218.60.56/~jnz1568/getInfo.php?workbook=12_04.xlsx&amp;sheet=A0&amp;row=425&amp;col=7&amp;number=0&amp;sourceID=14","0")</f>
        <v>0</v>
      </c>
    </row>
    <row r="426" spans="1:7">
      <c r="A426" s="3">
        <v>12</v>
      </c>
      <c r="B426" s="3">
        <v>4</v>
      </c>
      <c r="C426" s="3">
        <v>76</v>
      </c>
      <c r="D426" s="3">
        <v>5</v>
      </c>
      <c r="E426" s="3">
        <v>50.777</v>
      </c>
      <c r="F426" s="4" t="str">
        <f>HYPERLINK("http://141.218.60.56/~jnz1568/getInfo.php?workbook=12_04.xlsx&amp;sheet=A0&amp;row=426&amp;col=6&amp;number=93200000000&amp;sourceID=14","93200000000")</f>
        <v>93200000000</v>
      </c>
      <c r="G426" s="4" t="str">
        <f>HYPERLINK("http://141.218.60.56/~jnz1568/getInfo.php?workbook=12_04.xlsx&amp;sheet=A0&amp;row=426&amp;col=7&amp;number=0&amp;sourceID=14","0")</f>
        <v>0</v>
      </c>
    </row>
    <row r="427" spans="1:7">
      <c r="A427" s="3">
        <v>12</v>
      </c>
      <c r="B427" s="3">
        <v>4</v>
      </c>
      <c r="C427" s="3">
        <v>77</v>
      </c>
      <c r="D427" s="3">
        <v>5</v>
      </c>
      <c r="E427" s="3">
        <v>-50.96</v>
      </c>
      <c r="F427" s="4" t="str">
        <f>HYPERLINK("http://141.218.60.56/~jnz1568/getInfo.php?workbook=12_04.xlsx&amp;sheet=A0&amp;row=427&amp;col=6&amp;number=0.184&amp;sourceID=14","0.184")</f>
        <v>0.184</v>
      </c>
      <c r="G427" s="4" t="str">
        <f>HYPERLINK("http://141.218.60.56/~jnz1568/getInfo.php?workbook=12_04.xlsx&amp;sheet=A0&amp;row=427&amp;col=7&amp;number=0&amp;sourceID=14","0")</f>
        <v>0</v>
      </c>
    </row>
    <row r="428" spans="1:7">
      <c r="A428" s="3">
        <v>12</v>
      </c>
      <c r="B428" s="3">
        <v>4</v>
      </c>
      <c r="C428" s="3">
        <v>78</v>
      </c>
      <c r="D428" s="3">
        <v>5</v>
      </c>
      <c r="E428" s="3">
        <v>-50.882</v>
      </c>
      <c r="F428" s="4" t="str">
        <f>HYPERLINK("http://141.218.60.56/~jnz1568/getInfo.php?workbook=12_04.xlsx&amp;sheet=A0&amp;row=428&amp;col=6&amp;number=122000&amp;sourceID=14","122000")</f>
        <v>122000</v>
      </c>
      <c r="G428" s="4" t="str">
        <f>HYPERLINK("http://141.218.60.56/~jnz1568/getInfo.php?workbook=12_04.xlsx&amp;sheet=A0&amp;row=428&amp;col=7&amp;number=0&amp;sourceID=14","0")</f>
        <v>0</v>
      </c>
    </row>
    <row r="429" spans="1:7">
      <c r="A429" s="3">
        <v>12</v>
      </c>
      <c r="B429" s="3">
        <v>4</v>
      </c>
      <c r="C429" s="3">
        <v>79</v>
      </c>
      <c r="D429" s="3">
        <v>5</v>
      </c>
      <c r="E429" s="3">
        <v>-50.866</v>
      </c>
      <c r="F429" s="4" t="str">
        <f>HYPERLINK("http://141.218.60.56/~jnz1568/getInfo.php?workbook=12_04.xlsx&amp;sheet=A0&amp;row=429&amp;col=6&amp;number=1180000&amp;sourceID=14","1180000")</f>
        <v>1180000</v>
      </c>
      <c r="G429" s="4" t="str">
        <f>HYPERLINK("http://141.218.60.56/~jnz1568/getInfo.php?workbook=12_04.xlsx&amp;sheet=A0&amp;row=429&amp;col=7&amp;number=0&amp;sourceID=14","0")</f>
        <v>0</v>
      </c>
    </row>
    <row r="430" spans="1:7">
      <c r="A430" s="3">
        <v>12</v>
      </c>
      <c r="B430" s="3">
        <v>4</v>
      </c>
      <c r="C430" s="3">
        <v>80</v>
      </c>
      <c r="D430" s="3">
        <v>5</v>
      </c>
      <c r="E430" s="3">
        <v>-50.834</v>
      </c>
      <c r="F430" s="4" t="str">
        <f>HYPERLINK("http://141.218.60.56/~jnz1568/getInfo.php?workbook=12_04.xlsx&amp;sheet=A0&amp;row=430&amp;col=6&amp;number=1740&amp;sourceID=14","1740")</f>
        <v>1740</v>
      </c>
      <c r="G430" s="4" t="str">
        <f>HYPERLINK("http://141.218.60.56/~jnz1568/getInfo.php?workbook=12_04.xlsx&amp;sheet=A0&amp;row=430&amp;col=7&amp;number=0&amp;sourceID=14","0")</f>
        <v>0</v>
      </c>
    </row>
    <row r="431" spans="1:7">
      <c r="A431" s="3">
        <v>12</v>
      </c>
      <c r="B431" s="3">
        <v>4</v>
      </c>
      <c r="C431" s="3">
        <v>81</v>
      </c>
      <c r="D431" s="3">
        <v>5</v>
      </c>
      <c r="E431" s="3">
        <v>50.593</v>
      </c>
      <c r="F431" s="4" t="str">
        <f>HYPERLINK("http://141.218.60.56/~jnz1568/getInfo.php?workbook=12_04.xlsx&amp;sheet=A0&amp;row=431&amp;col=6&amp;number=54200&amp;sourceID=14","54200")</f>
        <v>54200</v>
      </c>
      <c r="G431" s="4" t="str">
        <f>HYPERLINK("http://141.218.60.56/~jnz1568/getInfo.php?workbook=12_04.xlsx&amp;sheet=A0&amp;row=431&amp;col=7&amp;number=0&amp;sourceID=14","0")</f>
        <v>0</v>
      </c>
    </row>
    <row r="432" spans="1:7">
      <c r="A432" s="3">
        <v>12</v>
      </c>
      <c r="B432" s="3">
        <v>4</v>
      </c>
      <c r="C432" s="3">
        <v>82</v>
      </c>
      <c r="D432" s="3">
        <v>5</v>
      </c>
      <c r="E432" s="3">
        <v>-50.825</v>
      </c>
      <c r="F432" s="4" t="str">
        <f>HYPERLINK("http://141.218.60.56/~jnz1568/getInfo.php?workbook=12_04.xlsx&amp;sheet=A0&amp;row=432&amp;col=6&amp;number=822000000&amp;sourceID=14","822000000")</f>
        <v>822000000</v>
      </c>
      <c r="G432" s="4" t="str">
        <f>HYPERLINK("http://141.218.60.56/~jnz1568/getInfo.php?workbook=12_04.xlsx&amp;sheet=A0&amp;row=432&amp;col=7&amp;number=0&amp;sourceID=14","0")</f>
        <v>0</v>
      </c>
    </row>
    <row r="433" spans="1:7">
      <c r="A433" s="3">
        <v>12</v>
      </c>
      <c r="B433" s="3">
        <v>4</v>
      </c>
      <c r="C433" s="3">
        <v>83</v>
      </c>
      <c r="D433" s="3">
        <v>5</v>
      </c>
      <c r="E433" s="3">
        <v>-50.824</v>
      </c>
      <c r="F433" s="4" t="str">
        <f>HYPERLINK("http://141.218.60.56/~jnz1568/getInfo.php?workbook=12_04.xlsx&amp;sheet=A0&amp;row=433&amp;col=6&amp;number=28.7&amp;sourceID=14","28.7")</f>
        <v>28.7</v>
      </c>
      <c r="G433" s="4" t="str">
        <f>HYPERLINK("http://141.218.60.56/~jnz1568/getInfo.php?workbook=12_04.xlsx&amp;sheet=A0&amp;row=433&amp;col=7&amp;number=0&amp;sourceID=14","0")</f>
        <v>0</v>
      </c>
    </row>
    <row r="434" spans="1:7">
      <c r="A434" s="3">
        <v>12</v>
      </c>
      <c r="B434" s="3">
        <v>4</v>
      </c>
      <c r="C434" s="3">
        <v>84</v>
      </c>
      <c r="D434" s="3">
        <v>5</v>
      </c>
      <c r="E434" s="3">
        <v>-50.816</v>
      </c>
      <c r="F434" s="4" t="str">
        <f>HYPERLINK("http://141.218.60.56/~jnz1568/getInfo.php?workbook=12_04.xlsx&amp;sheet=A0&amp;row=434&amp;col=6&amp;number=394&amp;sourceID=14","394")</f>
        <v>394</v>
      </c>
      <c r="G434" s="4" t="str">
        <f>HYPERLINK("http://141.218.60.56/~jnz1568/getInfo.php?workbook=12_04.xlsx&amp;sheet=A0&amp;row=434&amp;col=7&amp;number=0&amp;sourceID=14","0")</f>
        <v>0</v>
      </c>
    </row>
    <row r="435" spans="1:7">
      <c r="A435" s="3">
        <v>12</v>
      </c>
      <c r="B435" s="3">
        <v>4</v>
      </c>
      <c r="C435" s="3">
        <v>85</v>
      </c>
      <c r="D435" s="3">
        <v>5</v>
      </c>
      <c r="E435" s="3">
        <v>50.562</v>
      </c>
      <c r="F435" s="4" t="str">
        <f>HYPERLINK("http://141.218.60.56/~jnz1568/getInfo.php?workbook=12_04.xlsx&amp;sheet=A0&amp;row=435&amp;col=6&amp;number=272000&amp;sourceID=14","272000")</f>
        <v>272000</v>
      </c>
      <c r="G435" s="4" t="str">
        <f>HYPERLINK("http://141.218.60.56/~jnz1568/getInfo.php?workbook=12_04.xlsx&amp;sheet=A0&amp;row=435&amp;col=7&amp;number=0&amp;sourceID=14","0")</f>
        <v>0</v>
      </c>
    </row>
    <row r="436" spans="1:7">
      <c r="A436" s="3">
        <v>12</v>
      </c>
      <c r="B436" s="3">
        <v>4</v>
      </c>
      <c r="C436" s="3">
        <v>86</v>
      </c>
      <c r="D436" s="3">
        <v>5</v>
      </c>
      <c r="E436" s="3">
        <v>50.549</v>
      </c>
      <c r="F436" s="4" t="str">
        <f>HYPERLINK("http://141.218.60.56/~jnz1568/getInfo.php?workbook=12_04.xlsx&amp;sheet=A0&amp;row=436&amp;col=6&amp;number=15800&amp;sourceID=14","15800")</f>
        <v>15800</v>
      </c>
      <c r="G436" s="4" t="str">
        <f>HYPERLINK("http://141.218.60.56/~jnz1568/getInfo.php?workbook=12_04.xlsx&amp;sheet=A0&amp;row=436&amp;col=7&amp;number=0&amp;sourceID=14","0")</f>
        <v>0</v>
      </c>
    </row>
    <row r="437" spans="1:7">
      <c r="A437" s="3">
        <v>12</v>
      </c>
      <c r="B437" s="3">
        <v>4</v>
      </c>
      <c r="C437" s="3">
        <v>87</v>
      </c>
      <c r="D437" s="3">
        <v>5</v>
      </c>
      <c r="E437" s="3">
        <v>-50.753</v>
      </c>
      <c r="F437" s="4" t="str">
        <f>HYPERLINK("http://141.218.60.56/~jnz1568/getInfo.php?workbook=12_04.xlsx&amp;sheet=A0&amp;row=437&amp;col=6&amp;number=0.109&amp;sourceID=14","0.109")</f>
        <v>0.109</v>
      </c>
      <c r="G437" s="4" t="str">
        <f>HYPERLINK("http://141.218.60.56/~jnz1568/getInfo.php?workbook=12_04.xlsx&amp;sheet=A0&amp;row=437&amp;col=7&amp;number=0&amp;sourceID=14","0")</f>
        <v>0</v>
      </c>
    </row>
    <row r="438" spans="1:7">
      <c r="A438" s="3">
        <v>12</v>
      </c>
      <c r="B438" s="3">
        <v>4</v>
      </c>
      <c r="C438" s="3">
        <v>88</v>
      </c>
      <c r="D438" s="3">
        <v>5</v>
      </c>
      <c r="E438" s="3">
        <v>-50.733</v>
      </c>
      <c r="F438" s="4" t="str">
        <f>HYPERLINK("http://141.218.60.56/~jnz1568/getInfo.php?workbook=12_04.xlsx&amp;sheet=A0&amp;row=438&amp;col=6&amp;number=415&amp;sourceID=14","415")</f>
        <v>415</v>
      </c>
      <c r="G438" s="4" t="str">
        <f>HYPERLINK("http://141.218.60.56/~jnz1568/getInfo.php?workbook=12_04.xlsx&amp;sheet=A0&amp;row=438&amp;col=7&amp;number=0&amp;sourceID=14","0")</f>
        <v>0</v>
      </c>
    </row>
    <row r="439" spans="1:7">
      <c r="A439" s="3">
        <v>12</v>
      </c>
      <c r="B439" s="3">
        <v>4</v>
      </c>
      <c r="C439" s="3">
        <v>89</v>
      </c>
      <c r="D439" s="3">
        <v>5</v>
      </c>
      <c r="E439" s="3">
        <v>-50.721</v>
      </c>
      <c r="F439" s="4" t="str">
        <f>HYPERLINK("http://141.218.60.56/~jnz1568/getInfo.php?workbook=12_04.xlsx&amp;sheet=A0&amp;row=439&amp;col=6&amp;number=418&amp;sourceID=14","418")</f>
        <v>418</v>
      </c>
      <c r="G439" s="4" t="str">
        <f>HYPERLINK("http://141.218.60.56/~jnz1568/getInfo.php?workbook=12_04.xlsx&amp;sheet=A0&amp;row=439&amp;col=7&amp;number=0&amp;sourceID=14","0")</f>
        <v>0</v>
      </c>
    </row>
    <row r="440" spans="1:7">
      <c r="A440" s="3">
        <v>12</v>
      </c>
      <c r="B440" s="3">
        <v>4</v>
      </c>
      <c r="C440" s="3">
        <v>90</v>
      </c>
      <c r="D440" s="3">
        <v>5</v>
      </c>
      <c r="E440" s="3">
        <v>-50.686</v>
      </c>
      <c r="F440" s="4" t="str">
        <f>HYPERLINK("http://141.218.60.56/~jnz1568/getInfo.php?workbook=12_04.xlsx&amp;sheet=A0&amp;row=440&amp;col=6&amp;number=0.000137&amp;sourceID=14","0.000137")</f>
        <v>0.000137</v>
      </c>
      <c r="G440" s="4" t="str">
        <f>HYPERLINK("http://141.218.60.56/~jnz1568/getInfo.php?workbook=12_04.xlsx&amp;sheet=A0&amp;row=440&amp;col=7&amp;number=0&amp;sourceID=14","0")</f>
        <v>0</v>
      </c>
    </row>
    <row r="441" spans="1:7">
      <c r="A441" s="3">
        <v>12</v>
      </c>
      <c r="B441" s="3">
        <v>4</v>
      </c>
      <c r="C441" s="3">
        <v>91</v>
      </c>
      <c r="D441" s="3">
        <v>5</v>
      </c>
      <c r="E441" s="3">
        <v>-50.655</v>
      </c>
      <c r="F441" s="4" t="str">
        <f>HYPERLINK("http://141.218.60.56/~jnz1568/getInfo.php?workbook=12_04.xlsx&amp;sheet=A0&amp;row=441&amp;col=6&amp;number=93.4&amp;sourceID=14","93.4")</f>
        <v>93.4</v>
      </c>
      <c r="G441" s="4" t="str">
        <f>HYPERLINK("http://141.218.60.56/~jnz1568/getInfo.php?workbook=12_04.xlsx&amp;sheet=A0&amp;row=441&amp;col=7&amp;number=0&amp;sourceID=14","0")</f>
        <v>0</v>
      </c>
    </row>
    <row r="442" spans="1:7">
      <c r="A442" s="3">
        <v>12</v>
      </c>
      <c r="B442" s="3">
        <v>4</v>
      </c>
      <c r="C442" s="3">
        <v>92</v>
      </c>
      <c r="D442" s="3">
        <v>5</v>
      </c>
      <c r="E442" s="3">
        <v>-50.647</v>
      </c>
      <c r="F442" s="4" t="str">
        <f>HYPERLINK("http://141.218.60.56/~jnz1568/getInfo.php?workbook=12_04.xlsx&amp;sheet=A0&amp;row=442&amp;col=6&amp;number=4880&amp;sourceID=14","4880")</f>
        <v>4880</v>
      </c>
      <c r="G442" s="4" t="str">
        <f>HYPERLINK("http://141.218.60.56/~jnz1568/getInfo.php?workbook=12_04.xlsx&amp;sheet=A0&amp;row=442&amp;col=7&amp;number=0&amp;sourceID=14","0")</f>
        <v>0</v>
      </c>
    </row>
    <row r="443" spans="1:7">
      <c r="A443" s="3">
        <v>12</v>
      </c>
      <c r="B443" s="3">
        <v>4</v>
      </c>
      <c r="C443" s="3">
        <v>93</v>
      </c>
      <c r="D443" s="3">
        <v>5</v>
      </c>
      <c r="E443" s="3">
        <v>-50.641</v>
      </c>
      <c r="F443" s="4" t="str">
        <f>HYPERLINK("http://141.218.60.56/~jnz1568/getInfo.php?workbook=12_04.xlsx&amp;sheet=A0&amp;row=443&amp;col=6&amp;number=1060000000&amp;sourceID=14","1060000000")</f>
        <v>1060000000</v>
      </c>
      <c r="G443" s="4" t="str">
        <f>HYPERLINK("http://141.218.60.56/~jnz1568/getInfo.php?workbook=12_04.xlsx&amp;sheet=A0&amp;row=443&amp;col=7&amp;number=0&amp;sourceID=14","0")</f>
        <v>0</v>
      </c>
    </row>
    <row r="444" spans="1:7">
      <c r="A444" s="3">
        <v>12</v>
      </c>
      <c r="B444" s="3">
        <v>4</v>
      </c>
      <c r="C444" s="3">
        <v>94</v>
      </c>
      <c r="D444" s="3">
        <v>5</v>
      </c>
      <c r="E444" s="3">
        <v>-50.616</v>
      </c>
      <c r="F444" s="4" t="str">
        <f>HYPERLINK("http://141.218.60.56/~jnz1568/getInfo.php?workbook=12_04.xlsx&amp;sheet=A0&amp;row=444&amp;col=6&amp;number=57000&amp;sourceID=14","57000")</f>
        <v>57000</v>
      </c>
      <c r="G444" s="4" t="str">
        <f>HYPERLINK("http://141.218.60.56/~jnz1568/getInfo.php?workbook=12_04.xlsx&amp;sheet=A0&amp;row=444&amp;col=7&amp;number=0&amp;sourceID=14","0")</f>
        <v>0</v>
      </c>
    </row>
    <row r="445" spans="1:7">
      <c r="A445" s="3">
        <v>12</v>
      </c>
      <c r="B445" s="3">
        <v>4</v>
      </c>
      <c r="C445" s="3">
        <v>95</v>
      </c>
      <c r="D445" s="3">
        <v>5</v>
      </c>
      <c r="E445" s="3">
        <v>-50.599</v>
      </c>
      <c r="F445" s="4" t="str">
        <f>HYPERLINK("http://141.218.60.56/~jnz1568/getInfo.php?workbook=12_04.xlsx&amp;sheet=A0&amp;row=445&amp;col=6&amp;number=38100000000&amp;sourceID=14","38100000000")</f>
        <v>38100000000</v>
      </c>
      <c r="G445" s="4" t="str">
        <f>HYPERLINK("http://141.218.60.56/~jnz1568/getInfo.php?workbook=12_04.xlsx&amp;sheet=A0&amp;row=445&amp;col=7&amp;number=0&amp;sourceID=14","0")</f>
        <v>0</v>
      </c>
    </row>
    <row r="446" spans="1:7">
      <c r="A446" s="3">
        <v>12</v>
      </c>
      <c r="B446" s="3">
        <v>4</v>
      </c>
      <c r="C446" s="3">
        <v>96</v>
      </c>
      <c r="D446" s="3">
        <v>5</v>
      </c>
      <c r="E446" s="3">
        <v>-50.584</v>
      </c>
      <c r="F446" s="4" t="str">
        <f>HYPERLINK("http://141.218.60.56/~jnz1568/getInfo.php?workbook=12_04.xlsx&amp;sheet=A0&amp;row=446&amp;col=6&amp;number=4790000000&amp;sourceID=14","4790000000")</f>
        <v>4790000000</v>
      </c>
      <c r="G446" s="4" t="str">
        <f>HYPERLINK("http://141.218.60.56/~jnz1568/getInfo.php?workbook=12_04.xlsx&amp;sheet=A0&amp;row=446&amp;col=7&amp;number=0&amp;sourceID=14","0")</f>
        <v>0</v>
      </c>
    </row>
    <row r="447" spans="1:7">
      <c r="A447" s="3">
        <v>12</v>
      </c>
      <c r="B447" s="3">
        <v>4</v>
      </c>
      <c r="C447" s="3">
        <v>97</v>
      </c>
      <c r="D447" s="3">
        <v>5</v>
      </c>
      <c r="E447" s="3">
        <v>50.381</v>
      </c>
      <c r="F447" s="4" t="str">
        <f>HYPERLINK("http://141.218.60.56/~jnz1568/getInfo.php?workbook=12_04.xlsx&amp;sheet=A0&amp;row=447&amp;col=6&amp;number=14200000&amp;sourceID=14","14200000")</f>
        <v>14200000</v>
      </c>
      <c r="G447" s="4" t="str">
        <f>HYPERLINK("http://141.218.60.56/~jnz1568/getInfo.php?workbook=12_04.xlsx&amp;sheet=A0&amp;row=447&amp;col=7&amp;number=0&amp;sourceID=14","0")</f>
        <v>0</v>
      </c>
    </row>
    <row r="448" spans="1:7">
      <c r="A448" s="3">
        <v>12</v>
      </c>
      <c r="B448" s="3">
        <v>4</v>
      </c>
      <c r="C448" s="3">
        <v>98</v>
      </c>
      <c r="D448" s="3">
        <v>5</v>
      </c>
      <c r="E448" s="3">
        <v>50.337</v>
      </c>
      <c r="F448" s="4" t="str">
        <f>HYPERLINK("http://141.218.60.56/~jnz1568/getInfo.php?workbook=12_04.xlsx&amp;sheet=A0&amp;row=448&amp;col=6&amp;number=10100000&amp;sourceID=14","10100000")</f>
        <v>10100000</v>
      </c>
      <c r="G448" s="4" t="str">
        <f>HYPERLINK("http://141.218.60.56/~jnz1568/getInfo.php?workbook=12_04.xlsx&amp;sheet=A0&amp;row=448&amp;col=7&amp;number=0&amp;sourceID=14","0")</f>
        <v>0</v>
      </c>
    </row>
    <row r="449" spans="1:7">
      <c r="A449" s="3">
        <v>12</v>
      </c>
      <c r="B449" s="3">
        <v>4</v>
      </c>
      <c r="C449" s="3">
        <v>7</v>
      </c>
      <c r="D449" s="3">
        <v>6</v>
      </c>
      <c r="E449" s="3">
        <v>76746.109</v>
      </c>
      <c r="F449" s="4" t="str">
        <f>HYPERLINK("http://141.218.60.56/~jnz1568/getInfo.php?workbook=12_04.xlsx&amp;sheet=A0&amp;row=449&amp;col=6&amp;number=0.0397&amp;sourceID=14","0.0397")</f>
        <v>0.0397</v>
      </c>
      <c r="G449" s="4" t="str">
        <f>HYPERLINK("http://141.218.60.56/~jnz1568/getInfo.php?workbook=12_04.xlsx&amp;sheet=A0&amp;row=449&amp;col=7&amp;number=0&amp;sourceID=14","0")</f>
        <v>0</v>
      </c>
    </row>
    <row r="450" spans="1:7">
      <c r="A450" s="3">
        <v>12</v>
      </c>
      <c r="B450" s="3">
        <v>4</v>
      </c>
      <c r="C450" s="3">
        <v>8</v>
      </c>
      <c r="D450" s="3">
        <v>6</v>
      </c>
      <c r="E450" s="3">
        <v>28785.315</v>
      </c>
      <c r="F450" s="4" t="str">
        <f>HYPERLINK("http://141.218.60.56/~jnz1568/getInfo.php?workbook=12_04.xlsx&amp;sheet=A0&amp;row=450&amp;col=6&amp;number=4.29e-07&amp;sourceID=14","4.29e-07")</f>
        <v>4.29e-07</v>
      </c>
      <c r="G450" s="4" t="str">
        <f>HYPERLINK("http://141.218.60.56/~jnz1568/getInfo.php?workbook=12_04.xlsx&amp;sheet=A0&amp;row=450&amp;col=7&amp;number=0&amp;sourceID=14","0")</f>
        <v>0</v>
      </c>
    </row>
    <row r="451" spans="1:7">
      <c r="A451" s="3">
        <v>12</v>
      </c>
      <c r="B451" s="3">
        <v>4</v>
      </c>
      <c r="C451" s="3">
        <v>9</v>
      </c>
      <c r="D451" s="3">
        <v>6</v>
      </c>
      <c r="E451" s="3">
        <v>2548.165</v>
      </c>
      <c r="F451" s="4" t="str">
        <f>HYPERLINK("http://141.218.60.56/~jnz1568/getInfo.php?workbook=12_04.xlsx&amp;sheet=A0&amp;row=451&amp;col=6&amp;number=1.43e-09&amp;sourceID=14","1.43e-09")</f>
        <v>1.43e-09</v>
      </c>
      <c r="G451" s="4" t="str">
        <f>HYPERLINK("http://141.218.60.56/~jnz1568/getInfo.php?workbook=12_04.xlsx&amp;sheet=A0&amp;row=451&amp;col=7&amp;number=0&amp;sourceID=14","0")</f>
        <v>0</v>
      </c>
    </row>
    <row r="452" spans="1:7">
      <c r="A452" s="3">
        <v>12</v>
      </c>
      <c r="B452" s="3">
        <v>4</v>
      </c>
      <c r="C452" s="3">
        <v>11</v>
      </c>
      <c r="D452" s="3">
        <v>6</v>
      </c>
      <c r="E452" s="3">
        <v>85.72</v>
      </c>
      <c r="F452" s="4" t="str">
        <f>HYPERLINK("http://141.218.60.56/~jnz1568/getInfo.php?workbook=12_04.xlsx&amp;sheet=A0&amp;row=452&amp;col=6&amp;number=0.991&amp;sourceID=14","0.991")</f>
        <v>0.991</v>
      </c>
      <c r="G452" s="4" t="str">
        <f>HYPERLINK("http://141.218.60.56/~jnz1568/getInfo.php?workbook=12_04.xlsx&amp;sheet=A0&amp;row=452&amp;col=7&amp;number=0&amp;sourceID=14","0")</f>
        <v>0</v>
      </c>
    </row>
    <row r="453" spans="1:7">
      <c r="A453" s="3">
        <v>12</v>
      </c>
      <c r="B453" s="3">
        <v>4</v>
      </c>
      <c r="C453" s="3">
        <v>13</v>
      </c>
      <c r="D453" s="3">
        <v>6</v>
      </c>
      <c r="E453" s="3">
        <v>81.45</v>
      </c>
      <c r="F453" s="4" t="str">
        <f>HYPERLINK("http://141.218.60.56/~jnz1568/getInfo.php?workbook=12_04.xlsx&amp;sheet=A0&amp;row=453&amp;col=6&amp;number=6540000&amp;sourceID=14","6540000")</f>
        <v>6540000</v>
      </c>
      <c r="G453" s="4" t="str">
        <f>HYPERLINK("http://141.218.60.56/~jnz1568/getInfo.php?workbook=12_04.xlsx&amp;sheet=A0&amp;row=453&amp;col=7&amp;number=0&amp;sourceID=14","0")</f>
        <v>0</v>
      </c>
    </row>
    <row r="454" spans="1:7">
      <c r="A454" s="3">
        <v>12</v>
      </c>
      <c r="B454" s="3">
        <v>4</v>
      </c>
      <c r="C454" s="3">
        <v>15</v>
      </c>
      <c r="D454" s="3">
        <v>6</v>
      </c>
      <c r="E454" s="3">
        <v>81.192</v>
      </c>
      <c r="F454" s="4" t="str">
        <f>HYPERLINK("http://141.218.60.56/~jnz1568/getInfo.php?workbook=12_04.xlsx&amp;sheet=A0&amp;row=454&amp;col=6&amp;number=416000000&amp;sourceID=14","416000000")</f>
        <v>416000000</v>
      </c>
      <c r="G454" s="4" t="str">
        <f>HYPERLINK("http://141.218.60.56/~jnz1568/getInfo.php?workbook=12_04.xlsx&amp;sheet=A0&amp;row=454&amp;col=7&amp;number=0&amp;sourceID=14","0")</f>
        <v>0</v>
      </c>
    </row>
    <row r="455" spans="1:7">
      <c r="A455" s="3">
        <v>12</v>
      </c>
      <c r="B455" s="3">
        <v>4</v>
      </c>
      <c r="C455" s="3">
        <v>16</v>
      </c>
      <c r="D455" s="3">
        <v>6</v>
      </c>
      <c r="E455" s="3">
        <v>81.192</v>
      </c>
      <c r="F455" s="4" t="str">
        <f>HYPERLINK("http://141.218.60.56/~jnz1568/getInfo.php?workbook=12_04.xlsx&amp;sheet=A0&amp;row=455&amp;col=6&amp;number=1.43&amp;sourceID=14","1.43")</f>
        <v>1.43</v>
      </c>
      <c r="G455" s="4" t="str">
        <f>HYPERLINK("http://141.218.60.56/~jnz1568/getInfo.php?workbook=12_04.xlsx&amp;sheet=A0&amp;row=455&amp;col=7&amp;number=0&amp;sourceID=14","0")</f>
        <v>0</v>
      </c>
    </row>
    <row r="456" spans="1:7">
      <c r="A456" s="3">
        <v>12</v>
      </c>
      <c r="B456" s="3">
        <v>4</v>
      </c>
      <c r="C456" s="3">
        <v>17</v>
      </c>
      <c r="D456" s="3">
        <v>6</v>
      </c>
      <c r="E456" s="3">
        <v>79.04</v>
      </c>
      <c r="F456" s="4" t="str">
        <f>HYPERLINK("http://141.218.60.56/~jnz1568/getInfo.php?workbook=12_04.xlsx&amp;sheet=A0&amp;row=456&amp;col=6&amp;number=0.0759&amp;sourceID=14","0.0759")</f>
        <v>0.0759</v>
      </c>
      <c r="G456" s="4" t="str">
        <f>HYPERLINK("http://141.218.60.56/~jnz1568/getInfo.php?workbook=12_04.xlsx&amp;sheet=A0&amp;row=456&amp;col=7&amp;number=0&amp;sourceID=14","0")</f>
        <v>0</v>
      </c>
    </row>
    <row r="457" spans="1:7">
      <c r="A457" s="3">
        <v>12</v>
      </c>
      <c r="B457" s="3">
        <v>4</v>
      </c>
      <c r="C457" s="3">
        <v>18</v>
      </c>
      <c r="D457" s="3">
        <v>6</v>
      </c>
      <c r="E457" s="3">
        <v>79.032</v>
      </c>
      <c r="F457" s="4" t="str">
        <f>HYPERLINK("http://141.218.60.56/~jnz1568/getInfo.php?workbook=12_04.xlsx&amp;sheet=A0&amp;row=457&amp;col=6&amp;number=49000&amp;sourceID=14","49000")</f>
        <v>49000</v>
      </c>
      <c r="G457" s="4" t="str">
        <f>HYPERLINK("http://141.218.60.56/~jnz1568/getInfo.php?workbook=12_04.xlsx&amp;sheet=A0&amp;row=457&amp;col=7&amp;number=0&amp;sourceID=14","0")</f>
        <v>0</v>
      </c>
    </row>
    <row r="458" spans="1:7">
      <c r="A458" s="3">
        <v>12</v>
      </c>
      <c r="B458" s="3">
        <v>4</v>
      </c>
      <c r="C458" s="3">
        <v>19</v>
      </c>
      <c r="D458" s="3">
        <v>6</v>
      </c>
      <c r="E458" s="3">
        <v>79.022</v>
      </c>
      <c r="F458" s="4" t="str">
        <f>HYPERLINK("http://141.218.60.56/~jnz1568/getInfo.php?workbook=12_04.xlsx&amp;sheet=A0&amp;row=458&amp;col=6&amp;number=0.000539&amp;sourceID=14","0.000539")</f>
        <v>0.000539</v>
      </c>
      <c r="G458" s="4" t="str">
        <f>HYPERLINK("http://141.218.60.56/~jnz1568/getInfo.php?workbook=12_04.xlsx&amp;sheet=A0&amp;row=458&amp;col=7&amp;number=0&amp;sourceID=14","0")</f>
        <v>0</v>
      </c>
    </row>
    <row r="459" spans="1:7">
      <c r="A459" s="3">
        <v>12</v>
      </c>
      <c r="B459" s="3">
        <v>4</v>
      </c>
      <c r="C459" s="3">
        <v>20</v>
      </c>
      <c r="D459" s="3">
        <v>6</v>
      </c>
      <c r="E459" s="3">
        <v>77.596</v>
      </c>
      <c r="F459" s="4" t="str">
        <f>HYPERLINK("http://141.218.60.56/~jnz1568/getInfo.php?workbook=12_04.xlsx&amp;sheet=A0&amp;row=459&amp;col=6&amp;number=2270&amp;sourceID=14","2270")</f>
        <v>2270</v>
      </c>
      <c r="G459" s="4" t="str">
        <f>HYPERLINK("http://141.218.60.56/~jnz1568/getInfo.php?workbook=12_04.xlsx&amp;sheet=A0&amp;row=459&amp;col=7&amp;number=0&amp;sourceID=14","0")</f>
        <v>0</v>
      </c>
    </row>
    <row r="460" spans="1:7">
      <c r="A460" s="3">
        <v>12</v>
      </c>
      <c r="B460" s="3">
        <v>4</v>
      </c>
      <c r="C460" s="3">
        <v>22</v>
      </c>
      <c r="D460" s="3">
        <v>6</v>
      </c>
      <c r="E460" s="3">
        <v>74.328</v>
      </c>
      <c r="F460" s="4" t="str">
        <f>HYPERLINK("http://141.218.60.56/~jnz1568/getInfo.php?workbook=12_04.xlsx&amp;sheet=A0&amp;row=460&amp;col=6&amp;number=35100000000&amp;sourceID=14","35100000000")</f>
        <v>35100000000</v>
      </c>
      <c r="G460" s="4" t="str">
        <f>HYPERLINK("http://141.218.60.56/~jnz1568/getInfo.php?workbook=12_04.xlsx&amp;sheet=A0&amp;row=460&amp;col=7&amp;number=0&amp;sourceID=14","0")</f>
        <v>0</v>
      </c>
    </row>
    <row r="461" spans="1:7">
      <c r="A461" s="3">
        <v>12</v>
      </c>
      <c r="B461" s="3">
        <v>4</v>
      </c>
      <c r="C461" s="3">
        <v>23</v>
      </c>
      <c r="D461" s="3">
        <v>6</v>
      </c>
      <c r="E461" s="3">
        <v>74.182</v>
      </c>
      <c r="F461" s="4" t="str">
        <f>HYPERLINK("http://141.218.60.56/~jnz1568/getInfo.php?workbook=12_04.xlsx&amp;sheet=A0&amp;row=461&amp;col=6&amp;number=76.5&amp;sourceID=14","76.5")</f>
        <v>76.5</v>
      </c>
      <c r="G461" s="4" t="str">
        <f>HYPERLINK("http://141.218.60.56/~jnz1568/getInfo.php?workbook=12_04.xlsx&amp;sheet=A0&amp;row=461&amp;col=7&amp;number=0&amp;sourceID=14","0")</f>
        <v>0</v>
      </c>
    </row>
    <row r="462" spans="1:7">
      <c r="A462" s="3">
        <v>12</v>
      </c>
      <c r="B462" s="3">
        <v>4</v>
      </c>
      <c r="C462" s="3">
        <v>24</v>
      </c>
      <c r="D462" s="3">
        <v>6</v>
      </c>
      <c r="E462" s="3">
        <v>72.612</v>
      </c>
      <c r="F462" s="4" t="str">
        <f>HYPERLINK("http://141.218.60.56/~jnz1568/getInfo.php?workbook=12_04.xlsx&amp;sheet=A0&amp;row=462&amp;col=6&amp;number=71400000&amp;sourceID=14","71400000")</f>
        <v>71400000</v>
      </c>
      <c r="G462" s="4" t="str">
        <f>HYPERLINK("http://141.218.60.56/~jnz1568/getInfo.php?workbook=12_04.xlsx&amp;sheet=A0&amp;row=462&amp;col=7&amp;number=0&amp;sourceID=14","0")</f>
        <v>0</v>
      </c>
    </row>
    <row r="463" spans="1:7">
      <c r="A463" s="3">
        <v>12</v>
      </c>
      <c r="B463" s="3">
        <v>4</v>
      </c>
      <c r="C463" s="3">
        <v>25</v>
      </c>
      <c r="D463" s="3">
        <v>6</v>
      </c>
      <c r="E463" s="3">
        <v>72.345</v>
      </c>
      <c r="F463" s="4" t="str">
        <f>HYPERLINK("http://141.218.60.56/~jnz1568/getInfo.php?workbook=12_04.xlsx&amp;sheet=A0&amp;row=463&amp;col=6&amp;number=3.27&amp;sourceID=14","3.27")</f>
        <v>3.27</v>
      </c>
      <c r="G463" s="4" t="str">
        <f>HYPERLINK("http://141.218.60.56/~jnz1568/getInfo.php?workbook=12_04.xlsx&amp;sheet=A0&amp;row=463&amp;col=7&amp;number=0&amp;sourceID=14","0")</f>
        <v>0</v>
      </c>
    </row>
    <row r="464" spans="1:7">
      <c r="A464" s="3">
        <v>12</v>
      </c>
      <c r="B464" s="3">
        <v>4</v>
      </c>
      <c r="C464" s="3">
        <v>26</v>
      </c>
      <c r="D464" s="3">
        <v>6</v>
      </c>
      <c r="E464" s="3">
        <v>71.963</v>
      </c>
      <c r="F464" s="4" t="str">
        <f>HYPERLINK("http://141.218.60.56/~jnz1568/getInfo.php?workbook=12_04.xlsx&amp;sheet=A0&amp;row=464&amp;col=6&amp;number=1.31&amp;sourceID=14","1.31")</f>
        <v>1.31</v>
      </c>
      <c r="G464" s="4" t="str">
        <f>HYPERLINK("http://141.218.60.56/~jnz1568/getInfo.php?workbook=12_04.xlsx&amp;sheet=A0&amp;row=464&amp;col=7&amp;number=0&amp;sourceID=14","0")</f>
        <v>0</v>
      </c>
    </row>
    <row r="465" spans="1:7">
      <c r="A465" s="3">
        <v>12</v>
      </c>
      <c r="B465" s="3">
        <v>4</v>
      </c>
      <c r="C465" s="3">
        <v>27</v>
      </c>
      <c r="D465" s="3">
        <v>6</v>
      </c>
      <c r="E465" s="3">
        <v>71.911</v>
      </c>
      <c r="F465" s="4" t="str">
        <f>HYPERLINK("http://141.218.60.56/~jnz1568/getInfo.php?workbook=12_04.xlsx&amp;sheet=A0&amp;row=465&amp;col=6&amp;number=5480000&amp;sourceID=14","5480000")</f>
        <v>5480000</v>
      </c>
      <c r="G465" s="4" t="str">
        <f>HYPERLINK("http://141.218.60.56/~jnz1568/getInfo.php?workbook=12_04.xlsx&amp;sheet=A0&amp;row=465&amp;col=7&amp;number=0&amp;sourceID=14","0")</f>
        <v>0</v>
      </c>
    </row>
    <row r="466" spans="1:7">
      <c r="A466" s="3">
        <v>12</v>
      </c>
      <c r="B466" s="3">
        <v>4</v>
      </c>
      <c r="C466" s="3">
        <v>28</v>
      </c>
      <c r="D466" s="3">
        <v>6</v>
      </c>
      <c r="E466" s="3">
        <v>71.782</v>
      </c>
      <c r="F466" s="4" t="str">
        <f>HYPERLINK("http://141.218.60.56/~jnz1568/getInfo.php?workbook=12_04.xlsx&amp;sheet=A0&amp;row=466&amp;col=6&amp;number=0.0353&amp;sourceID=14","0.0353")</f>
        <v>0.0353</v>
      </c>
      <c r="G466" s="4" t="str">
        <f>HYPERLINK("http://141.218.60.56/~jnz1568/getInfo.php?workbook=12_04.xlsx&amp;sheet=A0&amp;row=466&amp;col=7&amp;number=0&amp;sourceID=14","0")</f>
        <v>0</v>
      </c>
    </row>
    <row r="467" spans="1:7">
      <c r="A467" s="3">
        <v>12</v>
      </c>
      <c r="B467" s="3">
        <v>4</v>
      </c>
      <c r="C467" s="3">
        <v>29</v>
      </c>
      <c r="D467" s="3">
        <v>6</v>
      </c>
      <c r="E467" s="3">
        <v>71.199</v>
      </c>
      <c r="F467" s="4" t="str">
        <f>HYPERLINK("http://141.218.60.56/~jnz1568/getInfo.php?workbook=12_04.xlsx&amp;sheet=A0&amp;row=467&amp;col=6&amp;number=37.5&amp;sourceID=14","37.5")</f>
        <v>37.5</v>
      </c>
      <c r="G467" s="4" t="str">
        <f>HYPERLINK("http://141.218.60.56/~jnz1568/getInfo.php?workbook=12_04.xlsx&amp;sheet=A0&amp;row=467&amp;col=7&amp;number=0&amp;sourceID=14","0")</f>
        <v>0</v>
      </c>
    </row>
    <row r="468" spans="1:7">
      <c r="A468" s="3">
        <v>12</v>
      </c>
      <c r="B468" s="3">
        <v>4</v>
      </c>
      <c r="C468" s="3">
        <v>31</v>
      </c>
      <c r="D468" s="3">
        <v>6</v>
      </c>
      <c r="E468" s="3">
        <v>70.78</v>
      </c>
      <c r="F468" s="4" t="str">
        <f>HYPERLINK("http://141.218.60.56/~jnz1568/getInfo.php?workbook=12_04.xlsx&amp;sheet=A0&amp;row=468&amp;col=6&amp;number=0.0636&amp;sourceID=14","0.0636")</f>
        <v>0.0636</v>
      </c>
      <c r="G468" s="4" t="str">
        <f>HYPERLINK("http://141.218.60.56/~jnz1568/getInfo.php?workbook=12_04.xlsx&amp;sheet=A0&amp;row=468&amp;col=7&amp;number=0&amp;sourceID=14","0")</f>
        <v>0</v>
      </c>
    </row>
    <row r="469" spans="1:7">
      <c r="A469" s="3">
        <v>12</v>
      </c>
      <c r="B469" s="3">
        <v>4</v>
      </c>
      <c r="C469" s="3">
        <v>32</v>
      </c>
      <c r="D469" s="3">
        <v>6</v>
      </c>
      <c r="E469" s="3">
        <v>70.715</v>
      </c>
      <c r="F469" s="4" t="str">
        <f>HYPERLINK("http://141.218.60.56/~jnz1568/getInfo.php?workbook=12_04.xlsx&amp;sheet=A0&amp;row=469&amp;col=6&amp;number=1610000&amp;sourceID=14","1610000")</f>
        <v>1610000</v>
      </c>
      <c r="G469" s="4" t="str">
        <f>HYPERLINK("http://141.218.60.56/~jnz1568/getInfo.php?workbook=12_04.xlsx&amp;sheet=A0&amp;row=469&amp;col=7&amp;number=0&amp;sourceID=14","0")</f>
        <v>0</v>
      </c>
    </row>
    <row r="470" spans="1:7">
      <c r="A470" s="3">
        <v>12</v>
      </c>
      <c r="B470" s="3">
        <v>4</v>
      </c>
      <c r="C470" s="3">
        <v>33</v>
      </c>
      <c r="D470" s="3">
        <v>6</v>
      </c>
      <c r="E470" s="3">
        <v>-70.616</v>
      </c>
      <c r="F470" s="4" t="str">
        <f>HYPERLINK("http://141.218.60.56/~jnz1568/getInfo.php?workbook=12_04.xlsx&amp;sheet=A0&amp;row=470&amp;col=6&amp;number=18.6&amp;sourceID=14","18.6")</f>
        <v>18.6</v>
      </c>
      <c r="G470" s="4" t="str">
        <f>HYPERLINK("http://141.218.60.56/~jnz1568/getInfo.php?workbook=12_04.xlsx&amp;sheet=A0&amp;row=470&amp;col=7&amp;number=0&amp;sourceID=14","0")</f>
        <v>0</v>
      </c>
    </row>
    <row r="471" spans="1:7">
      <c r="A471" s="3">
        <v>12</v>
      </c>
      <c r="B471" s="3">
        <v>4</v>
      </c>
      <c r="C471" s="3">
        <v>34</v>
      </c>
      <c r="D471" s="3">
        <v>6</v>
      </c>
      <c r="E471" s="3">
        <v>-70.514</v>
      </c>
      <c r="F471" s="4" t="str">
        <f>HYPERLINK("http://141.218.60.56/~jnz1568/getInfo.php?workbook=12_04.xlsx&amp;sheet=A0&amp;row=471&amp;col=6&amp;number=582&amp;sourceID=14","582")</f>
        <v>582</v>
      </c>
      <c r="G471" s="4" t="str">
        <f>HYPERLINK("http://141.218.60.56/~jnz1568/getInfo.php?workbook=12_04.xlsx&amp;sheet=A0&amp;row=471&amp;col=7&amp;number=0&amp;sourceID=14","0")</f>
        <v>0</v>
      </c>
    </row>
    <row r="472" spans="1:7">
      <c r="A472" s="3">
        <v>12</v>
      </c>
      <c r="B472" s="3">
        <v>4</v>
      </c>
      <c r="C472" s="3">
        <v>35</v>
      </c>
      <c r="D472" s="3">
        <v>6</v>
      </c>
      <c r="E472" s="3">
        <v>70.236</v>
      </c>
      <c r="F472" s="4" t="str">
        <f>HYPERLINK("http://141.218.60.56/~jnz1568/getInfo.php?workbook=12_04.xlsx&amp;sheet=A0&amp;row=472&amp;col=6&amp;number=2820&amp;sourceID=14","2820")</f>
        <v>2820</v>
      </c>
      <c r="G472" s="4" t="str">
        <f>HYPERLINK("http://141.218.60.56/~jnz1568/getInfo.php?workbook=12_04.xlsx&amp;sheet=A0&amp;row=472&amp;col=7&amp;number=0&amp;sourceID=14","0")</f>
        <v>0</v>
      </c>
    </row>
    <row r="473" spans="1:7">
      <c r="A473" s="3">
        <v>12</v>
      </c>
      <c r="B473" s="3">
        <v>4</v>
      </c>
      <c r="C473" s="3">
        <v>36</v>
      </c>
      <c r="D473" s="3">
        <v>6</v>
      </c>
      <c r="E473" s="3">
        <v>-70.414</v>
      </c>
      <c r="F473" s="4" t="str">
        <f>HYPERLINK("http://141.218.60.56/~jnz1568/getInfo.php?workbook=12_04.xlsx&amp;sheet=A0&amp;row=473&amp;col=6&amp;number=4.76e-06&amp;sourceID=14","4.76e-06")</f>
        <v>4.76e-06</v>
      </c>
      <c r="G473" s="4" t="str">
        <f>HYPERLINK("http://141.218.60.56/~jnz1568/getInfo.php?workbook=12_04.xlsx&amp;sheet=A0&amp;row=473&amp;col=7&amp;number=0&amp;sourceID=14","0")</f>
        <v>0</v>
      </c>
    </row>
    <row r="474" spans="1:7">
      <c r="A474" s="3">
        <v>12</v>
      </c>
      <c r="B474" s="3">
        <v>4</v>
      </c>
      <c r="C474" s="3">
        <v>37</v>
      </c>
      <c r="D474" s="3">
        <v>6</v>
      </c>
      <c r="E474" s="3">
        <v>69.93</v>
      </c>
      <c r="F474" s="4" t="str">
        <f>HYPERLINK("http://141.218.60.56/~jnz1568/getInfo.php?workbook=12_04.xlsx&amp;sheet=A0&amp;row=474&amp;col=6&amp;number=6720&amp;sourceID=14","6720")</f>
        <v>6720</v>
      </c>
      <c r="G474" s="4" t="str">
        <f>HYPERLINK("http://141.218.60.56/~jnz1568/getInfo.php?workbook=12_04.xlsx&amp;sheet=A0&amp;row=474&amp;col=7&amp;number=0&amp;sourceID=14","0")</f>
        <v>0</v>
      </c>
    </row>
    <row r="475" spans="1:7">
      <c r="A475" s="3">
        <v>12</v>
      </c>
      <c r="B475" s="3">
        <v>4</v>
      </c>
      <c r="C475" s="3">
        <v>38</v>
      </c>
      <c r="D475" s="3">
        <v>6</v>
      </c>
      <c r="E475" s="3">
        <v>69.374</v>
      </c>
      <c r="F475" s="4" t="str">
        <f>HYPERLINK("http://141.218.60.56/~jnz1568/getInfo.php?workbook=12_04.xlsx&amp;sheet=A0&amp;row=475&amp;col=6&amp;number=486000000000&amp;sourceID=14","486000000000")</f>
        <v>486000000000</v>
      </c>
      <c r="G475" s="4" t="str">
        <f>HYPERLINK("http://141.218.60.56/~jnz1568/getInfo.php?workbook=12_04.xlsx&amp;sheet=A0&amp;row=475&amp;col=7&amp;number=0&amp;sourceID=14","0")</f>
        <v>0</v>
      </c>
    </row>
    <row r="476" spans="1:7">
      <c r="A476" s="3">
        <v>12</v>
      </c>
      <c r="B476" s="3">
        <v>4</v>
      </c>
      <c r="C476" s="3">
        <v>39</v>
      </c>
      <c r="D476" s="3">
        <v>6</v>
      </c>
      <c r="E476" s="3">
        <v>69.348</v>
      </c>
      <c r="F476" s="4" t="str">
        <f>HYPERLINK("http://141.218.60.56/~jnz1568/getInfo.php?workbook=12_04.xlsx&amp;sheet=A0&amp;row=476&amp;col=6&amp;number=2470&amp;sourceID=14","2470")</f>
        <v>2470</v>
      </c>
      <c r="G476" s="4" t="str">
        <f>HYPERLINK("http://141.218.60.56/~jnz1568/getInfo.php?workbook=12_04.xlsx&amp;sheet=A0&amp;row=476&amp;col=7&amp;number=0&amp;sourceID=14","0")</f>
        <v>0</v>
      </c>
    </row>
    <row r="477" spans="1:7">
      <c r="A477" s="3">
        <v>12</v>
      </c>
      <c r="B477" s="3">
        <v>4</v>
      </c>
      <c r="C477" s="3">
        <v>40</v>
      </c>
      <c r="D477" s="3">
        <v>6</v>
      </c>
      <c r="E477" s="3">
        <v>69.3</v>
      </c>
      <c r="F477" s="4" t="str">
        <f>HYPERLINK("http://141.218.60.56/~jnz1568/getInfo.php?workbook=12_04.xlsx&amp;sheet=A0&amp;row=477&amp;col=6&amp;number=245&amp;sourceID=14","245")</f>
        <v>245</v>
      </c>
      <c r="G477" s="4" t="str">
        <f>HYPERLINK("http://141.218.60.56/~jnz1568/getInfo.php?workbook=12_04.xlsx&amp;sheet=A0&amp;row=477&amp;col=7&amp;number=0&amp;sourceID=14","0")</f>
        <v>0</v>
      </c>
    </row>
    <row r="478" spans="1:7">
      <c r="A478" s="3">
        <v>12</v>
      </c>
      <c r="B478" s="3">
        <v>4</v>
      </c>
      <c r="C478" s="3">
        <v>41</v>
      </c>
      <c r="D478" s="3">
        <v>6</v>
      </c>
      <c r="E478" s="3">
        <v>68.996</v>
      </c>
      <c r="F478" s="4" t="str">
        <f>HYPERLINK("http://141.218.60.56/~jnz1568/getInfo.php?workbook=12_04.xlsx&amp;sheet=A0&amp;row=478&amp;col=6&amp;number=7.61&amp;sourceID=14","7.61")</f>
        <v>7.61</v>
      </c>
      <c r="G478" s="4" t="str">
        <f>HYPERLINK("http://141.218.60.56/~jnz1568/getInfo.php?workbook=12_04.xlsx&amp;sheet=A0&amp;row=478&amp;col=7&amp;number=0&amp;sourceID=14","0")</f>
        <v>0</v>
      </c>
    </row>
    <row r="479" spans="1:7">
      <c r="A479" s="3">
        <v>12</v>
      </c>
      <c r="B479" s="3">
        <v>4</v>
      </c>
      <c r="C479" s="3">
        <v>42</v>
      </c>
      <c r="D479" s="3">
        <v>6</v>
      </c>
      <c r="E479" s="3">
        <v>68.949</v>
      </c>
      <c r="F479" s="4" t="str">
        <f>HYPERLINK("http://141.218.60.56/~jnz1568/getInfo.php?workbook=12_04.xlsx&amp;sheet=A0&amp;row=479&amp;col=6&amp;number=83000000000&amp;sourceID=14","83000000000")</f>
        <v>83000000000</v>
      </c>
      <c r="G479" s="4" t="str">
        <f>HYPERLINK("http://141.218.60.56/~jnz1568/getInfo.php?workbook=12_04.xlsx&amp;sheet=A0&amp;row=479&amp;col=7&amp;number=0&amp;sourceID=14","0")</f>
        <v>0</v>
      </c>
    </row>
    <row r="480" spans="1:7">
      <c r="A480" s="3">
        <v>12</v>
      </c>
      <c r="B480" s="3">
        <v>4</v>
      </c>
      <c r="C480" s="3">
        <v>45</v>
      </c>
      <c r="D480" s="3">
        <v>6</v>
      </c>
      <c r="E480" s="3">
        <v>68.081</v>
      </c>
      <c r="F480" s="4" t="str">
        <f>HYPERLINK("http://141.218.60.56/~jnz1568/getInfo.php?workbook=12_04.xlsx&amp;sheet=A0&amp;row=480&amp;col=6&amp;number=0.417&amp;sourceID=14","0.417")</f>
        <v>0.417</v>
      </c>
      <c r="G480" s="4" t="str">
        <f>HYPERLINK("http://141.218.60.56/~jnz1568/getInfo.php?workbook=12_04.xlsx&amp;sheet=A0&amp;row=480&amp;col=7&amp;number=0&amp;sourceID=14","0")</f>
        <v>0</v>
      </c>
    </row>
    <row r="481" spans="1:7">
      <c r="A481" s="3">
        <v>12</v>
      </c>
      <c r="B481" s="3">
        <v>4</v>
      </c>
      <c r="C481" s="3">
        <v>46</v>
      </c>
      <c r="D481" s="3">
        <v>6</v>
      </c>
      <c r="E481" s="3">
        <v>67.764</v>
      </c>
      <c r="F481" s="4" t="str">
        <f>HYPERLINK("http://141.218.60.56/~jnz1568/getInfo.php?workbook=12_04.xlsx&amp;sheet=A0&amp;row=481&amp;col=6&amp;number=606000000&amp;sourceID=14","606000000")</f>
        <v>606000000</v>
      </c>
      <c r="G481" s="4" t="str">
        <f>HYPERLINK("http://141.218.60.56/~jnz1568/getInfo.php?workbook=12_04.xlsx&amp;sheet=A0&amp;row=481&amp;col=7&amp;number=0&amp;sourceID=14","0")</f>
        <v>0</v>
      </c>
    </row>
    <row r="482" spans="1:7">
      <c r="A482" s="3">
        <v>12</v>
      </c>
      <c r="B482" s="3">
        <v>4</v>
      </c>
      <c r="C482" s="3">
        <v>47</v>
      </c>
      <c r="D482" s="3">
        <v>6</v>
      </c>
      <c r="E482" s="3">
        <v>-59.87</v>
      </c>
      <c r="F482" s="4" t="str">
        <f>HYPERLINK("http://141.218.60.56/~jnz1568/getInfo.php?workbook=12_04.xlsx&amp;sheet=A0&amp;row=482&amp;col=6&amp;number=0.0205&amp;sourceID=14","0.0205")</f>
        <v>0.0205</v>
      </c>
      <c r="G482" s="4" t="str">
        <f>HYPERLINK("http://141.218.60.56/~jnz1568/getInfo.php?workbook=12_04.xlsx&amp;sheet=A0&amp;row=482&amp;col=7&amp;number=0&amp;sourceID=14","0")</f>
        <v>0</v>
      </c>
    </row>
    <row r="483" spans="1:7">
      <c r="A483" s="3">
        <v>12</v>
      </c>
      <c r="B483" s="3">
        <v>4</v>
      </c>
      <c r="C483" s="3">
        <v>50</v>
      </c>
      <c r="D483" s="3">
        <v>6</v>
      </c>
      <c r="E483" s="3">
        <v>-58.997</v>
      </c>
      <c r="F483" s="4" t="str">
        <f>HYPERLINK("http://141.218.60.56/~jnz1568/getInfo.php?workbook=12_04.xlsx&amp;sheet=A0&amp;row=483&amp;col=6&amp;number=109000000&amp;sourceID=14","109000000")</f>
        <v>109000000</v>
      </c>
      <c r="G483" s="4" t="str">
        <f>HYPERLINK("http://141.218.60.56/~jnz1568/getInfo.php?workbook=12_04.xlsx&amp;sheet=A0&amp;row=483&amp;col=7&amp;number=0&amp;sourceID=14","0")</f>
        <v>0</v>
      </c>
    </row>
    <row r="484" spans="1:7">
      <c r="A484" s="3">
        <v>12</v>
      </c>
      <c r="B484" s="3">
        <v>4</v>
      </c>
      <c r="C484" s="3">
        <v>51</v>
      </c>
      <c r="D484" s="3">
        <v>6</v>
      </c>
      <c r="E484" s="3">
        <v>-58.988</v>
      </c>
      <c r="F484" s="4" t="str">
        <f>HYPERLINK("http://141.218.60.56/~jnz1568/getInfo.php?workbook=12_04.xlsx&amp;sheet=A0&amp;row=484&amp;col=6&amp;number=0.543&amp;sourceID=14","0.543")</f>
        <v>0.543</v>
      </c>
      <c r="G484" s="4" t="str">
        <f>HYPERLINK("http://141.218.60.56/~jnz1568/getInfo.php?workbook=12_04.xlsx&amp;sheet=A0&amp;row=484&amp;col=7&amp;number=0&amp;sourceID=14","0")</f>
        <v>0</v>
      </c>
    </row>
    <row r="485" spans="1:7">
      <c r="A485" s="3">
        <v>12</v>
      </c>
      <c r="B485" s="3">
        <v>4</v>
      </c>
      <c r="C485" s="3">
        <v>52</v>
      </c>
      <c r="D485" s="3">
        <v>6</v>
      </c>
      <c r="E485" s="3">
        <v>58.726</v>
      </c>
      <c r="F485" s="4" t="str">
        <f>HYPERLINK("http://141.218.60.56/~jnz1568/getInfo.php?workbook=12_04.xlsx&amp;sheet=A0&amp;row=485&amp;col=6&amp;number=5350000&amp;sourceID=14","5350000")</f>
        <v>5350000</v>
      </c>
      <c r="G485" s="4" t="str">
        <f>HYPERLINK("http://141.218.60.56/~jnz1568/getInfo.php?workbook=12_04.xlsx&amp;sheet=A0&amp;row=485&amp;col=7&amp;number=0&amp;sourceID=14","0")</f>
        <v>0</v>
      </c>
    </row>
    <row r="486" spans="1:7">
      <c r="A486" s="3">
        <v>12</v>
      </c>
      <c r="B486" s="3">
        <v>4</v>
      </c>
      <c r="C486" s="3">
        <v>53</v>
      </c>
      <c r="D486" s="3">
        <v>6</v>
      </c>
      <c r="E486" s="3">
        <v>58.339</v>
      </c>
      <c r="F486" s="4" t="str">
        <f>HYPERLINK("http://141.218.60.56/~jnz1568/getInfo.php?workbook=12_04.xlsx&amp;sheet=A0&amp;row=486&amp;col=6&amp;number=0.044&amp;sourceID=14","0.044")</f>
        <v>0.044</v>
      </c>
      <c r="G486" s="4" t="str">
        <f>HYPERLINK("http://141.218.60.56/~jnz1568/getInfo.php?workbook=12_04.xlsx&amp;sheet=A0&amp;row=486&amp;col=7&amp;number=0&amp;sourceID=14","0")</f>
        <v>0</v>
      </c>
    </row>
    <row r="487" spans="1:7">
      <c r="A487" s="3">
        <v>12</v>
      </c>
      <c r="B487" s="3">
        <v>4</v>
      </c>
      <c r="C487" s="3">
        <v>54</v>
      </c>
      <c r="D487" s="3">
        <v>6</v>
      </c>
      <c r="E487" s="3">
        <v>58.339</v>
      </c>
      <c r="F487" s="4" t="str">
        <f>HYPERLINK("http://141.218.60.56/~jnz1568/getInfo.php?workbook=12_04.xlsx&amp;sheet=A0&amp;row=487&amp;col=6&amp;number=19600&amp;sourceID=14","19600")</f>
        <v>19600</v>
      </c>
      <c r="G487" s="4" t="str">
        <f>HYPERLINK("http://141.218.60.56/~jnz1568/getInfo.php?workbook=12_04.xlsx&amp;sheet=A0&amp;row=487&amp;col=7&amp;number=0&amp;sourceID=14","0")</f>
        <v>0</v>
      </c>
    </row>
    <row r="488" spans="1:7">
      <c r="A488" s="3">
        <v>12</v>
      </c>
      <c r="B488" s="3">
        <v>4</v>
      </c>
      <c r="C488" s="3">
        <v>55</v>
      </c>
      <c r="D488" s="3">
        <v>6</v>
      </c>
      <c r="E488" s="3">
        <v>58.337</v>
      </c>
      <c r="F488" s="4" t="str">
        <f>HYPERLINK("http://141.218.60.56/~jnz1568/getInfo.php?workbook=12_04.xlsx&amp;sheet=A0&amp;row=488&amp;col=6&amp;number=0.000235&amp;sourceID=14","0.000235")</f>
        <v>0.000235</v>
      </c>
      <c r="G488" s="4" t="str">
        <f>HYPERLINK("http://141.218.60.56/~jnz1568/getInfo.php?workbook=12_04.xlsx&amp;sheet=A0&amp;row=488&amp;col=7&amp;number=0&amp;sourceID=14","0")</f>
        <v>0</v>
      </c>
    </row>
    <row r="489" spans="1:7">
      <c r="A489" s="3">
        <v>12</v>
      </c>
      <c r="B489" s="3">
        <v>4</v>
      </c>
      <c r="C489" s="3">
        <v>56</v>
      </c>
      <c r="D489" s="3">
        <v>6</v>
      </c>
      <c r="E489" s="3">
        <v>58.071</v>
      </c>
      <c r="F489" s="4" t="str">
        <f>HYPERLINK("http://141.218.60.56/~jnz1568/getInfo.php?workbook=12_04.xlsx&amp;sheet=A0&amp;row=489&amp;col=6&amp;number=1300&amp;sourceID=14","1300")</f>
        <v>1300</v>
      </c>
      <c r="G489" s="4" t="str">
        <f>HYPERLINK("http://141.218.60.56/~jnz1568/getInfo.php?workbook=12_04.xlsx&amp;sheet=A0&amp;row=489&amp;col=7&amp;number=0&amp;sourceID=14","0")</f>
        <v>0</v>
      </c>
    </row>
    <row r="490" spans="1:7">
      <c r="A490" s="3">
        <v>12</v>
      </c>
      <c r="B490" s="3">
        <v>4</v>
      </c>
      <c r="C490" s="3">
        <v>57</v>
      </c>
      <c r="D490" s="3">
        <v>6</v>
      </c>
      <c r="E490" s="3">
        <v>-58.21</v>
      </c>
      <c r="F490" s="4" t="str">
        <f>HYPERLINK("http://141.218.60.56/~jnz1568/getInfo.php?workbook=12_04.xlsx&amp;sheet=A0&amp;row=490&amp;col=6&amp;number=9.24&amp;sourceID=14","9.24")</f>
        <v>9.24</v>
      </c>
      <c r="G490" s="4" t="str">
        <f>HYPERLINK("http://141.218.60.56/~jnz1568/getInfo.php?workbook=12_04.xlsx&amp;sheet=A0&amp;row=490&amp;col=7&amp;number=0&amp;sourceID=14","0")</f>
        <v>0</v>
      </c>
    </row>
    <row r="491" spans="1:7">
      <c r="A491" s="3">
        <v>12</v>
      </c>
      <c r="B491" s="3">
        <v>4</v>
      </c>
      <c r="C491" s="3">
        <v>58</v>
      </c>
      <c r="D491" s="3">
        <v>6</v>
      </c>
      <c r="E491" s="3">
        <v>-58.209</v>
      </c>
      <c r="F491" s="4" t="str">
        <f>HYPERLINK("http://141.218.60.56/~jnz1568/getInfo.php?workbook=12_04.xlsx&amp;sheet=A0&amp;row=491&amp;col=6&amp;number=6.93&amp;sourceID=14","6.93")</f>
        <v>6.93</v>
      </c>
      <c r="G491" s="4" t="str">
        <f>HYPERLINK("http://141.218.60.56/~jnz1568/getInfo.php?workbook=12_04.xlsx&amp;sheet=A0&amp;row=491&amp;col=7&amp;number=0&amp;sourceID=14","0")</f>
        <v>0</v>
      </c>
    </row>
    <row r="492" spans="1:7">
      <c r="A492" s="3">
        <v>12</v>
      </c>
      <c r="B492" s="3">
        <v>4</v>
      </c>
      <c r="C492" s="3">
        <v>60</v>
      </c>
      <c r="D492" s="3">
        <v>6</v>
      </c>
      <c r="E492" s="3">
        <v>-58.123</v>
      </c>
      <c r="F492" s="4" t="str">
        <f>HYPERLINK("http://141.218.60.56/~jnz1568/getInfo.php?workbook=12_04.xlsx&amp;sheet=A0&amp;row=492&amp;col=6&amp;number=0.37&amp;sourceID=14","0.37")</f>
        <v>0.37</v>
      </c>
      <c r="G492" s="4" t="str">
        <f>HYPERLINK("http://141.218.60.56/~jnz1568/getInfo.php?workbook=12_04.xlsx&amp;sheet=A0&amp;row=492&amp;col=7&amp;number=0&amp;sourceID=14","0")</f>
        <v>0</v>
      </c>
    </row>
    <row r="493" spans="1:7">
      <c r="A493" s="3">
        <v>12</v>
      </c>
      <c r="B493" s="3">
        <v>4</v>
      </c>
      <c r="C493" s="3">
        <v>62</v>
      </c>
      <c r="D493" s="3">
        <v>6</v>
      </c>
      <c r="E493" s="3">
        <v>-54.433</v>
      </c>
      <c r="F493" s="4" t="str">
        <f>HYPERLINK("http://141.218.60.56/~jnz1568/getInfo.php?workbook=12_04.xlsx&amp;sheet=A0&amp;row=493&amp;col=6&amp;number=13100000000&amp;sourceID=14","13100000000")</f>
        <v>13100000000</v>
      </c>
      <c r="G493" s="4" t="str">
        <f>HYPERLINK("http://141.218.60.56/~jnz1568/getInfo.php?workbook=12_04.xlsx&amp;sheet=A0&amp;row=493&amp;col=7&amp;number=0&amp;sourceID=14","0")</f>
        <v>0</v>
      </c>
    </row>
    <row r="494" spans="1:7">
      <c r="A494" s="3">
        <v>12</v>
      </c>
      <c r="B494" s="3">
        <v>4</v>
      </c>
      <c r="C494" s="3">
        <v>63</v>
      </c>
      <c r="D494" s="3">
        <v>6</v>
      </c>
      <c r="E494" s="3">
        <v>-54.344</v>
      </c>
      <c r="F494" s="4" t="str">
        <f>HYPERLINK("http://141.218.60.56/~jnz1568/getInfo.php?workbook=12_04.xlsx&amp;sheet=A0&amp;row=494&amp;col=6&amp;number=72.4&amp;sourceID=14","72.4")</f>
        <v>72.4</v>
      </c>
      <c r="G494" s="4" t="str">
        <f>HYPERLINK("http://141.218.60.56/~jnz1568/getInfo.php?workbook=12_04.xlsx&amp;sheet=A0&amp;row=494&amp;col=7&amp;number=0&amp;sourceID=14","0")</f>
        <v>0</v>
      </c>
    </row>
    <row r="495" spans="1:7">
      <c r="A495" s="3">
        <v>12</v>
      </c>
      <c r="B495" s="3">
        <v>4</v>
      </c>
      <c r="C495" s="3">
        <v>64</v>
      </c>
      <c r="D495" s="3">
        <v>6</v>
      </c>
      <c r="E495" s="3">
        <v>-54.161</v>
      </c>
      <c r="F495" s="4" t="str">
        <f>HYPERLINK("http://141.218.60.56/~jnz1568/getInfo.php?workbook=12_04.xlsx&amp;sheet=A0&amp;row=495&amp;col=6&amp;number=456000000&amp;sourceID=14","456000000")</f>
        <v>456000000</v>
      </c>
      <c r="G495" s="4" t="str">
        <f>HYPERLINK("http://141.218.60.56/~jnz1568/getInfo.php?workbook=12_04.xlsx&amp;sheet=A0&amp;row=495&amp;col=7&amp;number=0&amp;sourceID=14","0")</f>
        <v>0</v>
      </c>
    </row>
    <row r="496" spans="1:7">
      <c r="A496" s="3">
        <v>12</v>
      </c>
      <c r="B496" s="3">
        <v>4</v>
      </c>
      <c r="C496" s="3">
        <v>65</v>
      </c>
      <c r="D496" s="3">
        <v>6</v>
      </c>
      <c r="E496" s="3">
        <v>-53.941</v>
      </c>
      <c r="F496" s="4" t="str">
        <f>HYPERLINK("http://141.218.60.56/~jnz1568/getInfo.php?workbook=12_04.xlsx&amp;sheet=A0&amp;row=496&amp;col=6&amp;number=1.38&amp;sourceID=14","1.38")</f>
        <v>1.38</v>
      </c>
      <c r="G496" s="4" t="str">
        <f>HYPERLINK("http://141.218.60.56/~jnz1568/getInfo.php?workbook=12_04.xlsx&amp;sheet=A0&amp;row=496&amp;col=7&amp;number=0&amp;sourceID=14","0")</f>
        <v>0</v>
      </c>
    </row>
    <row r="497" spans="1:7">
      <c r="A497" s="3">
        <v>12</v>
      </c>
      <c r="B497" s="3">
        <v>4</v>
      </c>
      <c r="C497" s="3">
        <v>66</v>
      </c>
      <c r="D497" s="3">
        <v>6</v>
      </c>
      <c r="E497" s="3">
        <v>-53.867</v>
      </c>
      <c r="F497" s="4" t="str">
        <f>HYPERLINK("http://141.218.60.56/~jnz1568/getInfo.php?workbook=12_04.xlsx&amp;sheet=A0&amp;row=497&amp;col=6&amp;number=1.87&amp;sourceID=14","1.87")</f>
        <v>1.87</v>
      </c>
      <c r="G497" s="4" t="str">
        <f>HYPERLINK("http://141.218.60.56/~jnz1568/getInfo.php?workbook=12_04.xlsx&amp;sheet=A0&amp;row=497&amp;col=7&amp;number=0&amp;sourceID=14","0")</f>
        <v>0</v>
      </c>
    </row>
    <row r="498" spans="1:7">
      <c r="A498" s="3">
        <v>12</v>
      </c>
      <c r="B498" s="3">
        <v>4</v>
      </c>
      <c r="C498" s="3">
        <v>67</v>
      </c>
      <c r="D498" s="3">
        <v>6</v>
      </c>
      <c r="E498" s="3">
        <v>-53.854</v>
      </c>
      <c r="F498" s="4" t="str">
        <f>HYPERLINK("http://141.218.60.56/~jnz1568/getInfo.php?workbook=12_04.xlsx&amp;sheet=A0&amp;row=498&amp;col=6&amp;number=4510000&amp;sourceID=14","4510000")</f>
        <v>4510000</v>
      </c>
      <c r="G498" s="4" t="str">
        <f>HYPERLINK("http://141.218.60.56/~jnz1568/getInfo.php?workbook=12_04.xlsx&amp;sheet=A0&amp;row=498&amp;col=7&amp;number=0&amp;sourceID=14","0")</f>
        <v>0</v>
      </c>
    </row>
    <row r="499" spans="1:7">
      <c r="A499" s="3">
        <v>12</v>
      </c>
      <c r="B499" s="3">
        <v>4</v>
      </c>
      <c r="C499" s="3">
        <v>68</v>
      </c>
      <c r="D499" s="3">
        <v>6</v>
      </c>
      <c r="E499" s="3">
        <v>53.652</v>
      </c>
      <c r="F499" s="4" t="str">
        <f>HYPERLINK("http://141.218.60.56/~jnz1568/getInfo.php?workbook=12_04.xlsx&amp;sheet=A0&amp;row=499&amp;col=6&amp;number=0.0474&amp;sourceID=14","0.0474")</f>
        <v>0.0474</v>
      </c>
      <c r="G499" s="4" t="str">
        <f>HYPERLINK("http://141.218.60.56/~jnz1568/getInfo.php?workbook=12_04.xlsx&amp;sheet=A0&amp;row=499&amp;col=7&amp;number=0&amp;sourceID=14","0")</f>
        <v>0</v>
      </c>
    </row>
    <row r="500" spans="1:7">
      <c r="A500" s="3">
        <v>12</v>
      </c>
      <c r="B500" s="3">
        <v>4</v>
      </c>
      <c r="C500" s="3">
        <v>69</v>
      </c>
      <c r="D500" s="3">
        <v>6</v>
      </c>
      <c r="E500" s="3">
        <v>-53.699</v>
      </c>
      <c r="F500" s="4" t="str">
        <f>HYPERLINK("http://141.218.60.56/~jnz1568/getInfo.php?workbook=12_04.xlsx&amp;sheet=A0&amp;row=500&amp;col=6&amp;number=14.5&amp;sourceID=14","14.5")</f>
        <v>14.5</v>
      </c>
      <c r="G500" s="4" t="str">
        <f>HYPERLINK("http://141.218.60.56/~jnz1568/getInfo.php?workbook=12_04.xlsx&amp;sheet=A0&amp;row=500&amp;col=7&amp;number=0&amp;sourceID=14","0")</f>
        <v>0</v>
      </c>
    </row>
    <row r="501" spans="1:7">
      <c r="A501" s="3">
        <v>12</v>
      </c>
      <c r="B501" s="3">
        <v>4</v>
      </c>
      <c r="C501" s="3">
        <v>71</v>
      </c>
      <c r="D501" s="3">
        <v>6</v>
      </c>
      <c r="E501" s="3">
        <v>-53.626</v>
      </c>
      <c r="F501" s="4" t="str">
        <f>HYPERLINK("http://141.218.60.56/~jnz1568/getInfo.php?workbook=12_04.xlsx&amp;sheet=A0&amp;row=501&amp;col=6&amp;number=4.21&amp;sourceID=14","4.21")</f>
        <v>4.21</v>
      </c>
      <c r="G501" s="4" t="str">
        <f>HYPERLINK("http://141.218.60.56/~jnz1568/getInfo.php?workbook=12_04.xlsx&amp;sheet=A0&amp;row=501&amp;col=7&amp;number=0&amp;sourceID=14","0")</f>
        <v>0</v>
      </c>
    </row>
    <row r="502" spans="1:7">
      <c r="A502" s="3">
        <v>12</v>
      </c>
      <c r="B502" s="3">
        <v>4</v>
      </c>
      <c r="C502" s="3">
        <v>72</v>
      </c>
      <c r="D502" s="3">
        <v>6</v>
      </c>
      <c r="E502" s="3">
        <v>53.49</v>
      </c>
      <c r="F502" s="4" t="str">
        <f>HYPERLINK("http://141.218.60.56/~jnz1568/getInfo.php?workbook=12_04.xlsx&amp;sheet=A0&amp;row=502&amp;col=6&amp;number=783000&amp;sourceID=14","783000")</f>
        <v>783000</v>
      </c>
      <c r="G502" s="4" t="str">
        <f>HYPERLINK("http://141.218.60.56/~jnz1568/getInfo.php?workbook=12_04.xlsx&amp;sheet=A0&amp;row=502&amp;col=7&amp;number=0&amp;sourceID=14","0")</f>
        <v>0</v>
      </c>
    </row>
    <row r="503" spans="1:7">
      <c r="A503" s="3">
        <v>12</v>
      </c>
      <c r="B503" s="3">
        <v>4</v>
      </c>
      <c r="C503" s="3">
        <v>73</v>
      </c>
      <c r="D503" s="3">
        <v>6</v>
      </c>
      <c r="E503" s="3">
        <v>-53.525</v>
      </c>
      <c r="F503" s="4" t="str">
        <f>HYPERLINK("http://141.218.60.56/~jnz1568/getInfo.php?workbook=12_04.xlsx&amp;sheet=A0&amp;row=503&amp;col=6&amp;number=3.75&amp;sourceID=14","3.75")</f>
        <v>3.75</v>
      </c>
      <c r="G503" s="4" t="str">
        <f>HYPERLINK("http://141.218.60.56/~jnz1568/getInfo.php?workbook=12_04.xlsx&amp;sheet=A0&amp;row=503&amp;col=7&amp;number=0&amp;sourceID=14","0")</f>
        <v>0</v>
      </c>
    </row>
    <row r="504" spans="1:7">
      <c r="A504" s="3">
        <v>12</v>
      </c>
      <c r="B504" s="3">
        <v>4</v>
      </c>
      <c r="C504" s="3">
        <v>74</v>
      </c>
      <c r="D504" s="3">
        <v>6</v>
      </c>
      <c r="E504" s="3">
        <v>-53.47</v>
      </c>
      <c r="F504" s="4" t="str">
        <f>HYPERLINK("http://141.218.60.56/~jnz1568/getInfo.php?workbook=12_04.xlsx&amp;sheet=A0&amp;row=504&amp;col=6&amp;number=287&amp;sourceID=14","287")</f>
        <v>287</v>
      </c>
      <c r="G504" s="4" t="str">
        <f>HYPERLINK("http://141.218.60.56/~jnz1568/getInfo.php?workbook=12_04.xlsx&amp;sheet=A0&amp;row=504&amp;col=7&amp;number=0&amp;sourceID=14","0")</f>
        <v>0</v>
      </c>
    </row>
    <row r="505" spans="1:7">
      <c r="A505" s="3">
        <v>12</v>
      </c>
      <c r="B505" s="3">
        <v>4</v>
      </c>
      <c r="C505" s="3">
        <v>75</v>
      </c>
      <c r="D505" s="3">
        <v>6</v>
      </c>
      <c r="E505" s="3">
        <v>53.323</v>
      </c>
      <c r="F505" s="4" t="str">
        <f>HYPERLINK("http://141.218.60.56/~jnz1568/getInfo.php?workbook=12_04.xlsx&amp;sheet=A0&amp;row=505&amp;col=6&amp;number=1010&amp;sourceID=14","1010")</f>
        <v>1010</v>
      </c>
      <c r="G505" s="4" t="str">
        <f>HYPERLINK("http://141.218.60.56/~jnz1568/getInfo.php?workbook=12_04.xlsx&amp;sheet=A0&amp;row=505&amp;col=7&amp;number=0&amp;sourceID=14","0")</f>
        <v>0</v>
      </c>
    </row>
    <row r="506" spans="1:7">
      <c r="A506" s="3">
        <v>12</v>
      </c>
      <c r="B506" s="3">
        <v>4</v>
      </c>
      <c r="C506" s="3">
        <v>76</v>
      </c>
      <c r="D506" s="3">
        <v>6</v>
      </c>
      <c r="E506" s="3">
        <v>53.327</v>
      </c>
      <c r="F506" s="4" t="str">
        <f>HYPERLINK("http://141.218.60.56/~jnz1568/getInfo.php?workbook=12_04.xlsx&amp;sheet=A0&amp;row=506&amp;col=6&amp;number=307000&amp;sourceID=14","307000")</f>
        <v>307000</v>
      </c>
      <c r="G506" s="4" t="str">
        <f>HYPERLINK("http://141.218.60.56/~jnz1568/getInfo.php?workbook=12_04.xlsx&amp;sheet=A0&amp;row=506&amp;col=7&amp;number=0&amp;sourceID=14","0")</f>
        <v>0</v>
      </c>
    </row>
    <row r="507" spans="1:7">
      <c r="A507" s="3">
        <v>12</v>
      </c>
      <c r="B507" s="3">
        <v>4</v>
      </c>
      <c r="C507" s="3">
        <v>77</v>
      </c>
      <c r="D507" s="3">
        <v>6</v>
      </c>
      <c r="E507" s="3">
        <v>-53.408</v>
      </c>
      <c r="F507" s="4" t="str">
        <f>HYPERLINK("http://141.218.60.56/~jnz1568/getInfo.php?workbook=12_04.xlsx&amp;sheet=A0&amp;row=507&amp;col=6&amp;number=3.65e-06&amp;sourceID=14","3.65e-06")</f>
        <v>3.65e-06</v>
      </c>
      <c r="G507" s="4" t="str">
        <f>HYPERLINK("http://141.218.60.56/~jnz1568/getInfo.php?workbook=12_04.xlsx&amp;sheet=A0&amp;row=507&amp;col=7&amp;number=0&amp;sourceID=14","0")</f>
        <v>0</v>
      </c>
    </row>
    <row r="508" spans="1:7">
      <c r="A508" s="3">
        <v>12</v>
      </c>
      <c r="B508" s="3">
        <v>4</v>
      </c>
      <c r="C508" s="3">
        <v>78</v>
      </c>
      <c r="D508" s="3">
        <v>6</v>
      </c>
      <c r="E508" s="3">
        <v>-53.323</v>
      </c>
      <c r="F508" s="4" t="str">
        <f>HYPERLINK("http://141.218.60.56/~jnz1568/getInfo.php?workbook=12_04.xlsx&amp;sheet=A0&amp;row=508&amp;col=6&amp;number=192000000000&amp;sourceID=14","192000000000")</f>
        <v>192000000000</v>
      </c>
      <c r="G508" s="4" t="str">
        <f>HYPERLINK("http://141.218.60.56/~jnz1568/getInfo.php?workbook=12_04.xlsx&amp;sheet=A0&amp;row=508&amp;col=7&amp;number=0&amp;sourceID=14","0")</f>
        <v>0</v>
      </c>
    </row>
    <row r="509" spans="1:7">
      <c r="A509" s="3">
        <v>12</v>
      </c>
      <c r="B509" s="3">
        <v>4</v>
      </c>
      <c r="C509" s="3">
        <v>79</v>
      </c>
      <c r="D509" s="3">
        <v>6</v>
      </c>
      <c r="E509" s="3">
        <v>-53.305</v>
      </c>
      <c r="F509" s="4" t="str">
        <f>HYPERLINK("http://141.218.60.56/~jnz1568/getInfo.php?workbook=12_04.xlsx&amp;sheet=A0&amp;row=509&amp;col=6&amp;number=1960&amp;sourceID=14","1960")</f>
        <v>1960</v>
      </c>
      <c r="G509" s="4" t="str">
        <f>HYPERLINK("http://141.218.60.56/~jnz1568/getInfo.php?workbook=12_04.xlsx&amp;sheet=A0&amp;row=509&amp;col=7&amp;number=0&amp;sourceID=14","0")</f>
        <v>0</v>
      </c>
    </row>
    <row r="510" spans="1:7">
      <c r="A510" s="3">
        <v>12</v>
      </c>
      <c r="B510" s="3">
        <v>4</v>
      </c>
      <c r="C510" s="3">
        <v>80</v>
      </c>
      <c r="D510" s="3">
        <v>6</v>
      </c>
      <c r="E510" s="3">
        <v>-53.27</v>
      </c>
      <c r="F510" s="4" t="str">
        <f>HYPERLINK("http://141.218.60.56/~jnz1568/getInfo.php?workbook=12_04.xlsx&amp;sheet=A0&amp;row=510&amp;col=6&amp;number=0.0747&amp;sourceID=14","0.0747")</f>
        <v>0.0747</v>
      </c>
      <c r="G510" s="4" t="str">
        <f>HYPERLINK("http://141.218.60.56/~jnz1568/getInfo.php?workbook=12_04.xlsx&amp;sheet=A0&amp;row=510&amp;col=7&amp;number=0&amp;sourceID=14","0")</f>
        <v>0</v>
      </c>
    </row>
    <row r="511" spans="1:7">
      <c r="A511" s="3">
        <v>12</v>
      </c>
      <c r="B511" s="3">
        <v>4</v>
      </c>
      <c r="C511" s="3">
        <v>81</v>
      </c>
      <c r="D511" s="3">
        <v>6</v>
      </c>
      <c r="E511" s="3">
        <v>53.124</v>
      </c>
      <c r="F511" s="4" t="str">
        <f>HYPERLINK("http://141.218.60.56/~jnz1568/getInfo.php?workbook=12_04.xlsx&amp;sheet=A0&amp;row=511&amp;col=6&amp;number=78.7&amp;sourceID=14","78.7")</f>
        <v>78.7</v>
      </c>
      <c r="G511" s="4" t="str">
        <f>HYPERLINK("http://141.218.60.56/~jnz1568/getInfo.php?workbook=12_04.xlsx&amp;sheet=A0&amp;row=511&amp;col=7&amp;number=0&amp;sourceID=14","0")</f>
        <v>0</v>
      </c>
    </row>
    <row r="512" spans="1:7">
      <c r="A512" s="3">
        <v>12</v>
      </c>
      <c r="B512" s="3">
        <v>4</v>
      </c>
      <c r="C512" s="3">
        <v>82</v>
      </c>
      <c r="D512" s="3">
        <v>6</v>
      </c>
      <c r="E512" s="3">
        <v>-53.26</v>
      </c>
      <c r="F512" s="4" t="str">
        <f>HYPERLINK("http://141.218.60.56/~jnz1568/getInfo.php?workbook=12_04.xlsx&amp;sheet=A0&amp;row=512&amp;col=6&amp;number=23900000&amp;sourceID=14","23900000")</f>
        <v>23900000</v>
      </c>
      <c r="G512" s="4" t="str">
        <f>HYPERLINK("http://141.218.60.56/~jnz1568/getInfo.php?workbook=12_04.xlsx&amp;sheet=A0&amp;row=512&amp;col=7&amp;number=0&amp;sourceID=14","0")</f>
        <v>0</v>
      </c>
    </row>
    <row r="513" spans="1:7">
      <c r="A513" s="3">
        <v>12</v>
      </c>
      <c r="B513" s="3">
        <v>4</v>
      </c>
      <c r="C513" s="3">
        <v>83</v>
      </c>
      <c r="D513" s="3">
        <v>6</v>
      </c>
      <c r="E513" s="3">
        <v>-53.26</v>
      </c>
      <c r="F513" s="4" t="str">
        <f>HYPERLINK("http://141.218.60.56/~jnz1568/getInfo.php?workbook=12_04.xlsx&amp;sheet=A0&amp;row=513&amp;col=6&amp;number=0.142&amp;sourceID=14","0.142")</f>
        <v>0.142</v>
      </c>
      <c r="G513" s="4" t="str">
        <f>HYPERLINK("http://141.218.60.56/~jnz1568/getInfo.php?workbook=12_04.xlsx&amp;sheet=A0&amp;row=513&amp;col=7&amp;number=0&amp;sourceID=14","0")</f>
        <v>0</v>
      </c>
    </row>
    <row r="514" spans="1:7">
      <c r="A514" s="3">
        <v>12</v>
      </c>
      <c r="B514" s="3">
        <v>4</v>
      </c>
      <c r="C514" s="3">
        <v>84</v>
      </c>
      <c r="D514" s="3">
        <v>6</v>
      </c>
      <c r="E514" s="3">
        <v>-53.25</v>
      </c>
      <c r="F514" s="4" t="str">
        <f>HYPERLINK("http://141.218.60.56/~jnz1568/getInfo.php?workbook=12_04.xlsx&amp;sheet=A0&amp;row=514&amp;col=6&amp;number=0.0595&amp;sourceID=14","0.0595")</f>
        <v>0.0595</v>
      </c>
      <c r="G514" s="4" t="str">
        <f>HYPERLINK("http://141.218.60.56/~jnz1568/getInfo.php?workbook=12_04.xlsx&amp;sheet=A0&amp;row=514&amp;col=7&amp;number=0&amp;sourceID=14","0")</f>
        <v>0</v>
      </c>
    </row>
    <row r="515" spans="1:7">
      <c r="A515" s="3">
        <v>12</v>
      </c>
      <c r="B515" s="3">
        <v>4</v>
      </c>
      <c r="C515" s="3">
        <v>85</v>
      </c>
      <c r="D515" s="3">
        <v>6</v>
      </c>
      <c r="E515" s="3">
        <v>53.09</v>
      </c>
      <c r="F515" s="4" t="str">
        <f>HYPERLINK("http://141.218.60.56/~jnz1568/getInfo.php?workbook=12_04.xlsx&amp;sheet=A0&amp;row=515&amp;col=6&amp;number=110&amp;sourceID=14","110")</f>
        <v>110</v>
      </c>
      <c r="G515" s="4" t="str">
        <f>HYPERLINK("http://141.218.60.56/~jnz1568/getInfo.php?workbook=12_04.xlsx&amp;sheet=A0&amp;row=515&amp;col=7&amp;number=0&amp;sourceID=14","0")</f>
        <v>0</v>
      </c>
    </row>
    <row r="516" spans="1:7">
      <c r="A516" s="3">
        <v>12</v>
      </c>
      <c r="B516" s="3">
        <v>4</v>
      </c>
      <c r="C516" s="3">
        <v>86</v>
      </c>
      <c r="D516" s="3">
        <v>6</v>
      </c>
      <c r="E516" s="3">
        <v>53.075</v>
      </c>
      <c r="F516" s="4" t="str">
        <f>HYPERLINK("http://141.218.60.56/~jnz1568/getInfo.php?workbook=12_04.xlsx&amp;sheet=A0&amp;row=516&amp;col=6&amp;number=11100000000&amp;sourceID=14","11100000000")</f>
        <v>11100000000</v>
      </c>
      <c r="G516" s="4" t="str">
        <f>HYPERLINK("http://141.218.60.56/~jnz1568/getInfo.php?workbook=12_04.xlsx&amp;sheet=A0&amp;row=516&amp;col=7&amp;number=0&amp;sourceID=14","0")</f>
        <v>0</v>
      </c>
    </row>
    <row r="517" spans="1:7">
      <c r="A517" s="3">
        <v>12</v>
      </c>
      <c r="B517" s="3">
        <v>4</v>
      </c>
      <c r="C517" s="3">
        <v>88</v>
      </c>
      <c r="D517" s="3">
        <v>6</v>
      </c>
      <c r="E517" s="3">
        <v>-53.159</v>
      </c>
      <c r="F517" s="4" t="str">
        <f>HYPERLINK("http://141.218.60.56/~jnz1568/getInfo.php?workbook=12_04.xlsx&amp;sheet=A0&amp;row=517&amp;col=6&amp;number=0.413&amp;sourceID=14","0.413")</f>
        <v>0.413</v>
      </c>
      <c r="G517" s="4" t="str">
        <f>HYPERLINK("http://141.218.60.56/~jnz1568/getInfo.php?workbook=12_04.xlsx&amp;sheet=A0&amp;row=517&amp;col=7&amp;number=0&amp;sourceID=14","0")</f>
        <v>0</v>
      </c>
    </row>
    <row r="518" spans="1:7">
      <c r="A518" s="3">
        <v>12</v>
      </c>
      <c r="B518" s="3">
        <v>4</v>
      </c>
      <c r="C518" s="3">
        <v>89</v>
      </c>
      <c r="D518" s="3">
        <v>6</v>
      </c>
      <c r="E518" s="3">
        <v>-53.146</v>
      </c>
      <c r="F518" s="4" t="str">
        <f>HYPERLINK("http://141.218.60.56/~jnz1568/getInfo.php?workbook=12_04.xlsx&amp;sheet=A0&amp;row=518&amp;col=6&amp;number=0.00921&amp;sourceID=14","0.00921")</f>
        <v>0.00921</v>
      </c>
      <c r="G518" s="4" t="str">
        <f>HYPERLINK("http://141.218.60.56/~jnz1568/getInfo.php?workbook=12_04.xlsx&amp;sheet=A0&amp;row=518&amp;col=7&amp;number=0&amp;sourceID=14","0")</f>
        <v>0</v>
      </c>
    </row>
    <row r="519" spans="1:7">
      <c r="A519" s="3">
        <v>12</v>
      </c>
      <c r="B519" s="3">
        <v>4</v>
      </c>
      <c r="C519" s="3">
        <v>90</v>
      </c>
      <c r="D519" s="3">
        <v>6</v>
      </c>
      <c r="E519" s="3">
        <v>-53.108</v>
      </c>
      <c r="F519" s="4" t="str">
        <f>HYPERLINK("http://141.218.60.56/~jnz1568/getInfo.php?workbook=12_04.xlsx&amp;sheet=A0&amp;row=519&amp;col=6&amp;number=5.47e-07&amp;sourceID=14","5.47e-07")</f>
        <v>5.47e-07</v>
      </c>
      <c r="G519" s="4" t="str">
        <f>HYPERLINK("http://141.218.60.56/~jnz1568/getInfo.php?workbook=12_04.xlsx&amp;sheet=A0&amp;row=519&amp;col=7&amp;number=0&amp;sourceID=14","0")</f>
        <v>0</v>
      </c>
    </row>
    <row r="520" spans="1:7">
      <c r="A520" s="3">
        <v>12</v>
      </c>
      <c r="B520" s="3">
        <v>4</v>
      </c>
      <c r="C520" s="3">
        <v>91</v>
      </c>
      <c r="D520" s="3">
        <v>6</v>
      </c>
      <c r="E520" s="3">
        <v>-53.073</v>
      </c>
      <c r="F520" s="4" t="str">
        <f>HYPERLINK("http://141.218.60.56/~jnz1568/getInfo.php?workbook=12_04.xlsx&amp;sheet=A0&amp;row=520&amp;col=6&amp;number=0.0186&amp;sourceID=14","0.0186")</f>
        <v>0.0186</v>
      </c>
      <c r="G520" s="4" t="str">
        <f>HYPERLINK("http://141.218.60.56/~jnz1568/getInfo.php?workbook=12_04.xlsx&amp;sheet=A0&amp;row=520&amp;col=7&amp;number=0&amp;sourceID=14","0")</f>
        <v>0</v>
      </c>
    </row>
    <row r="521" spans="1:7">
      <c r="A521" s="3">
        <v>12</v>
      </c>
      <c r="B521" s="3">
        <v>4</v>
      </c>
      <c r="C521" s="3">
        <v>92</v>
      </c>
      <c r="D521" s="3">
        <v>6</v>
      </c>
      <c r="E521" s="3">
        <v>-53.065</v>
      </c>
      <c r="F521" s="4" t="str">
        <f>HYPERLINK("http://141.218.60.56/~jnz1568/getInfo.php?workbook=12_04.xlsx&amp;sheet=A0&amp;row=521&amp;col=6&amp;number=0.00829&amp;sourceID=14","0.00829")</f>
        <v>0.00829</v>
      </c>
      <c r="G521" s="4" t="str">
        <f>HYPERLINK("http://141.218.60.56/~jnz1568/getInfo.php?workbook=12_04.xlsx&amp;sheet=A0&amp;row=521&amp;col=7&amp;number=0&amp;sourceID=14","0")</f>
        <v>0</v>
      </c>
    </row>
    <row r="522" spans="1:7">
      <c r="A522" s="3">
        <v>12</v>
      </c>
      <c r="B522" s="3">
        <v>4</v>
      </c>
      <c r="C522" s="3">
        <v>93</v>
      </c>
      <c r="D522" s="3">
        <v>6</v>
      </c>
      <c r="E522" s="3">
        <v>-53.058</v>
      </c>
      <c r="F522" s="4" t="str">
        <f>HYPERLINK("http://141.218.60.56/~jnz1568/getInfo.php?workbook=12_04.xlsx&amp;sheet=A0&amp;row=522&amp;col=6&amp;number=2740000&amp;sourceID=14","2740000")</f>
        <v>2740000</v>
      </c>
      <c r="G522" s="4" t="str">
        <f>HYPERLINK("http://141.218.60.56/~jnz1568/getInfo.php?workbook=12_04.xlsx&amp;sheet=A0&amp;row=522&amp;col=7&amp;number=0&amp;sourceID=14","0")</f>
        <v>0</v>
      </c>
    </row>
    <row r="523" spans="1:7">
      <c r="A523" s="3">
        <v>12</v>
      </c>
      <c r="B523" s="3">
        <v>4</v>
      </c>
      <c r="C523" s="3">
        <v>94</v>
      </c>
      <c r="D523" s="3">
        <v>6</v>
      </c>
      <c r="E523" s="3">
        <v>-53.03</v>
      </c>
      <c r="F523" s="4" t="str">
        <f>HYPERLINK("http://141.218.60.56/~jnz1568/getInfo.php?workbook=12_04.xlsx&amp;sheet=A0&amp;row=523&amp;col=6&amp;number=0.0902&amp;sourceID=14","0.0902")</f>
        <v>0.0902</v>
      </c>
      <c r="G523" s="4" t="str">
        <f>HYPERLINK("http://141.218.60.56/~jnz1568/getInfo.php?workbook=12_04.xlsx&amp;sheet=A0&amp;row=523&amp;col=7&amp;number=0&amp;sourceID=14","0")</f>
        <v>0</v>
      </c>
    </row>
    <row r="524" spans="1:7">
      <c r="A524" s="3">
        <v>12</v>
      </c>
      <c r="B524" s="3">
        <v>4</v>
      </c>
      <c r="C524" s="3">
        <v>96</v>
      </c>
      <c r="D524" s="3">
        <v>6</v>
      </c>
      <c r="E524" s="3">
        <v>-52.996</v>
      </c>
      <c r="F524" s="4" t="str">
        <f>HYPERLINK("http://141.218.60.56/~jnz1568/getInfo.php?workbook=12_04.xlsx&amp;sheet=A0&amp;row=524&amp;col=6&amp;number=2600000&amp;sourceID=14","2600000")</f>
        <v>2600000</v>
      </c>
      <c r="G524" s="4" t="str">
        <f>HYPERLINK("http://141.218.60.56/~jnz1568/getInfo.php?workbook=12_04.xlsx&amp;sheet=A0&amp;row=524&amp;col=7&amp;number=0&amp;sourceID=14","0")</f>
        <v>0</v>
      </c>
    </row>
    <row r="525" spans="1:7">
      <c r="A525" s="3">
        <v>12</v>
      </c>
      <c r="B525" s="3">
        <v>4</v>
      </c>
      <c r="C525" s="3">
        <v>97</v>
      </c>
      <c r="D525" s="3">
        <v>6</v>
      </c>
      <c r="E525" s="3">
        <v>52.89</v>
      </c>
      <c r="F525" s="4" t="str">
        <f>HYPERLINK("http://141.218.60.56/~jnz1568/getInfo.php?workbook=12_04.xlsx&amp;sheet=A0&amp;row=525&amp;col=6&amp;number=3.68&amp;sourceID=14","3.68")</f>
        <v>3.68</v>
      </c>
      <c r="G525" s="4" t="str">
        <f>HYPERLINK("http://141.218.60.56/~jnz1568/getInfo.php?workbook=12_04.xlsx&amp;sheet=A0&amp;row=525&amp;col=7&amp;number=0&amp;sourceID=14","0")</f>
        <v>0</v>
      </c>
    </row>
    <row r="526" spans="1:7">
      <c r="A526" s="3">
        <v>12</v>
      </c>
      <c r="B526" s="3">
        <v>4</v>
      </c>
      <c r="C526" s="3">
        <v>98</v>
      </c>
      <c r="D526" s="3">
        <v>6</v>
      </c>
      <c r="E526" s="3">
        <v>52.842</v>
      </c>
      <c r="F526" s="4" t="str">
        <f>HYPERLINK("http://141.218.60.56/~jnz1568/getInfo.php?workbook=12_04.xlsx&amp;sheet=A0&amp;row=526&amp;col=6&amp;number=2300000000&amp;sourceID=14","2300000000")</f>
        <v>2300000000</v>
      </c>
      <c r="G526" s="4" t="str">
        <f>HYPERLINK("http://141.218.60.56/~jnz1568/getInfo.php?workbook=12_04.xlsx&amp;sheet=A0&amp;row=526&amp;col=7&amp;number=0&amp;sourceID=14","0")</f>
        <v>0</v>
      </c>
    </row>
    <row r="527" spans="1:7">
      <c r="A527" s="3">
        <v>12</v>
      </c>
      <c r="B527" s="3">
        <v>4</v>
      </c>
      <c r="C527" s="3">
        <v>8</v>
      </c>
      <c r="D527" s="3">
        <v>7</v>
      </c>
      <c r="E527" s="3">
        <v>46061.809</v>
      </c>
      <c r="F527" s="4" t="str">
        <f>HYPERLINK("http://141.218.60.56/~jnz1568/getInfo.php?workbook=12_04.xlsx&amp;sheet=A0&amp;row=527&amp;col=6&amp;number=0.138&amp;sourceID=14","0.138")</f>
        <v>0.138</v>
      </c>
      <c r="G527" s="4" t="str">
        <f>HYPERLINK("http://141.218.60.56/~jnz1568/getInfo.php?workbook=12_04.xlsx&amp;sheet=A0&amp;row=527&amp;col=7&amp;number=0&amp;sourceID=14","0")</f>
        <v>0</v>
      </c>
    </row>
    <row r="528" spans="1:7">
      <c r="A528" s="3">
        <v>12</v>
      </c>
      <c r="B528" s="3">
        <v>4</v>
      </c>
      <c r="C528" s="3">
        <v>9</v>
      </c>
      <c r="D528" s="3">
        <v>7</v>
      </c>
      <c r="E528" s="3">
        <v>2635.676</v>
      </c>
      <c r="F528" s="4" t="str">
        <f>HYPERLINK("http://141.218.60.56/~jnz1568/getInfo.php?workbook=12_04.xlsx&amp;sheet=A0&amp;row=528&amp;col=6&amp;number=1.44&amp;sourceID=14","1.44")</f>
        <v>1.44</v>
      </c>
      <c r="G528" s="4" t="str">
        <f>HYPERLINK("http://141.218.60.56/~jnz1568/getInfo.php?workbook=12_04.xlsx&amp;sheet=A0&amp;row=528&amp;col=7&amp;number=0&amp;sourceID=14","0")</f>
        <v>0</v>
      </c>
    </row>
    <row r="529" spans="1:7">
      <c r="A529" s="3">
        <v>12</v>
      </c>
      <c r="B529" s="3">
        <v>4</v>
      </c>
      <c r="C529" s="3">
        <v>10</v>
      </c>
      <c r="D529" s="3">
        <v>7</v>
      </c>
      <c r="E529" s="3">
        <v>754.866</v>
      </c>
      <c r="F529" s="4" t="str">
        <f>HYPERLINK("http://141.218.60.56/~jnz1568/getInfo.php?workbook=12_04.xlsx&amp;sheet=A0&amp;row=529&amp;col=6&amp;number=74.8&amp;sourceID=14","74.8")</f>
        <v>74.8</v>
      </c>
      <c r="G529" s="4" t="str">
        <f>HYPERLINK("http://141.218.60.56/~jnz1568/getInfo.php?workbook=12_04.xlsx&amp;sheet=A0&amp;row=529&amp;col=7&amp;number=0&amp;sourceID=14","0")</f>
        <v>0</v>
      </c>
    </row>
    <row r="530" spans="1:7">
      <c r="A530" s="3">
        <v>12</v>
      </c>
      <c r="B530" s="3">
        <v>4</v>
      </c>
      <c r="C530" s="3">
        <v>11</v>
      </c>
      <c r="D530" s="3">
        <v>7</v>
      </c>
      <c r="E530" s="3">
        <v>85.816</v>
      </c>
      <c r="F530" s="4" t="str">
        <f>HYPERLINK("http://141.218.60.56/~jnz1568/getInfo.php?workbook=12_04.xlsx&amp;sheet=A0&amp;row=530&amp;col=6&amp;number=9.72&amp;sourceID=14","9.72")</f>
        <v>9.72</v>
      </c>
      <c r="G530" s="4" t="str">
        <f>HYPERLINK("http://141.218.60.56/~jnz1568/getInfo.php?workbook=12_04.xlsx&amp;sheet=A0&amp;row=530&amp;col=7&amp;number=0&amp;sourceID=14","0")</f>
        <v>0</v>
      </c>
    </row>
    <row r="531" spans="1:7">
      <c r="A531" s="3">
        <v>12</v>
      </c>
      <c r="B531" s="3">
        <v>4</v>
      </c>
      <c r="C531" s="3">
        <v>12</v>
      </c>
      <c r="D531" s="3">
        <v>7</v>
      </c>
      <c r="E531" s="3">
        <v>83.969</v>
      </c>
      <c r="F531" s="4" t="str">
        <f>HYPERLINK("http://141.218.60.56/~jnz1568/getInfo.php?workbook=12_04.xlsx&amp;sheet=A0&amp;row=531&amp;col=6&amp;number=1.95&amp;sourceID=14","1.95")</f>
        <v>1.95</v>
      </c>
      <c r="G531" s="4" t="str">
        <f>HYPERLINK("http://141.218.60.56/~jnz1568/getInfo.php?workbook=12_04.xlsx&amp;sheet=A0&amp;row=531&amp;col=7&amp;number=0&amp;sourceID=14","0")</f>
        <v>0</v>
      </c>
    </row>
    <row r="532" spans="1:7">
      <c r="A532" s="3">
        <v>12</v>
      </c>
      <c r="B532" s="3">
        <v>4</v>
      </c>
      <c r="C532" s="3">
        <v>13</v>
      </c>
      <c r="D532" s="3">
        <v>7</v>
      </c>
      <c r="E532" s="3">
        <v>81.537</v>
      </c>
      <c r="F532" s="4" t="str">
        <f>HYPERLINK("http://141.218.60.56/~jnz1568/getInfo.php?workbook=12_04.xlsx&amp;sheet=A0&amp;row=532&amp;col=6&amp;number=10400000&amp;sourceID=14","10400000")</f>
        <v>10400000</v>
      </c>
      <c r="G532" s="4" t="str">
        <f>HYPERLINK("http://141.218.60.56/~jnz1568/getInfo.php?workbook=12_04.xlsx&amp;sheet=A0&amp;row=532&amp;col=7&amp;number=0&amp;sourceID=14","0")</f>
        <v>0</v>
      </c>
    </row>
    <row r="533" spans="1:7">
      <c r="A533" s="3">
        <v>12</v>
      </c>
      <c r="B533" s="3">
        <v>4</v>
      </c>
      <c r="C533" s="3">
        <v>14</v>
      </c>
      <c r="D533" s="3">
        <v>7</v>
      </c>
      <c r="E533" s="3">
        <v>81.278</v>
      </c>
      <c r="F533" s="4" t="str">
        <f>HYPERLINK("http://141.218.60.56/~jnz1568/getInfo.php?workbook=12_04.xlsx&amp;sheet=A0&amp;row=533&amp;col=6&amp;number=1190000000&amp;sourceID=14","1190000000")</f>
        <v>1190000000</v>
      </c>
      <c r="G533" s="4" t="str">
        <f>HYPERLINK("http://141.218.60.56/~jnz1568/getInfo.php?workbook=12_04.xlsx&amp;sheet=A0&amp;row=533&amp;col=7&amp;number=0&amp;sourceID=14","0")</f>
        <v>0</v>
      </c>
    </row>
    <row r="534" spans="1:7">
      <c r="A534" s="3">
        <v>12</v>
      </c>
      <c r="B534" s="3">
        <v>4</v>
      </c>
      <c r="C534" s="3">
        <v>15</v>
      </c>
      <c r="D534" s="3">
        <v>7</v>
      </c>
      <c r="E534" s="3">
        <v>81.278</v>
      </c>
      <c r="F534" s="4" t="str">
        <f>HYPERLINK("http://141.218.60.56/~jnz1568/getInfo.php?workbook=12_04.xlsx&amp;sheet=A0&amp;row=534&amp;col=6&amp;number=285000000&amp;sourceID=14","285000000")</f>
        <v>285000000</v>
      </c>
      <c r="G534" s="4" t="str">
        <f>HYPERLINK("http://141.218.60.56/~jnz1568/getInfo.php?workbook=12_04.xlsx&amp;sheet=A0&amp;row=534&amp;col=7&amp;number=0&amp;sourceID=14","0")</f>
        <v>0</v>
      </c>
    </row>
    <row r="535" spans="1:7">
      <c r="A535" s="3">
        <v>12</v>
      </c>
      <c r="B535" s="3">
        <v>4</v>
      </c>
      <c r="C535" s="3">
        <v>16</v>
      </c>
      <c r="D535" s="3">
        <v>7</v>
      </c>
      <c r="E535" s="3">
        <v>81.278</v>
      </c>
      <c r="F535" s="4" t="str">
        <f>HYPERLINK("http://141.218.60.56/~jnz1568/getInfo.php?workbook=12_04.xlsx&amp;sheet=A0&amp;row=535&amp;col=6&amp;number=342000000&amp;sourceID=14","342000000")</f>
        <v>342000000</v>
      </c>
      <c r="G535" s="4" t="str">
        <f>HYPERLINK("http://141.218.60.56/~jnz1568/getInfo.php?workbook=12_04.xlsx&amp;sheet=A0&amp;row=535&amp;col=7&amp;number=0&amp;sourceID=14","0")</f>
        <v>0</v>
      </c>
    </row>
    <row r="536" spans="1:7">
      <c r="A536" s="3">
        <v>12</v>
      </c>
      <c r="B536" s="3">
        <v>4</v>
      </c>
      <c r="C536" s="3">
        <v>17</v>
      </c>
      <c r="D536" s="3">
        <v>7</v>
      </c>
      <c r="E536" s="3">
        <v>79.121</v>
      </c>
      <c r="F536" s="4" t="str">
        <f>HYPERLINK("http://141.218.60.56/~jnz1568/getInfo.php?workbook=12_04.xlsx&amp;sheet=A0&amp;row=536&amp;col=6&amp;number=114000&amp;sourceID=14","114000")</f>
        <v>114000</v>
      </c>
      <c r="G536" s="4" t="str">
        <f>HYPERLINK("http://141.218.60.56/~jnz1568/getInfo.php?workbook=12_04.xlsx&amp;sheet=A0&amp;row=536&amp;col=7&amp;number=0&amp;sourceID=14","0")</f>
        <v>0</v>
      </c>
    </row>
    <row r="537" spans="1:7">
      <c r="A537" s="3">
        <v>12</v>
      </c>
      <c r="B537" s="3">
        <v>4</v>
      </c>
      <c r="C537" s="3">
        <v>18</v>
      </c>
      <c r="D537" s="3">
        <v>7</v>
      </c>
      <c r="E537" s="3">
        <v>79.113</v>
      </c>
      <c r="F537" s="4" t="str">
        <f>HYPERLINK("http://141.218.60.56/~jnz1568/getInfo.php?workbook=12_04.xlsx&amp;sheet=A0&amp;row=537&amp;col=6&amp;number=12600&amp;sourceID=14","12600")</f>
        <v>12600</v>
      </c>
      <c r="G537" s="4" t="str">
        <f>HYPERLINK("http://141.218.60.56/~jnz1568/getInfo.php?workbook=12_04.xlsx&amp;sheet=A0&amp;row=537&amp;col=7&amp;number=0&amp;sourceID=14","0")</f>
        <v>0</v>
      </c>
    </row>
    <row r="538" spans="1:7">
      <c r="A538" s="3">
        <v>12</v>
      </c>
      <c r="B538" s="3">
        <v>4</v>
      </c>
      <c r="C538" s="3">
        <v>19</v>
      </c>
      <c r="D538" s="3">
        <v>7</v>
      </c>
      <c r="E538" s="3">
        <v>79.104</v>
      </c>
      <c r="F538" s="4" t="str">
        <f>HYPERLINK("http://141.218.60.56/~jnz1568/getInfo.php?workbook=12_04.xlsx&amp;sheet=A0&amp;row=538&amp;col=6&amp;number=45800&amp;sourceID=14","45800")</f>
        <v>45800</v>
      </c>
      <c r="G538" s="4" t="str">
        <f>HYPERLINK("http://141.218.60.56/~jnz1568/getInfo.php?workbook=12_04.xlsx&amp;sheet=A0&amp;row=538&amp;col=7&amp;number=0&amp;sourceID=14","0")</f>
        <v>0</v>
      </c>
    </row>
    <row r="539" spans="1:7">
      <c r="A539" s="3">
        <v>12</v>
      </c>
      <c r="B539" s="3">
        <v>4</v>
      </c>
      <c r="C539" s="3">
        <v>20</v>
      </c>
      <c r="D539" s="3">
        <v>7</v>
      </c>
      <c r="E539" s="3">
        <v>77.675</v>
      </c>
      <c r="F539" s="4" t="str">
        <f>HYPERLINK("http://141.218.60.56/~jnz1568/getInfo.php?workbook=12_04.xlsx&amp;sheet=A0&amp;row=539&amp;col=6&amp;number=21.8&amp;sourceID=14","21.8")</f>
        <v>21.8</v>
      </c>
      <c r="G539" s="4" t="str">
        <f>HYPERLINK("http://141.218.60.56/~jnz1568/getInfo.php?workbook=12_04.xlsx&amp;sheet=A0&amp;row=539&amp;col=7&amp;number=0&amp;sourceID=14","0")</f>
        <v>0</v>
      </c>
    </row>
    <row r="540" spans="1:7">
      <c r="A540" s="3">
        <v>12</v>
      </c>
      <c r="B540" s="3">
        <v>4</v>
      </c>
      <c r="C540" s="3">
        <v>21</v>
      </c>
      <c r="D540" s="3">
        <v>7</v>
      </c>
      <c r="E540" s="3">
        <v>74.461</v>
      </c>
      <c r="F540" s="4" t="str">
        <f>HYPERLINK("http://141.218.60.56/~jnz1568/getInfo.php?workbook=12_04.xlsx&amp;sheet=A0&amp;row=540&amp;col=6&amp;number=105000000000&amp;sourceID=14","105000000000")</f>
        <v>105000000000</v>
      </c>
      <c r="G540" s="4" t="str">
        <f>HYPERLINK("http://141.218.60.56/~jnz1568/getInfo.php?workbook=12_04.xlsx&amp;sheet=A0&amp;row=540&amp;col=7&amp;number=0&amp;sourceID=14","0")</f>
        <v>0</v>
      </c>
    </row>
    <row r="541" spans="1:7">
      <c r="A541" s="3">
        <v>12</v>
      </c>
      <c r="B541" s="3">
        <v>4</v>
      </c>
      <c r="C541" s="3">
        <v>22</v>
      </c>
      <c r="D541" s="3">
        <v>7</v>
      </c>
      <c r="E541" s="3">
        <v>74.4</v>
      </c>
      <c r="F541" s="4" t="str">
        <f>HYPERLINK("http://141.218.60.56/~jnz1568/getInfo.php?workbook=12_04.xlsx&amp;sheet=A0&amp;row=541&amp;col=6&amp;number=25900000000&amp;sourceID=14","25900000000")</f>
        <v>25900000000</v>
      </c>
      <c r="G541" s="4" t="str">
        <f>HYPERLINK("http://141.218.60.56/~jnz1568/getInfo.php?workbook=12_04.xlsx&amp;sheet=A0&amp;row=541&amp;col=7&amp;number=0&amp;sourceID=14","0")</f>
        <v>0</v>
      </c>
    </row>
    <row r="542" spans="1:7">
      <c r="A542" s="3">
        <v>12</v>
      </c>
      <c r="B542" s="3">
        <v>4</v>
      </c>
      <c r="C542" s="3">
        <v>23</v>
      </c>
      <c r="D542" s="3">
        <v>7</v>
      </c>
      <c r="E542" s="3">
        <v>74.254</v>
      </c>
      <c r="F542" s="4" t="str">
        <f>HYPERLINK("http://141.218.60.56/~jnz1568/getInfo.php?workbook=12_04.xlsx&amp;sheet=A0&amp;row=542&amp;col=6&amp;number=26900000000&amp;sourceID=14","26900000000")</f>
        <v>26900000000</v>
      </c>
      <c r="G542" s="4" t="str">
        <f>HYPERLINK("http://141.218.60.56/~jnz1568/getInfo.php?workbook=12_04.xlsx&amp;sheet=A0&amp;row=542&amp;col=7&amp;number=0&amp;sourceID=14","0")</f>
        <v>0</v>
      </c>
    </row>
    <row r="543" spans="1:7">
      <c r="A543" s="3">
        <v>12</v>
      </c>
      <c r="B543" s="3">
        <v>4</v>
      </c>
      <c r="C543" s="3">
        <v>24</v>
      </c>
      <c r="D543" s="3">
        <v>7</v>
      </c>
      <c r="E543" s="3">
        <v>72.681</v>
      </c>
      <c r="F543" s="4" t="str">
        <f>HYPERLINK("http://141.218.60.56/~jnz1568/getInfo.php?workbook=12_04.xlsx&amp;sheet=A0&amp;row=543&amp;col=6&amp;number=101000000&amp;sourceID=14","101000000")</f>
        <v>101000000</v>
      </c>
      <c r="G543" s="4" t="str">
        <f>HYPERLINK("http://141.218.60.56/~jnz1568/getInfo.php?workbook=12_04.xlsx&amp;sheet=A0&amp;row=543&amp;col=7&amp;number=0&amp;sourceID=14","0")</f>
        <v>0</v>
      </c>
    </row>
    <row r="544" spans="1:7">
      <c r="A544" s="3">
        <v>12</v>
      </c>
      <c r="B544" s="3">
        <v>4</v>
      </c>
      <c r="C544" s="3">
        <v>25</v>
      </c>
      <c r="D544" s="3">
        <v>7</v>
      </c>
      <c r="E544" s="3">
        <v>72.413</v>
      </c>
      <c r="F544" s="4" t="str">
        <f>HYPERLINK("http://141.218.60.56/~jnz1568/getInfo.php?workbook=12_04.xlsx&amp;sheet=A0&amp;row=544&amp;col=6&amp;number=427000&amp;sourceID=14","427000")</f>
        <v>427000</v>
      </c>
      <c r="G544" s="4" t="str">
        <f>HYPERLINK("http://141.218.60.56/~jnz1568/getInfo.php?workbook=12_04.xlsx&amp;sheet=A0&amp;row=544&amp;col=7&amp;number=0&amp;sourceID=14","0")</f>
        <v>0</v>
      </c>
    </row>
    <row r="545" spans="1:7">
      <c r="A545" s="3">
        <v>12</v>
      </c>
      <c r="B545" s="3">
        <v>4</v>
      </c>
      <c r="C545" s="3">
        <v>26</v>
      </c>
      <c r="D545" s="3">
        <v>7</v>
      </c>
      <c r="E545" s="3">
        <v>72.03</v>
      </c>
      <c r="F545" s="4" t="str">
        <f>HYPERLINK("http://141.218.60.56/~jnz1568/getInfo.php?workbook=12_04.xlsx&amp;sheet=A0&amp;row=545&amp;col=6&amp;number=11700000&amp;sourceID=14","11700000")</f>
        <v>11700000</v>
      </c>
      <c r="G545" s="4" t="str">
        <f>HYPERLINK("http://141.218.60.56/~jnz1568/getInfo.php?workbook=12_04.xlsx&amp;sheet=A0&amp;row=545&amp;col=7&amp;number=0&amp;sourceID=14","0")</f>
        <v>0</v>
      </c>
    </row>
    <row r="546" spans="1:7">
      <c r="A546" s="3">
        <v>12</v>
      </c>
      <c r="B546" s="3">
        <v>4</v>
      </c>
      <c r="C546" s="3">
        <v>27</v>
      </c>
      <c r="D546" s="3">
        <v>7</v>
      </c>
      <c r="E546" s="3">
        <v>71.978</v>
      </c>
      <c r="F546" s="4" t="str">
        <f>HYPERLINK("http://141.218.60.56/~jnz1568/getInfo.php?workbook=12_04.xlsx&amp;sheet=A0&amp;row=546&amp;col=6&amp;number=1490000&amp;sourceID=14","1490000")</f>
        <v>1490000</v>
      </c>
      <c r="G546" s="4" t="str">
        <f>HYPERLINK("http://141.218.60.56/~jnz1568/getInfo.php?workbook=12_04.xlsx&amp;sheet=A0&amp;row=546&amp;col=7&amp;number=0&amp;sourceID=14","0")</f>
        <v>0</v>
      </c>
    </row>
    <row r="547" spans="1:7">
      <c r="A547" s="3">
        <v>12</v>
      </c>
      <c r="B547" s="3">
        <v>4</v>
      </c>
      <c r="C547" s="3">
        <v>28</v>
      </c>
      <c r="D547" s="3">
        <v>7</v>
      </c>
      <c r="E547" s="3">
        <v>71.849</v>
      </c>
      <c r="F547" s="4" t="str">
        <f>HYPERLINK("http://141.218.60.56/~jnz1568/getInfo.php?workbook=12_04.xlsx&amp;sheet=A0&amp;row=547&amp;col=6&amp;number=5260000&amp;sourceID=14","5260000")</f>
        <v>5260000</v>
      </c>
      <c r="G547" s="4" t="str">
        <f>HYPERLINK("http://141.218.60.56/~jnz1568/getInfo.php?workbook=12_04.xlsx&amp;sheet=A0&amp;row=547&amp;col=7&amp;number=0&amp;sourceID=14","0")</f>
        <v>0</v>
      </c>
    </row>
    <row r="548" spans="1:7">
      <c r="A548" s="3">
        <v>12</v>
      </c>
      <c r="B548" s="3">
        <v>4</v>
      </c>
      <c r="C548" s="3">
        <v>29</v>
      </c>
      <c r="D548" s="3">
        <v>7</v>
      </c>
      <c r="E548" s="3">
        <v>71.265</v>
      </c>
      <c r="F548" s="4" t="str">
        <f>HYPERLINK("http://141.218.60.56/~jnz1568/getInfo.php?workbook=12_04.xlsx&amp;sheet=A0&amp;row=548&amp;col=6&amp;number=24900&amp;sourceID=14","24900")</f>
        <v>24900</v>
      </c>
      <c r="G548" s="4" t="str">
        <f>HYPERLINK("http://141.218.60.56/~jnz1568/getInfo.php?workbook=12_04.xlsx&amp;sheet=A0&amp;row=548&amp;col=7&amp;number=0&amp;sourceID=14","0")</f>
        <v>0</v>
      </c>
    </row>
    <row r="549" spans="1:7">
      <c r="A549" s="3">
        <v>12</v>
      </c>
      <c r="B549" s="3">
        <v>4</v>
      </c>
      <c r="C549" s="3">
        <v>30</v>
      </c>
      <c r="D549" s="3">
        <v>7</v>
      </c>
      <c r="E549" s="3">
        <v>-71.098</v>
      </c>
      <c r="F549" s="4" t="str">
        <f>HYPERLINK("http://141.218.60.56/~jnz1568/getInfo.php?workbook=12_04.xlsx&amp;sheet=A0&amp;row=549&amp;col=6&amp;number=40.7&amp;sourceID=14","40.7")</f>
        <v>40.7</v>
      </c>
      <c r="G549" s="4" t="str">
        <f>HYPERLINK("http://141.218.60.56/~jnz1568/getInfo.php?workbook=12_04.xlsx&amp;sheet=A0&amp;row=549&amp;col=7&amp;number=0&amp;sourceID=14","0")</f>
        <v>0</v>
      </c>
    </row>
    <row r="550" spans="1:7">
      <c r="A550" s="3">
        <v>12</v>
      </c>
      <c r="B550" s="3">
        <v>4</v>
      </c>
      <c r="C550" s="3">
        <v>31</v>
      </c>
      <c r="D550" s="3">
        <v>7</v>
      </c>
      <c r="E550" s="3">
        <v>70.845</v>
      </c>
      <c r="F550" s="4" t="str">
        <f>HYPERLINK("http://141.218.60.56/~jnz1568/getInfo.php?workbook=12_04.xlsx&amp;sheet=A0&amp;row=550&amp;col=6&amp;number=1990000&amp;sourceID=14","1990000")</f>
        <v>1990000</v>
      </c>
      <c r="G550" s="4" t="str">
        <f>HYPERLINK("http://141.218.60.56/~jnz1568/getInfo.php?workbook=12_04.xlsx&amp;sheet=A0&amp;row=550&amp;col=7&amp;number=0&amp;sourceID=14","0")</f>
        <v>0</v>
      </c>
    </row>
    <row r="551" spans="1:7">
      <c r="A551" s="3">
        <v>12</v>
      </c>
      <c r="B551" s="3">
        <v>4</v>
      </c>
      <c r="C551" s="3">
        <v>32</v>
      </c>
      <c r="D551" s="3">
        <v>7</v>
      </c>
      <c r="E551" s="3">
        <v>70.78</v>
      </c>
      <c r="F551" s="4" t="str">
        <f>HYPERLINK("http://141.218.60.56/~jnz1568/getInfo.php?workbook=12_04.xlsx&amp;sheet=A0&amp;row=551&amp;col=6&amp;number=3950000&amp;sourceID=14","3950000")</f>
        <v>3950000</v>
      </c>
      <c r="G551" s="4" t="str">
        <f>HYPERLINK("http://141.218.60.56/~jnz1568/getInfo.php?workbook=12_04.xlsx&amp;sheet=A0&amp;row=551&amp;col=7&amp;number=0&amp;sourceID=14","0")</f>
        <v>0</v>
      </c>
    </row>
    <row r="552" spans="1:7">
      <c r="A552" s="3">
        <v>12</v>
      </c>
      <c r="B552" s="3">
        <v>4</v>
      </c>
      <c r="C552" s="3">
        <v>33</v>
      </c>
      <c r="D552" s="3">
        <v>7</v>
      </c>
      <c r="E552" s="3">
        <v>-70.684</v>
      </c>
      <c r="F552" s="4" t="str">
        <f>HYPERLINK("http://141.218.60.56/~jnz1568/getInfo.php?workbook=12_04.xlsx&amp;sheet=A0&amp;row=552&amp;col=6&amp;number=289000000&amp;sourceID=14","289000000")</f>
        <v>289000000</v>
      </c>
      <c r="G552" s="4" t="str">
        <f>HYPERLINK("http://141.218.60.56/~jnz1568/getInfo.php?workbook=12_04.xlsx&amp;sheet=A0&amp;row=552&amp;col=7&amp;number=0&amp;sourceID=14","0")</f>
        <v>0</v>
      </c>
    </row>
    <row r="553" spans="1:7">
      <c r="A553" s="3">
        <v>12</v>
      </c>
      <c r="B553" s="3">
        <v>4</v>
      </c>
      <c r="C553" s="3">
        <v>34</v>
      </c>
      <c r="D553" s="3">
        <v>7</v>
      </c>
      <c r="E553" s="3">
        <v>-70.582</v>
      </c>
      <c r="F553" s="4" t="str">
        <f>HYPERLINK("http://141.218.60.56/~jnz1568/getInfo.php?workbook=12_04.xlsx&amp;sheet=A0&amp;row=553&amp;col=6&amp;number=1240&amp;sourceID=14","1240")</f>
        <v>1240</v>
      </c>
      <c r="G553" s="4" t="str">
        <f>HYPERLINK("http://141.218.60.56/~jnz1568/getInfo.php?workbook=12_04.xlsx&amp;sheet=A0&amp;row=553&amp;col=7&amp;number=0&amp;sourceID=14","0")</f>
        <v>0</v>
      </c>
    </row>
    <row r="554" spans="1:7">
      <c r="A554" s="3">
        <v>12</v>
      </c>
      <c r="B554" s="3">
        <v>4</v>
      </c>
      <c r="C554" s="3">
        <v>35</v>
      </c>
      <c r="D554" s="3">
        <v>7</v>
      </c>
      <c r="E554" s="3">
        <v>70.3</v>
      </c>
      <c r="F554" s="4" t="str">
        <f>HYPERLINK("http://141.218.60.56/~jnz1568/getInfo.php?workbook=12_04.xlsx&amp;sheet=A0&amp;row=554&amp;col=6&amp;number=2620000000&amp;sourceID=14","2620000000")</f>
        <v>2620000000</v>
      </c>
      <c r="G554" s="4" t="str">
        <f>HYPERLINK("http://141.218.60.56/~jnz1568/getInfo.php?workbook=12_04.xlsx&amp;sheet=A0&amp;row=554&amp;col=7&amp;number=0&amp;sourceID=14","0")</f>
        <v>0</v>
      </c>
    </row>
    <row r="555" spans="1:7">
      <c r="A555" s="3">
        <v>12</v>
      </c>
      <c r="B555" s="3">
        <v>4</v>
      </c>
      <c r="C555" s="3">
        <v>36</v>
      </c>
      <c r="D555" s="3">
        <v>7</v>
      </c>
      <c r="E555" s="3">
        <v>-70.482</v>
      </c>
      <c r="F555" s="4" t="str">
        <f>HYPERLINK("http://141.218.60.56/~jnz1568/getInfo.php?workbook=12_04.xlsx&amp;sheet=A0&amp;row=555&amp;col=6&amp;number=605&amp;sourceID=14","605")</f>
        <v>605</v>
      </c>
      <c r="G555" s="4" t="str">
        <f>HYPERLINK("http://141.218.60.56/~jnz1568/getInfo.php?workbook=12_04.xlsx&amp;sheet=A0&amp;row=555&amp;col=7&amp;number=0&amp;sourceID=14","0")</f>
        <v>0</v>
      </c>
    </row>
    <row r="556" spans="1:7">
      <c r="A556" s="3">
        <v>12</v>
      </c>
      <c r="B556" s="3">
        <v>4</v>
      </c>
      <c r="C556" s="3">
        <v>37</v>
      </c>
      <c r="D556" s="3">
        <v>7</v>
      </c>
      <c r="E556" s="3">
        <v>69.993</v>
      </c>
      <c r="F556" s="4" t="str">
        <f>HYPERLINK("http://141.218.60.56/~jnz1568/getInfo.php?workbook=12_04.xlsx&amp;sheet=A0&amp;row=556&amp;col=6&amp;number=23600&amp;sourceID=14","23600")</f>
        <v>23600</v>
      </c>
      <c r="G556" s="4" t="str">
        <f>HYPERLINK("http://141.218.60.56/~jnz1568/getInfo.php?workbook=12_04.xlsx&amp;sheet=A0&amp;row=556&amp;col=7&amp;number=0&amp;sourceID=14","0")</f>
        <v>0</v>
      </c>
    </row>
    <row r="557" spans="1:7">
      <c r="A557" s="3">
        <v>12</v>
      </c>
      <c r="B557" s="3">
        <v>4</v>
      </c>
      <c r="C557" s="3">
        <v>38</v>
      </c>
      <c r="D557" s="3">
        <v>7</v>
      </c>
      <c r="E557" s="3">
        <v>69.437</v>
      </c>
      <c r="F557" s="4" t="str">
        <f>HYPERLINK("http://141.218.60.56/~jnz1568/getInfo.php?workbook=12_04.xlsx&amp;sheet=A0&amp;row=557&amp;col=6&amp;number=276000000000&amp;sourceID=14","276000000000")</f>
        <v>276000000000</v>
      </c>
      <c r="G557" s="4" t="str">
        <f>HYPERLINK("http://141.218.60.56/~jnz1568/getInfo.php?workbook=12_04.xlsx&amp;sheet=A0&amp;row=557&amp;col=7&amp;number=0&amp;sourceID=14","0")</f>
        <v>0</v>
      </c>
    </row>
    <row r="558" spans="1:7">
      <c r="A558" s="3">
        <v>12</v>
      </c>
      <c r="B558" s="3">
        <v>4</v>
      </c>
      <c r="C558" s="3">
        <v>39</v>
      </c>
      <c r="D558" s="3">
        <v>7</v>
      </c>
      <c r="E558" s="3">
        <v>69.411</v>
      </c>
      <c r="F558" s="4" t="str">
        <f>HYPERLINK("http://141.218.60.56/~jnz1568/getInfo.php?workbook=12_04.xlsx&amp;sheet=A0&amp;row=558&amp;col=6&amp;number=651000000000&amp;sourceID=14","651000000000")</f>
        <v>651000000000</v>
      </c>
      <c r="G558" s="4" t="str">
        <f>HYPERLINK("http://141.218.60.56/~jnz1568/getInfo.php?workbook=12_04.xlsx&amp;sheet=A0&amp;row=558&amp;col=7&amp;number=0&amp;sourceID=14","0")</f>
        <v>0</v>
      </c>
    </row>
    <row r="559" spans="1:7">
      <c r="A559" s="3">
        <v>12</v>
      </c>
      <c r="B559" s="3">
        <v>4</v>
      </c>
      <c r="C559" s="3">
        <v>40</v>
      </c>
      <c r="D559" s="3">
        <v>7</v>
      </c>
      <c r="E559" s="3">
        <v>69.363</v>
      </c>
      <c r="F559" s="4" t="str">
        <f>HYPERLINK("http://141.218.60.56/~jnz1568/getInfo.php?workbook=12_04.xlsx&amp;sheet=A0&amp;row=559&amp;col=6&amp;number=2930&amp;sourceID=14","2930")</f>
        <v>2930</v>
      </c>
      <c r="G559" s="4" t="str">
        <f>HYPERLINK("http://141.218.60.56/~jnz1568/getInfo.php?workbook=12_04.xlsx&amp;sheet=A0&amp;row=559&amp;col=7&amp;number=0&amp;sourceID=14","0")</f>
        <v>0</v>
      </c>
    </row>
    <row r="560" spans="1:7">
      <c r="A560" s="3">
        <v>12</v>
      </c>
      <c r="B560" s="3">
        <v>4</v>
      </c>
      <c r="C560" s="3">
        <v>41</v>
      </c>
      <c r="D560" s="3">
        <v>7</v>
      </c>
      <c r="E560" s="3">
        <v>69.058</v>
      </c>
      <c r="F560" s="4" t="str">
        <f>HYPERLINK("http://141.218.60.56/~jnz1568/getInfo.php?workbook=12_04.xlsx&amp;sheet=A0&amp;row=560&amp;col=6&amp;number=30900000000&amp;sourceID=14","30900000000")</f>
        <v>30900000000</v>
      </c>
      <c r="G560" s="4" t="str">
        <f>HYPERLINK("http://141.218.60.56/~jnz1568/getInfo.php?workbook=12_04.xlsx&amp;sheet=A0&amp;row=560&amp;col=7&amp;number=0&amp;sourceID=14","0")</f>
        <v>0</v>
      </c>
    </row>
    <row r="561" spans="1:7">
      <c r="A561" s="3">
        <v>12</v>
      </c>
      <c r="B561" s="3">
        <v>4</v>
      </c>
      <c r="C561" s="3">
        <v>42</v>
      </c>
      <c r="D561" s="3">
        <v>7</v>
      </c>
      <c r="E561" s="3">
        <v>69.011</v>
      </c>
      <c r="F561" s="4" t="str">
        <f>HYPERLINK("http://141.218.60.56/~jnz1568/getInfo.php?workbook=12_04.xlsx&amp;sheet=A0&amp;row=561&amp;col=6&amp;number=151000000000&amp;sourceID=14","151000000000")</f>
        <v>151000000000</v>
      </c>
      <c r="G561" s="4" t="str">
        <f>HYPERLINK("http://141.218.60.56/~jnz1568/getInfo.php?workbook=12_04.xlsx&amp;sheet=A0&amp;row=561&amp;col=7&amp;number=0&amp;sourceID=14","0")</f>
        <v>0</v>
      </c>
    </row>
    <row r="562" spans="1:7">
      <c r="A562" s="3">
        <v>12</v>
      </c>
      <c r="B562" s="3">
        <v>4</v>
      </c>
      <c r="C562" s="3">
        <v>43</v>
      </c>
      <c r="D562" s="3">
        <v>7</v>
      </c>
      <c r="E562" s="3">
        <v>68.986</v>
      </c>
      <c r="F562" s="4" t="str">
        <f>HYPERLINK("http://141.218.60.56/~jnz1568/getInfo.php?workbook=12_04.xlsx&amp;sheet=A0&amp;row=562&amp;col=6&amp;number=415000000000&amp;sourceID=14","415000000000")</f>
        <v>415000000000</v>
      </c>
      <c r="G562" s="4" t="str">
        <f>HYPERLINK("http://141.218.60.56/~jnz1568/getInfo.php?workbook=12_04.xlsx&amp;sheet=A0&amp;row=562&amp;col=7&amp;number=0&amp;sourceID=14","0")</f>
        <v>0</v>
      </c>
    </row>
    <row r="563" spans="1:7">
      <c r="A563" s="3">
        <v>12</v>
      </c>
      <c r="B563" s="3">
        <v>4</v>
      </c>
      <c r="C563" s="3">
        <v>44</v>
      </c>
      <c r="D563" s="3">
        <v>7</v>
      </c>
      <c r="E563" s="3">
        <v>-68.47</v>
      </c>
      <c r="F563" s="4" t="str">
        <f>HYPERLINK("http://141.218.60.56/~jnz1568/getInfo.php?workbook=12_04.xlsx&amp;sheet=A0&amp;row=563&amp;col=6&amp;number=131&amp;sourceID=14","131")</f>
        <v>131</v>
      </c>
      <c r="G563" s="4" t="str">
        <f>HYPERLINK("http://141.218.60.56/~jnz1568/getInfo.php?workbook=12_04.xlsx&amp;sheet=A0&amp;row=563&amp;col=7&amp;number=0&amp;sourceID=14","0")</f>
        <v>0</v>
      </c>
    </row>
    <row r="564" spans="1:7">
      <c r="A564" s="3">
        <v>12</v>
      </c>
      <c r="B564" s="3">
        <v>4</v>
      </c>
      <c r="C564" s="3">
        <v>45</v>
      </c>
      <c r="D564" s="3">
        <v>7</v>
      </c>
      <c r="E564" s="3">
        <v>68.142</v>
      </c>
      <c r="F564" s="4" t="str">
        <f>HYPERLINK("http://141.218.60.56/~jnz1568/getInfo.php?workbook=12_04.xlsx&amp;sheet=A0&amp;row=564&amp;col=6&amp;number=1.8&amp;sourceID=14","1.8")</f>
        <v>1.8</v>
      </c>
      <c r="G564" s="4" t="str">
        <f>HYPERLINK("http://141.218.60.56/~jnz1568/getInfo.php?workbook=12_04.xlsx&amp;sheet=A0&amp;row=564&amp;col=7&amp;number=0&amp;sourceID=14","0")</f>
        <v>0</v>
      </c>
    </row>
    <row r="565" spans="1:7">
      <c r="A565" s="3">
        <v>12</v>
      </c>
      <c r="B565" s="3">
        <v>4</v>
      </c>
      <c r="C565" s="3">
        <v>46</v>
      </c>
      <c r="D565" s="3">
        <v>7</v>
      </c>
      <c r="E565" s="3">
        <v>67.824</v>
      </c>
      <c r="F565" s="4" t="str">
        <f>HYPERLINK("http://141.218.60.56/~jnz1568/getInfo.php?workbook=12_04.xlsx&amp;sheet=A0&amp;row=565&amp;col=6&amp;number=189000000&amp;sourceID=14","189000000")</f>
        <v>189000000</v>
      </c>
      <c r="G565" s="4" t="str">
        <f>HYPERLINK("http://141.218.60.56/~jnz1568/getInfo.php?workbook=12_04.xlsx&amp;sheet=A0&amp;row=565&amp;col=7&amp;number=0&amp;sourceID=14","0")</f>
        <v>0</v>
      </c>
    </row>
    <row r="566" spans="1:7">
      <c r="A566" s="3">
        <v>12</v>
      </c>
      <c r="B566" s="3">
        <v>4</v>
      </c>
      <c r="C566" s="3">
        <v>47</v>
      </c>
      <c r="D566" s="3">
        <v>7</v>
      </c>
      <c r="E566" s="3">
        <v>-59.92</v>
      </c>
      <c r="F566" s="4" t="str">
        <f>HYPERLINK("http://141.218.60.56/~jnz1568/getInfo.php?workbook=12_04.xlsx&amp;sheet=A0&amp;row=566&amp;col=6&amp;number=2.98&amp;sourceID=14","2.98")</f>
        <v>2.98</v>
      </c>
      <c r="G566" s="4" t="str">
        <f>HYPERLINK("http://141.218.60.56/~jnz1568/getInfo.php?workbook=12_04.xlsx&amp;sheet=A0&amp;row=566&amp;col=7&amp;number=0&amp;sourceID=14","0")</f>
        <v>0</v>
      </c>
    </row>
    <row r="567" spans="1:7">
      <c r="A567" s="3">
        <v>12</v>
      </c>
      <c r="B567" s="3">
        <v>4</v>
      </c>
      <c r="C567" s="3">
        <v>48</v>
      </c>
      <c r="D567" s="3">
        <v>7</v>
      </c>
      <c r="E567" s="3">
        <v>-59.56</v>
      </c>
      <c r="F567" s="4" t="str">
        <f>HYPERLINK("http://141.218.60.56/~jnz1568/getInfo.php?workbook=12_04.xlsx&amp;sheet=A0&amp;row=567&amp;col=6&amp;number=0.371&amp;sourceID=14","0.371")</f>
        <v>0.371</v>
      </c>
      <c r="G567" s="4" t="str">
        <f>HYPERLINK("http://141.218.60.56/~jnz1568/getInfo.php?workbook=12_04.xlsx&amp;sheet=A0&amp;row=567&amp;col=7&amp;number=0&amp;sourceID=14","0")</f>
        <v>0</v>
      </c>
    </row>
    <row r="568" spans="1:7">
      <c r="A568" s="3">
        <v>12</v>
      </c>
      <c r="B568" s="3">
        <v>4</v>
      </c>
      <c r="C568" s="3">
        <v>49</v>
      </c>
      <c r="D568" s="3">
        <v>7</v>
      </c>
      <c r="E568" s="3">
        <v>-59.049</v>
      </c>
      <c r="F568" s="4" t="str">
        <f>HYPERLINK("http://141.218.60.56/~jnz1568/getInfo.php?workbook=12_04.xlsx&amp;sheet=A0&amp;row=568&amp;col=6&amp;number=341000000&amp;sourceID=14","341000000")</f>
        <v>341000000</v>
      </c>
      <c r="G568" s="4" t="str">
        <f>HYPERLINK("http://141.218.60.56/~jnz1568/getInfo.php?workbook=12_04.xlsx&amp;sheet=A0&amp;row=568&amp;col=7&amp;number=0&amp;sourceID=14","0")</f>
        <v>0</v>
      </c>
    </row>
    <row r="569" spans="1:7">
      <c r="A569" s="3">
        <v>12</v>
      </c>
      <c r="B569" s="3">
        <v>4</v>
      </c>
      <c r="C569" s="3">
        <v>50</v>
      </c>
      <c r="D569" s="3">
        <v>7</v>
      </c>
      <c r="E569" s="3">
        <v>-59.045</v>
      </c>
      <c r="F569" s="4" t="str">
        <f>HYPERLINK("http://141.218.60.56/~jnz1568/getInfo.php?workbook=12_04.xlsx&amp;sheet=A0&amp;row=569&amp;col=6&amp;number=86700000&amp;sourceID=14","86700000")</f>
        <v>86700000</v>
      </c>
      <c r="G569" s="4" t="str">
        <f>HYPERLINK("http://141.218.60.56/~jnz1568/getInfo.php?workbook=12_04.xlsx&amp;sheet=A0&amp;row=569&amp;col=7&amp;number=0&amp;sourceID=14","0")</f>
        <v>0</v>
      </c>
    </row>
    <row r="570" spans="1:7">
      <c r="A570" s="3">
        <v>12</v>
      </c>
      <c r="B570" s="3">
        <v>4</v>
      </c>
      <c r="C570" s="3">
        <v>51</v>
      </c>
      <c r="D570" s="3">
        <v>7</v>
      </c>
      <c r="E570" s="3">
        <v>-59.036</v>
      </c>
      <c r="F570" s="4" t="str">
        <f>HYPERLINK("http://141.218.60.56/~jnz1568/getInfo.php?workbook=12_04.xlsx&amp;sheet=A0&amp;row=570&amp;col=6&amp;number=72600000&amp;sourceID=14","72600000")</f>
        <v>72600000</v>
      </c>
      <c r="G570" s="4" t="str">
        <f>HYPERLINK("http://141.218.60.56/~jnz1568/getInfo.php?workbook=12_04.xlsx&amp;sheet=A0&amp;row=570&amp;col=7&amp;number=0&amp;sourceID=14","0")</f>
        <v>0</v>
      </c>
    </row>
    <row r="571" spans="1:7">
      <c r="A571" s="3">
        <v>12</v>
      </c>
      <c r="B571" s="3">
        <v>4</v>
      </c>
      <c r="C571" s="3">
        <v>52</v>
      </c>
      <c r="D571" s="3">
        <v>7</v>
      </c>
      <c r="E571" s="3">
        <v>58.771</v>
      </c>
      <c r="F571" s="4" t="str">
        <f>HYPERLINK("http://141.218.60.56/~jnz1568/getInfo.php?workbook=12_04.xlsx&amp;sheet=A0&amp;row=571&amp;col=6&amp;number=303000&amp;sourceID=14","303000")</f>
        <v>303000</v>
      </c>
      <c r="G571" s="4" t="str">
        <f>HYPERLINK("http://141.218.60.56/~jnz1568/getInfo.php?workbook=12_04.xlsx&amp;sheet=A0&amp;row=571&amp;col=7&amp;number=0&amp;sourceID=14","0")</f>
        <v>0</v>
      </c>
    </row>
    <row r="572" spans="1:7">
      <c r="A572" s="3">
        <v>12</v>
      </c>
      <c r="B572" s="3">
        <v>4</v>
      </c>
      <c r="C572" s="3">
        <v>53</v>
      </c>
      <c r="D572" s="3">
        <v>7</v>
      </c>
      <c r="E572" s="3">
        <v>58.384</v>
      </c>
      <c r="F572" s="4" t="str">
        <f>HYPERLINK("http://141.218.60.56/~jnz1568/getInfo.php?workbook=12_04.xlsx&amp;sheet=A0&amp;row=572&amp;col=6&amp;number=44500&amp;sourceID=14","44500")</f>
        <v>44500</v>
      </c>
      <c r="G572" s="4" t="str">
        <f>HYPERLINK("http://141.218.60.56/~jnz1568/getInfo.php?workbook=12_04.xlsx&amp;sheet=A0&amp;row=572&amp;col=7&amp;number=0&amp;sourceID=14","0")</f>
        <v>0</v>
      </c>
    </row>
    <row r="573" spans="1:7">
      <c r="A573" s="3">
        <v>12</v>
      </c>
      <c r="B573" s="3">
        <v>4</v>
      </c>
      <c r="C573" s="3">
        <v>54</v>
      </c>
      <c r="D573" s="3">
        <v>7</v>
      </c>
      <c r="E573" s="3">
        <v>58.384</v>
      </c>
      <c r="F573" s="4" t="str">
        <f>HYPERLINK("http://141.218.60.56/~jnz1568/getInfo.php?workbook=12_04.xlsx&amp;sheet=A0&amp;row=573&amp;col=6&amp;number=4930&amp;sourceID=14","4930")</f>
        <v>4930</v>
      </c>
      <c r="G573" s="4" t="str">
        <f>HYPERLINK("http://141.218.60.56/~jnz1568/getInfo.php?workbook=12_04.xlsx&amp;sheet=A0&amp;row=573&amp;col=7&amp;number=0&amp;sourceID=14","0")</f>
        <v>0</v>
      </c>
    </row>
    <row r="574" spans="1:7">
      <c r="A574" s="3">
        <v>12</v>
      </c>
      <c r="B574" s="3">
        <v>4</v>
      </c>
      <c r="C574" s="3">
        <v>55</v>
      </c>
      <c r="D574" s="3">
        <v>7</v>
      </c>
      <c r="E574" s="3">
        <v>58.381</v>
      </c>
      <c r="F574" s="4" t="str">
        <f>HYPERLINK("http://141.218.60.56/~jnz1568/getInfo.php?workbook=12_04.xlsx&amp;sheet=A0&amp;row=574&amp;col=6&amp;number=19100&amp;sourceID=14","19100")</f>
        <v>19100</v>
      </c>
      <c r="G574" s="4" t="str">
        <f>HYPERLINK("http://141.218.60.56/~jnz1568/getInfo.php?workbook=12_04.xlsx&amp;sheet=A0&amp;row=574&amp;col=7&amp;number=0&amp;sourceID=14","0")</f>
        <v>0</v>
      </c>
    </row>
    <row r="575" spans="1:7">
      <c r="A575" s="3">
        <v>12</v>
      </c>
      <c r="B575" s="3">
        <v>4</v>
      </c>
      <c r="C575" s="3">
        <v>56</v>
      </c>
      <c r="D575" s="3">
        <v>7</v>
      </c>
      <c r="E575" s="3">
        <v>58.115</v>
      </c>
      <c r="F575" s="4" t="str">
        <f>HYPERLINK("http://141.218.60.56/~jnz1568/getInfo.php?workbook=12_04.xlsx&amp;sheet=A0&amp;row=575&amp;col=6&amp;number=4.89&amp;sourceID=14","4.89")</f>
        <v>4.89</v>
      </c>
      <c r="G575" s="4" t="str">
        <f>HYPERLINK("http://141.218.60.56/~jnz1568/getInfo.php?workbook=12_04.xlsx&amp;sheet=A0&amp;row=575&amp;col=7&amp;number=0&amp;sourceID=14","0")</f>
        <v>0</v>
      </c>
    </row>
    <row r="576" spans="1:7">
      <c r="A576" s="3">
        <v>12</v>
      </c>
      <c r="B576" s="3">
        <v>4</v>
      </c>
      <c r="C576" s="3">
        <v>57</v>
      </c>
      <c r="D576" s="3">
        <v>7</v>
      </c>
      <c r="E576" s="3">
        <v>-58.257</v>
      </c>
      <c r="F576" s="4" t="str">
        <f>HYPERLINK("http://141.218.60.56/~jnz1568/getInfo.php?workbook=12_04.xlsx&amp;sheet=A0&amp;row=576&amp;col=6&amp;number=7170&amp;sourceID=14","7170")</f>
        <v>7170</v>
      </c>
      <c r="G576" s="4" t="str">
        <f>HYPERLINK("http://141.218.60.56/~jnz1568/getInfo.php?workbook=12_04.xlsx&amp;sheet=A0&amp;row=576&amp;col=7&amp;number=0&amp;sourceID=14","0")</f>
        <v>0</v>
      </c>
    </row>
    <row r="577" spans="1:7">
      <c r="A577" s="3">
        <v>12</v>
      </c>
      <c r="B577" s="3">
        <v>4</v>
      </c>
      <c r="C577" s="3">
        <v>58</v>
      </c>
      <c r="D577" s="3">
        <v>7</v>
      </c>
      <c r="E577" s="3">
        <v>-58.256</v>
      </c>
      <c r="F577" s="4" t="str">
        <f>HYPERLINK("http://141.218.60.56/~jnz1568/getInfo.php?workbook=12_04.xlsx&amp;sheet=A0&amp;row=577&amp;col=6&amp;number=14&amp;sourceID=14","14")</f>
        <v>14</v>
      </c>
      <c r="G577" s="4" t="str">
        <f>HYPERLINK("http://141.218.60.56/~jnz1568/getInfo.php?workbook=12_04.xlsx&amp;sheet=A0&amp;row=577&amp;col=7&amp;number=0&amp;sourceID=14","0")</f>
        <v>0</v>
      </c>
    </row>
    <row r="578" spans="1:7">
      <c r="A578" s="3">
        <v>12</v>
      </c>
      <c r="B578" s="3">
        <v>4</v>
      </c>
      <c r="C578" s="3">
        <v>59</v>
      </c>
      <c r="D578" s="3">
        <v>7</v>
      </c>
      <c r="E578" s="3">
        <v>-58.255</v>
      </c>
      <c r="F578" s="4" t="str">
        <f>HYPERLINK("http://141.218.60.56/~jnz1568/getInfo.php?workbook=12_04.xlsx&amp;sheet=A0&amp;row=578&amp;col=6&amp;number=7.85&amp;sourceID=14","7.85")</f>
        <v>7.85</v>
      </c>
      <c r="G578" s="4" t="str">
        <f>HYPERLINK("http://141.218.60.56/~jnz1568/getInfo.php?workbook=12_04.xlsx&amp;sheet=A0&amp;row=578&amp;col=7&amp;number=0&amp;sourceID=14","0")</f>
        <v>0</v>
      </c>
    </row>
    <row r="579" spans="1:7">
      <c r="A579" s="3">
        <v>12</v>
      </c>
      <c r="B579" s="3">
        <v>4</v>
      </c>
      <c r="C579" s="3">
        <v>60</v>
      </c>
      <c r="D579" s="3">
        <v>7</v>
      </c>
      <c r="E579" s="3">
        <v>-58.169</v>
      </c>
      <c r="F579" s="4" t="str">
        <f>HYPERLINK("http://141.218.60.56/~jnz1568/getInfo.php?workbook=12_04.xlsx&amp;sheet=A0&amp;row=579&amp;col=6&amp;number=0.0017&amp;sourceID=14","0.0017")</f>
        <v>0.0017</v>
      </c>
      <c r="G579" s="4" t="str">
        <f>HYPERLINK("http://141.218.60.56/~jnz1568/getInfo.php?workbook=12_04.xlsx&amp;sheet=A0&amp;row=579&amp;col=7&amp;number=0&amp;sourceID=14","0")</f>
        <v>0</v>
      </c>
    </row>
    <row r="580" spans="1:7">
      <c r="A580" s="3">
        <v>12</v>
      </c>
      <c r="B580" s="3">
        <v>4</v>
      </c>
      <c r="C580" s="3">
        <v>61</v>
      </c>
      <c r="D580" s="3">
        <v>7</v>
      </c>
      <c r="E580" s="3">
        <v>-54.501</v>
      </c>
      <c r="F580" s="4" t="str">
        <f>HYPERLINK("http://141.218.60.56/~jnz1568/getInfo.php?workbook=12_04.xlsx&amp;sheet=A0&amp;row=580&amp;col=6&amp;number=40000000000&amp;sourceID=14","40000000000")</f>
        <v>40000000000</v>
      </c>
      <c r="G580" s="4" t="str">
        <f>HYPERLINK("http://141.218.60.56/~jnz1568/getInfo.php?workbook=12_04.xlsx&amp;sheet=A0&amp;row=580&amp;col=7&amp;number=0&amp;sourceID=14","0")</f>
        <v>0</v>
      </c>
    </row>
    <row r="581" spans="1:7">
      <c r="A581" s="3">
        <v>12</v>
      </c>
      <c r="B581" s="3">
        <v>4</v>
      </c>
      <c r="C581" s="3">
        <v>62</v>
      </c>
      <c r="D581" s="3">
        <v>7</v>
      </c>
      <c r="E581" s="3">
        <v>-54.474</v>
      </c>
      <c r="F581" s="4" t="str">
        <f>HYPERLINK("http://141.218.60.56/~jnz1568/getInfo.php?workbook=12_04.xlsx&amp;sheet=A0&amp;row=581&amp;col=6&amp;number=9460000000&amp;sourceID=14","9460000000")</f>
        <v>9460000000</v>
      </c>
      <c r="G581" s="4" t="str">
        <f>HYPERLINK("http://141.218.60.56/~jnz1568/getInfo.php?workbook=12_04.xlsx&amp;sheet=A0&amp;row=581&amp;col=7&amp;number=0&amp;sourceID=14","0")</f>
        <v>0</v>
      </c>
    </row>
    <row r="582" spans="1:7">
      <c r="A582" s="3">
        <v>12</v>
      </c>
      <c r="B582" s="3">
        <v>4</v>
      </c>
      <c r="C582" s="3">
        <v>63</v>
      </c>
      <c r="D582" s="3">
        <v>7</v>
      </c>
      <c r="E582" s="3">
        <v>-54.385</v>
      </c>
      <c r="F582" s="4" t="str">
        <f>HYPERLINK("http://141.218.60.56/~jnz1568/getInfo.php?workbook=12_04.xlsx&amp;sheet=A0&amp;row=582&amp;col=6&amp;number=10700000000&amp;sourceID=14","10700000000")</f>
        <v>10700000000</v>
      </c>
      <c r="G582" s="4" t="str">
        <f>HYPERLINK("http://141.218.60.56/~jnz1568/getInfo.php?workbook=12_04.xlsx&amp;sheet=A0&amp;row=582&amp;col=7&amp;number=0&amp;sourceID=14","0")</f>
        <v>0</v>
      </c>
    </row>
    <row r="583" spans="1:7">
      <c r="A583" s="3">
        <v>12</v>
      </c>
      <c r="B583" s="3">
        <v>4</v>
      </c>
      <c r="C583" s="3">
        <v>64</v>
      </c>
      <c r="D583" s="3">
        <v>7</v>
      </c>
      <c r="E583" s="3">
        <v>-54.201</v>
      </c>
      <c r="F583" s="4" t="str">
        <f>HYPERLINK("http://141.218.60.56/~jnz1568/getInfo.php?workbook=12_04.xlsx&amp;sheet=A0&amp;row=583&amp;col=6&amp;number=436000000&amp;sourceID=14","436000000")</f>
        <v>436000000</v>
      </c>
      <c r="G583" s="4" t="str">
        <f>HYPERLINK("http://141.218.60.56/~jnz1568/getInfo.php?workbook=12_04.xlsx&amp;sheet=A0&amp;row=583&amp;col=7&amp;number=0&amp;sourceID=14","0")</f>
        <v>0</v>
      </c>
    </row>
    <row r="584" spans="1:7">
      <c r="A584" s="3">
        <v>12</v>
      </c>
      <c r="B584" s="3">
        <v>4</v>
      </c>
      <c r="C584" s="3">
        <v>65</v>
      </c>
      <c r="D584" s="3">
        <v>7</v>
      </c>
      <c r="E584" s="3">
        <v>-53.981</v>
      </c>
      <c r="F584" s="4" t="str">
        <f>HYPERLINK("http://141.218.60.56/~jnz1568/getInfo.php?workbook=12_04.xlsx&amp;sheet=A0&amp;row=584&amp;col=6&amp;number=2640000&amp;sourceID=14","2640000")</f>
        <v>2640000</v>
      </c>
      <c r="G584" s="4" t="str">
        <f>HYPERLINK("http://141.218.60.56/~jnz1568/getInfo.php?workbook=12_04.xlsx&amp;sheet=A0&amp;row=584&amp;col=7&amp;number=0&amp;sourceID=14","0")</f>
        <v>0</v>
      </c>
    </row>
    <row r="585" spans="1:7">
      <c r="A585" s="3">
        <v>12</v>
      </c>
      <c r="B585" s="3">
        <v>4</v>
      </c>
      <c r="C585" s="3">
        <v>66</v>
      </c>
      <c r="D585" s="3">
        <v>7</v>
      </c>
      <c r="E585" s="3">
        <v>-53.907</v>
      </c>
      <c r="F585" s="4" t="str">
        <f>HYPERLINK("http://141.218.60.56/~jnz1568/getInfo.php?workbook=12_04.xlsx&amp;sheet=A0&amp;row=585&amp;col=6&amp;number=7250000&amp;sourceID=14","7250000")</f>
        <v>7250000</v>
      </c>
      <c r="G585" s="4" t="str">
        <f>HYPERLINK("http://141.218.60.56/~jnz1568/getInfo.php?workbook=12_04.xlsx&amp;sheet=A0&amp;row=585&amp;col=7&amp;number=0&amp;sourceID=14","0")</f>
        <v>0</v>
      </c>
    </row>
    <row r="586" spans="1:7">
      <c r="A586" s="3">
        <v>12</v>
      </c>
      <c r="B586" s="3">
        <v>4</v>
      </c>
      <c r="C586" s="3">
        <v>67</v>
      </c>
      <c r="D586" s="3">
        <v>7</v>
      </c>
      <c r="E586" s="3">
        <v>-53.894</v>
      </c>
      <c r="F586" s="4" t="str">
        <f>HYPERLINK("http://141.218.60.56/~jnz1568/getInfo.php?workbook=12_04.xlsx&amp;sheet=A0&amp;row=586&amp;col=6&amp;number=1520000&amp;sourceID=14","1520000")</f>
        <v>1520000</v>
      </c>
      <c r="G586" s="4" t="str">
        <f>HYPERLINK("http://141.218.60.56/~jnz1568/getInfo.php?workbook=12_04.xlsx&amp;sheet=A0&amp;row=586&amp;col=7&amp;number=0&amp;sourceID=14","0")</f>
        <v>0</v>
      </c>
    </row>
    <row r="587" spans="1:7">
      <c r="A587" s="3">
        <v>12</v>
      </c>
      <c r="B587" s="3">
        <v>4</v>
      </c>
      <c r="C587" s="3">
        <v>68</v>
      </c>
      <c r="D587" s="3">
        <v>7</v>
      </c>
      <c r="E587" s="3">
        <v>53.689</v>
      </c>
      <c r="F587" s="4" t="str">
        <f>HYPERLINK("http://141.218.60.56/~jnz1568/getInfo.php?workbook=12_04.xlsx&amp;sheet=A0&amp;row=587&amp;col=6&amp;number=3980000&amp;sourceID=14","3980000")</f>
        <v>3980000</v>
      </c>
      <c r="G587" s="4" t="str">
        <f>HYPERLINK("http://141.218.60.56/~jnz1568/getInfo.php?workbook=12_04.xlsx&amp;sheet=A0&amp;row=587&amp;col=7&amp;number=0&amp;sourceID=14","0")</f>
        <v>0</v>
      </c>
    </row>
    <row r="588" spans="1:7">
      <c r="A588" s="3">
        <v>12</v>
      </c>
      <c r="B588" s="3">
        <v>4</v>
      </c>
      <c r="C588" s="3">
        <v>69</v>
      </c>
      <c r="D588" s="3">
        <v>7</v>
      </c>
      <c r="E588" s="3">
        <v>-53.739</v>
      </c>
      <c r="F588" s="4" t="str">
        <f>HYPERLINK("http://141.218.60.56/~jnz1568/getInfo.php?workbook=12_04.xlsx&amp;sheet=A0&amp;row=588&amp;col=6&amp;number=184000&amp;sourceID=14","184000")</f>
        <v>184000</v>
      </c>
      <c r="G588" s="4" t="str">
        <f>HYPERLINK("http://141.218.60.56/~jnz1568/getInfo.php?workbook=12_04.xlsx&amp;sheet=A0&amp;row=588&amp;col=7&amp;number=0&amp;sourceID=14","0")</f>
        <v>0</v>
      </c>
    </row>
    <row r="589" spans="1:7">
      <c r="A589" s="3">
        <v>12</v>
      </c>
      <c r="B589" s="3">
        <v>4</v>
      </c>
      <c r="C589" s="3">
        <v>70</v>
      </c>
      <c r="D589" s="3">
        <v>7</v>
      </c>
      <c r="E589" s="3">
        <v>-53.721</v>
      </c>
      <c r="F589" s="4" t="str">
        <f>HYPERLINK("http://141.218.60.56/~jnz1568/getInfo.php?workbook=12_04.xlsx&amp;sheet=A0&amp;row=589&amp;col=6&amp;number=31.8&amp;sourceID=14","31.8")</f>
        <v>31.8</v>
      </c>
      <c r="G589" s="4" t="str">
        <f>HYPERLINK("http://141.218.60.56/~jnz1568/getInfo.php?workbook=12_04.xlsx&amp;sheet=A0&amp;row=589&amp;col=7&amp;number=0&amp;sourceID=14","0")</f>
        <v>0</v>
      </c>
    </row>
    <row r="590" spans="1:7">
      <c r="A590" s="3">
        <v>12</v>
      </c>
      <c r="B590" s="3">
        <v>4</v>
      </c>
      <c r="C590" s="3">
        <v>71</v>
      </c>
      <c r="D590" s="3">
        <v>7</v>
      </c>
      <c r="E590" s="3">
        <v>-53.665</v>
      </c>
      <c r="F590" s="4" t="str">
        <f>HYPERLINK("http://141.218.60.56/~jnz1568/getInfo.php?workbook=12_04.xlsx&amp;sheet=A0&amp;row=590&amp;col=6&amp;number=815000&amp;sourceID=14","815000")</f>
        <v>815000</v>
      </c>
      <c r="G590" s="4" t="str">
        <f>HYPERLINK("http://141.218.60.56/~jnz1568/getInfo.php?workbook=12_04.xlsx&amp;sheet=A0&amp;row=590&amp;col=7&amp;number=0&amp;sourceID=14","0")</f>
        <v>0</v>
      </c>
    </row>
    <row r="591" spans="1:7">
      <c r="A591" s="3">
        <v>12</v>
      </c>
      <c r="B591" s="3">
        <v>4</v>
      </c>
      <c r="C591" s="3">
        <v>72</v>
      </c>
      <c r="D591" s="3">
        <v>7</v>
      </c>
      <c r="E591" s="3">
        <v>53.528</v>
      </c>
      <c r="F591" s="4" t="str">
        <f>HYPERLINK("http://141.218.60.56/~jnz1568/getInfo.php?workbook=12_04.xlsx&amp;sheet=A0&amp;row=591&amp;col=6&amp;number=2700000&amp;sourceID=14","2700000")</f>
        <v>2700000</v>
      </c>
      <c r="G591" s="4" t="str">
        <f>HYPERLINK("http://141.218.60.56/~jnz1568/getInfo.php?workbook=12_04.xlsx&amp;sheet=A0&amp;row=591&amp;col=7&amp;number=0&amp;sourceID=14","0")</f>
        <v>0</v>
      </c>
    </row>
    <row r="592" spans="1:7">
      <c r="A592" s="3">
        <v>12</v>
      </c>
      <c r="B592" s="3">
        <v>4</v>
      </c>
      <c r="C592" s="3">
        <v>73</v>
      </c>
      <c r="D592" s="3">
        <v>7</v>
      </c>
      <c r="E592" s="3">
        <v>-53.565</v>
      </c>
      <c r="F592" s="4" t="str">
        <f>HYPERLINK("http://141.218.60.56/~jnz1568/getInfo.php?workbook=12_04.xlsx&amp;sheet=A0&amp;row=592&amp;col=6&amp;number=312000000&amp;sourceID=14","312000000")</f>
        <v>312000000</v>
      </c>
      <c r="G592" s="4" t="str">
        <f>HYPERLINK("http://141.218.60.56/~jnz1568/getInfo.php?workbook=12_04.xlsx&amp;sheet=A0&amp;row=592&amp;col=7&amp;number=0&amp;sourceID=14","0")</f>
        <v>0</v>
      </c>
    </row>
    <row r="593" spans="1:7">
      <c r="A593" s="3">
        <v>12</v>
      </c>
      <c r="B593" s="3">
        <v>4</v>
      </c>
      <c r="C593" s="3">
        <v>74</v>
      </c>
      <c r="D593" s="3">
        <v>7</v>
      </c>
      <c r="E593" s="3">
        <v>-53.51</v>
      </c>
      <c r="F593" s="4" t="str">
        <f>HYPERLINK("http://141.218.60.56/~jnz1568/getInfo.php?workbook=12_04.xlsx&amp;sheet=A0&amp;row=593&amp;col=6&amp;number=464&amp;sourceID=14","464")</f>
        <v>464</v>
      </c>
      <c r="G593" s="4" t="str">
        <f>HYPERLINK("http://141.218.60.56/~jnz1568/getInfo.php?workbook=12_04.xlsx&amp;sheet=A0&amp;row=593&amp;col=7&amp;number=0&amp;sourceID=14","0")</f>
        <v>0</v>
      </c>
    </row>
    <row r="594" spans="1:7">
      <c r="A594" s="3">
        <v>12</v>
      </c>
      <c r="B594" s="3">
        <v>4</v>
      </c>
      <c r="C594" s="3">
        <v>75</v>
      </c>
      <c r="D594" s="3">
        <v>7</v>
      </c>
      <c r="E594" s="3">
        <v>53.36</v>
      </c>
      <c r="F594" s="4" t="str">
        <f>HYPERLINK("http://141.218.60.56/~jnz1568/getInfo.php?workbook=12_04.xlsx&amp;sheet=A0&amp;row=594&amp;col=6&amp;number=17100000000&amp;sourceID=14","17100000000")</f>
        <v>17100000000</v>
      </c>
      <c r="G594" s="4" t="str">
        <f>HYPERLINK("http://141.218.60.56/~jnz1568/getInfo.php?workbook=12_04.xlsx&amp;sheet=A0&amp;row=594&amp;col=7&amp;number=0&amp;sourceID=14","0")</f>
        <v>0</v>
      </c>
    </row>
    <row r="595" spans="1:7">
      <c r="A595" s="3">
        <v>12</v>
      </c>
      <c r="B595" s="3">
        <v>4</v>
      </c>
      <c r="C595" s="3">
        <v>76</v>
      </c>
      <c r="D595" s="3">
        <v>7</v>
      </c>
      <c r="E595" s="3">
        <v>53.364</v>
      </c>
      <c r="F595" s="4" t="str">
        <f>HYPERLINK("http://141.218.60.56/~jnz1568/getInfo.php?workbook=12_04.xlsx&amp;sheet=A0&amp;row=595&amp;col=6&amp;number=29000&amp;sourceID=14","29000")</f>
        <v>29000</v>
      </c>
      <c r="G595" s="4" t="str">
        <f>HYPERLINK("http://141.218.60.56/~jnz1568/getInfo.php?workbook=12_04.xlsx&amp;sheet=A0&amp;row=595&amp;col=7&amp;number=0&amp;sourceID=14","0")</f>
        <v>0</v>
      </c>
    </row>
    <row r="596" spans="1:7">
      <c r="A596" s="3">
        <v>12</v>
      </c>
      <c r="B596" s="3">
        <v>4</v>
      </c>
      <c r="C596" s="3">
        <v>77</v>
      </c>
      <c r="D596" s="3">
        <v>7</v>
      </c>
      <c r="E596" s="3">
        <v>-53.448</v>
      </c>
      <c r="F596" s="4" t="str">
        <f>HYPERLINK("http://141.218.60.56/~jnz1568/getInfo.php?workbook=12_04.xlsx&amp;sheet=A0&amp;row=596&amp;col=6&amp;number=245&amp;sourceID=14","245")</f>
        <v>245</v>
      </c>
      <c r="G596" s="4" t="str">
        <f>HYPERLINK("http://141.218.60.56/~jnz1568/getInfo.php?workbook=12_04.xlsx&amp;sheet=A0&amp;row=596&amp;col=7&amp;number=0&amp;sourceID=14","0")</f>
        <v>0</v>
      </c>
    </row>
    <row r="597" spans="1:7">
      <c r="A597" s="3">
        <v>12</v>
      </c>
      <c r="B597" s="3">
        <v>4</v>
      </c>
      <c r="C597" s="3">
        <v>78</v>
      </c>
      <c r="D597" s="3">
        <v>7</v>
      </c>
      <c r="E597" s="3">
        <v>-53.362</v>
      </c>
      <c r="F597" s="4" t="str">
        <f>HYPERLINK("http://141.218.60.56/~jnz1568/getInfo.php?workbook=12_04.xlsx&amp;sheet=A0&amp;row=597&amp;col=6&amp;number=75300000000&amp;sourceID=14","75300000000")</f>
        <v>75300000000</v>
      </c>
      <c r="G597" s="4" t="str">
        <f>HYPERLINK("http://141.218.60.56/~jnz1568/getInfo.php?workbook=12_04.xlsx&amp;sheet=A0&amp;row=597&amp;col=7&amp;number=0&amp;sourceID=14","0")</f>
        <v>0</v>
      </c>
    </row>
    <row r="598" spans="1:7">
      <c r="A598" s="3">
        <v>12</v>
      </c>
      <c r="B598" s="3">
        <v>4</v>
      </c>
      <c r="C598" s="3">
        <v>79</v>
      </c>
      <c r="D598" s="3">
        <v>7</v>
      </c>
      <c r="E598" s="3">
        <v>-53.344</v>
      </c>
      <c r="F598" s="4" t="str">
        <f>HYPERLINK("http://141.218.60.56/~jnz1568/getInfo.php?workbook=12_04.xlsx&amp;sheet=A0&amp;row=598&amp;col=6&amp;number=229000000000&amp;sourceID=14","229000000000")</f>
        <v>229000000000</v>
      </c>
      <c r="G598" s="4" t="str">
        <f>HYPERLINK("http://141.218.60.56/~jnz1568/getInfo.php?workbook=12_04.xlsx&amp;sheet=A0&amp;row=598&amp;col=7&amp;number=0&amp;sourceID=14","0")</f>
        <v>0</v>
      </c>
    </row>
    <row r="599" spans="1:7">
      <c r="A599" s="3">
        <v>12</v>
      </c>
      <c r="B599" s="3">
        <v>4</v>
      </c>
      <c r="C599" s="3">
        <v>80</v>
      </c>
      <c r="D599" s="3">
        <v>7</v>
      </c>
      <c r="E599" s="3">
        <v>-53.309</v>
      </c>
      <c r="F599" s="4" t="str">
        <f>HYPERLINK("http://141.218.60.56/~jnz1568/getInfo.php?workbook=12_04.xlsx&amp;sheet=A0&amp;row=599&amp;col=6&amp;number=4020000&amp;sourceID=14","4020000")</f>
        <v>4020000</v>
      </c>
      <c r="G599" s="4" t="str">
        <f>HYPERLINK("http://141.218.60.56/~jnz1568/getInfo.php?workbook=12_04.xlsx&amp;sheet=A0&amp;row=599&amp;col=7&amp;number=0&amp;sourceID=14","0")</f>
        <v>0</v>
      </c>
    </row>
    <row r="600" spans="1:7">
      <c r="A600" s="3">
        <v>12</v>
      </c>
      <c r="B600" s="3">
        <v>4</v>
      </c>
      <c r="C600" s="3">
        <v>81</v>
      </c>
      <c r="D600" s="3">
        <v>7</v>
      </c>
      <c r="E600" s="3">
        <v>53.161</v>
      </c>
      <c r="F600" s="4" t="str">
        <f>HYPERLINK("http://141.218.60.56/~jnz1568/getInfo.php?workbook=12_04.xlsx&amp;sheet=A0&amp;row=600&amp;col=6&amp;number=1930&amp;sourceID=14","1930")</f>
        <v>1930</v>
      </c>
      <c r="G600" s="4" t="str">
        <f>HYPERLINK("http://141.218.60.56/~jnz1568/getInfo.php?workbook=12_04.xlsx&amp;sheet=A0&amp;row=600&amp;col=7&amp;number=0&amp;sourceID=14","0")</f>
        <v>0</v>
      </c>
    </row>
    <row r="601" spans="1:7">
      <c r="A601" s="3">
        <v>12</v>
      </c>
      <c r="B601" s="3">
        <v>4</v>
      </c>
      <c r="C601" s="3">
        <v>82</v>
      </c>
      <c r="D601" s="3">
        <v>7</v>
      </c>
      <c r="E601" s="3">
        <v>-53.299</v>
      </c>
      <c r="F601" s="4" t="str">
        <f>HYPERLINK("http://141.218.60.56/~jnz1568/getInfo.php?workbook=12_04.xlsx&amp;sheet=A0&amp;row=601&amp;col=6&amp;number=16100000&amp;sourceID=14","16100000")</f>
        <v>16100000</v>
      </c>
      <c r="G601" s="4" t="str">
        <f>HYPERLINK("http://141.218.60.56/~jnz1568/getInfo.php?workbook=12_04.xlsx&amp;sheet=A0&amp;row=601&amp;col=7&amp;number=0&amp;sourceID=14","0")</f>
        <v>0</v>
      </c>
    </row>
    <row r="602" spans="1:7">
      <c r="A602" s="3">
        <v>12</v>
      </c>
      <c r="B602" s="3">
        <v>4</v>
      </c>
      <c r="C602" s="3">
        <v>83</v>
      </c>
      <c r="D602" s="3">
        <v>7</v>
      </c>
      <c r="E602" s="3">
        <v>-53.299</v>
      </c>
      <c r="F602" s="4" t="str">
        <f>HYPERLINK("http://141.218.60.56/~jnz1568/getInfo.php?workbook=12_04.xlsx&amp;sheet=A0&amp;row=602&amp;col=6&amp;number=26400000&amp;sourceID=14","26400000")</f>
        <v>26400000</v>
      </c>
      <c r="G602" s="4" t="str">
        <f>HYPERLINK("http://141.218.60.56/~jnz1568/getInfo.php?workbook=12_04.xlsx&amp;sheet=A0&amp;row=602&amp;col=7&amp;number=0&amp;sourceID=14","0")</f>
        <v>0</v>
      </c>
    </row>
    <row r="603" spans="1:7">
      <c r="A603" s="3">
        <v>12</v>
      </c>
      <c r="B603" s="3">
        <v>4</v>
      </c>
      <c r="C603" s="3">
        <v>84</v>
      </c>
      <c r="D603" s="3">
        <v>7</v>
      </c>
      <c r="E603" s="3">
        <v>-53.289</v>
      </c>
      <c r="F603" s="4" t="str">
        <f>HYPERLINK("http://141.218.60.56/~jnz1568/getInfo.php?workbook=12_04.xlsx&amp;sheet=A0&amp;row=603&amp;col=6&amp;number=0.169&amp;sourceID=14","0.169")</f>
        <v>0.169</v>
      </c>
      <c r="G603" s="4" t="str">
        <f>HYPERLINK("http://141.218.60.56/~jnz1568/getInfo.php?workbook=12_04.xlsx&amp;sheet=A0&amp;row=603&amp;col=7&amp;number=0&amp;sourceID=14","0")</f>
        <v>0</v>
      </c>
    </row>
    <row r="604" spans="1:7">
      <c r="A604" s="3">
        <v>12</v>
      </c>
      <c r="B604" s="3">
        <v>4</v>
      </c>
      <c r="C604" s="3">
        <v>85</v>
      </c>
      <c r="D604" s="3">
        <v>7</v>
      </c>
      <c r="E604" s="3">
        <v>53.127</v>
      </c>
      <c r="F604" s="4" t="str">
        <f>HYPERLINK("http://141.218.60.56/~jnz1568/getInfo.php?workbook=12_04.xlsx&amp;sheet=A0&amp;row=604&amp;col=6&amp;number=764000000&amp;sourceID=14","764000000")</f>
        <v>764000000</v>
      </c>
      <c r="G604" s="4" t="str">
        <f>HYPERLINK("http://141.218.60.56/~jnz1568/getInfo.php?workbook=12_04.xlsx&amp;sheet=A0&amp;row=604&amp;col=7&amp;number=0&amp;sourceID=14","0")</f>
        <v>0</v>
      </c>
    </row>
    <row r="605" spans="1:7">
      <c r="A605" s="3">
        <v>12</v>
      </c>
      <c r="B605" s="3">
        <v>4</v>
      </c>
      <c r="C605" s="3">
        <v>86</v>
      </c>
      <c r="D605" s="3">
        <v>7</v>
      </c>
      <c r="E605" s="3">
        <v>53.112</v>
      </c>
      <c r="F605" s="4" t="str">
        <f>HYPERLINK("http://141.218.60.56/~jnz1568/getInfo.php?workbook=12_04.xlsx&amp;sheet=A0&amp;row=605&amp;col=6&amp;number=78900000000&amp;sourceID=14","78900000000")</f>
        <v>78900000000</v>
      </c>
      <c r="G605" s="4" t="str">
        <f>HYPERLINK("http://141.218.60.56/~jnz1568/getInfo.php?workbook=12_04.xlsx&amp;sheet=A0&amp;row=605&amp;col=7&amp;number=0&amp;sourceID=14","0")</f>
        <v>0</v>
      </c>
    </row>
    <row r="606" spans="1:7">
      <c r="A606" s="3">
        <v>12</v>
      </c>
      <c r="B606" s="3">
        <v>4</v>
      </c>
      <c r="C606" s="3">
        <v>87</v>
      </c>
      <c r="D606" s="3">
        <v>7</v>
      </c>
      <c r="E606" s="3">
        <v>-53.22</v>
      </c>
      <c r="F606" s="4" t="str">
        <f>HYPERLINK("http://141.218.60.56/~jnz1568/getInfo.php?workbook=12_04.xlsx&amp;sheet=A0&amp;row=606&amp;col=6&amp;number=150000000000&amp;sourceID=14","150000000000")</f>
        <v>150000000000</v>
      </c>
      <c r="G606" s="4" t="str">
        <f>HYPERLINK("http://141.218.60.56/~jnz1568/getInfo.php?workbook=12_04.xlsx&amp;sheet=A0&amp;row=606&amp;col=7&amp;number=0&amp;sourceID=14","0")</f>
        <v>0</v>
      </c>
    </row>
    <row r="607" spans="1:7">
      <c r="A607" s="3">
        <v>12</v>
      </c>
      <c r="B607" s="3">
        <v>4</v>
      </c>
      <c r="C607" s="3">
        <v>88</v>
      </c>
      <c r="D607" s="3">
        <v>7</v>
      </c>
      <c r="E607" s="3">
        <v>-53.198</v>
      </c>
      <c r="F607" s="4" t="str">
        <f>HYPERLINK("http://141.218.60.56/~jnz1568/getInfo.php?workbook=12_04.xlsx&amp;sheet=A0&amp;row=607&amp;col=6&amp;number=4590000&amp;sourceID=14","4590000")</f>
        <v>4590000</v>
      </c>
      <c r="G607" s="4" t="str">
        <f>HYPERLINK("http://141.218.60.56/~jnz1568/getInfo.php?workbook=12_04.xlsx&amp;sheet=A0&amp;row=607&amp;col=7&amp;number=0&amp;sourceID=14","0")</f>
        <v>0</v>
      </c>
    </row>
    <row r="608" spans="1:7">
      <c r="A608" s="3">
        <v>12</v>
      </c>
      <c r="B608" s="3">
        <v>4</v>
      </c>
      <c r="C608" s="3">
        <v>89</v>
      </c>
      <c r="D608" s="3">
        <v>7</v>
      </c>
      <c r="E608" s="3">
        <v>-53.185</v>
      </c>
      <c r="F608" s="4" t="str">
        <f>HYPERLINK("http://141.218.60.56/~jnz1568/getInfo.php?workbook=12_04.xlsx&amp;sheet=A0&amp;row=608&amp;col=6&amp;number=0.308&amp;sourceID=14","0.308")</f>
        <v>0.308</v>
      </c>
      <c r="G608" s="4" t="str">
        <f>HYPERLINK("http://141.218.60.56/~jnz1568/getInfo.php?workbook=12_04.xlsx&amp;sheet=A0&amp;row=608&amp;col=7&amp;number=0&amp;sourceID=14","0")</f>
        <v>0</v>
      </c>
    </row>
    <row r="609" spans="1:7">
      <c r="A609" s="3">
        <v>12</v>
      </c>
      <c r="B609" s="3">
        <v>4</v>
      </c>
      <c r="C609" s="3">
        <v>90</v>
      </c>
      <c r="D609" s="3">
        <v>7</v>
      </c>
      <c r="E609" s="3">
        <v>-53.146</v>
      </c>
      <c r="F609" s="4" t="str">
        <f>HYPERLINK("http://141.218.60.56/~jnz1568/getInfo.php?workbook=12_04.xlsx&amp;sheet=A0&amp;row=609&amp;col=6&amp;number=0.0605&amp;sourceID=14","0.0605")</f>
        <v>0.0605</v>
      </c>
      <c r="G609" s="4" t="str">
        <f>HYPERLINK("http://141.218.60.56/~jnz1568/getInfo.php?workbook=12_04.xlsx&amp;sheet=A0&amp;row=609&amp;col=7&amp;number=0&amp;sourceID=14","0")</f>
        <v>0</v>
      </c>
    </row>
    <row r="610" spans="1:7">
      <c r="A610" s="3">
        <v>12</v>
      </c>
      <c r="B610" s="3">
        <v>4</v>
      </c>
      <c r="C610" s="3">
        <v>91</v>
      </c>
      <c r="D610" s="3">
        <v>7</v>
      </c>
      <c r="E610" s="3">
        <v>-53.112</v>
      </c>
      <c r="F610" s="4" t="str">
        <f>HYPERLINK("http://141.218.60.56/~jnz1568/getInfo.php?workbook=12_04.xlsx&amp;sheet=A0&amp;row=610&amp;col=6&amp;number=2800000&amp;sourceID=14","2800000")</f>
        <v>2800000</v>
      </c>
      <c r="G610" s="4" t="str">
        <f>HYPERLINK("http://141.218.60.56/~jnz1568/getInfo.php?workbook=12_04.xlsx&amp;sheet=A0&amp;row=610&amp;col=7&amp;number=0&amp;sourceID=14","0")</f>
        <v>0</v>
      </c>
    </row>
    <row r="611" spans="1:7">
      <c r="A611" s="3">
        <v>12</v>
      </c>
      <c r="B611" s="3">
        <v>4</v>
      </c>
      <c r="C611" s="3">
        <v>92</v>
      </c>
      <c r="D611" s="3">
        <v>7</v>
      </c>
      <c r="E611" s="3">
        <v>-53.104</v>
      </c>
      <c r="F611" s="4" t="str">
        <f>HYPERLINK("http://141.218.60.56/~jnz1568/getInfo.php?workbook=12_04.xlsx&amp;sheet=A0&amp;row=611&amp;col=6&amp;number=0.00604&amp;sourceID=14","0.00604")</f>
        <v>0.00604</v>
      </c>
      <c r="G611" s="4" t="str">
        <f>HYPERLINK("http://141.218.60.56/~jnz1568/getInfo.php?workbook=12_04.xlsx&amp;sheet=A0&amp;row=611&amp;col=7&amp;number=0&amp;sourceID=14","0")</f>
        <v>0</v>
      </c>
    </row>
    <row r="612" spans="1:7">
      <c r="A612" s="3">
        <v>12</v>
      </c>
      <c r="B612" s="3">
        <v>4</v>
      </c>
      <c r="C612" s="3">
        <v>93</v>
      </c>
      <c r="D612" s="3">
        <v>7</v>
      </c>
      <c r="E612" s="3">
        <v>-53.096</v>
      </c>
      <c r="F612" s="4" t="str">
        <f>HYPERLINK("http://141.218.60.56/~jnz1568/getInfo.php?workbook=12_04.xlsx&amp;sheet=A0&amp;row=612&amp;col=6&amp;number=6250000&amp;sourceID=14","6250000")</f>
        <v>6250000</v>
      </c>
      <c r="G612" s="4" t="str">
        <f>HYPERLINK("http://141.218.60.56/~jnz1568/getInfo.php?workbook=12_04.xlsx&amp;sheet=A0&amp;row=612&amp;col=7&amp;number=0&amp;sourceID=14","0")</f>
        <v>0</v>
      </c>
    </row>
    <row r="613" spans="1:7">
      <c r="A613" s="3">
        <v>12</v>
      </c>
      <c r="B613" s="3">
        <v>4</v>
      </c>
      <c r="C613" s="3">
        <v>94</v>
      </c>
      <c r="D613" s="3">
        <v>7</v>
      </c>
      <c r="E613" s="3">
        <v>-53.069</v>
      </c>
      <c r="F613" s="4" t="str">
        <f>HYPERLINK("http://141.218.60.56/~jnz1568/getInfo.php?workbook=12_04.xlsx&amp;sheet=A0&amp;row=613&amp;col=6&amp;number=21500000&amp;sourceID=14","21500000")</f>
        <v>21500000</v>
      </c>
      <c r="G613" s="4" t="str">
        <f>HYPERLINK("http://141.218.60.56/~jnz1568/getInfo.php?workbook=12_04.xlsx&amp;sheet=A0&amp;row=613&amp;col=7&amp;number=0&amp;sourceID=14","0")</f>
        <v>0</v>
      </c>
    </row>
    <row r="614" spans="1:7">
      <c r="A614" s="3">
        <v>12</v>
      </c>
      <c r="B614" s="3">
        <v>4</v>
      </c>
      <c r="C614" s="3">
        <v>95</v>
      </c>
      <c r="D614" s="3">
        <v>7</v>
      </c>
      <c r="E614" s="3">
        <v>-53.051</v>
      </c>
      <c r="F614" s="4" t="str">
        <f>HYPERLINK("http://141.218.60.56/~jnz1568/getInfo.php?workbook=12_04.xlsx&amp;sheet=A0&amp;row=614&amp;col=6&amp;number=86.8&amp;sourceID=14","86.8")</f>
        <v>86.8</v>
      </c>
      <c r="G614" s="4" t="str">
        <f>HYPERLINK("http://141.218.60.56/~jnz1568/getInfo.php?workbook=12_04.xlsx&amp;sheet=A0&amp;row=614&amp;col=7&amp;number=0&amp;sourceID=14","0")</f>
        <v>0</v>
      </c>
    </row>
    <row r="615" spans="1:7">
      <c r="A615" s="3">
        <v>12</v>
      </c>
      <c r="B615" s="3">
        <v>4</v>
      </c>
      <c r="C615" s="3">
        <v>96</v>
      </c>
      <c r="D615" s="3">
        <v>7</v>
      </c>
      <c r="E615" s="3">
        <v>-53.035</v>
      </c>
      <c r="F615" s="4" t="str">
        <f>HYPERLINK("http://141.218.60.56/~jnz1568/getInfo.php?workbook=12_04.xlsx&amp;sheet=A0&amp;row=615&amp;col=6&amp;number=47700&amp;sourceID=14","47700")</f>
        <v>47700</v>
      </c>
      <c r="G615" s="4" t="str">
        <f>HYPERLINK("http://141.218.60.56/~jnz1568/getInfo.php?workbook=12_04.xlsx&amp;sheet=A0&amp;row=615&amp;col=7&amp;number=0&amp;sourceID=14","0")</f>
        <v>0</v>
      </c>
    </row>
    <row r="616" spans="1:7">
      <c r="A616" s="3">
        <v>12</v>
      </c>
      <c r="B616" s="3">
        <v>4</v>
      </c>
      <c r="C616" s="3">
        <v>97</v>
      </c>
      <c r="D616" s="3">
        <v>7</v>
      </c>
      <c r="E616" s="3">
        <v>52.927</v>
      </c>
      <c r="F616" s="4" t="str">
        <f>HYPERLINK("http://141.218.60.56/~jnz1568/getInfo.php?workbook=12_04.xlsx&amp;sheet=A0&amp;row=616&amp;col=6&amp;number=3.22&amp;sourceID=14","3.22")</f>
        <v>3.22</v>
      </c>
      <c r="G616" s="4" t="str">
        <f>HYPERLINK("http://141.218.60.56/~jnz1568/getInfo.php?workbook=12_04.xlsx&amp;sheet=A0&amp;row=616&amp;col=7&amp;number=0&amp;sourceID=14","0")</f>
        <v>0</v>
      </c>
    </row>
    <row r="617" spans="1:7">
      <c r="A617" s="3">
        <v>12</v>
      </c>
      <c r="B617" s="3">
        <v>4</v>
      </c>
      <c r="C617" s="3">
        <v>98</v>
      </c>
      <c r="D617" s="3">
        <v>7</v>
      </c>
      <c r="E617" s="3">
        <v>52.878</v>
      </c>
      <c r="F617" s="4" t="str">
        <f>HYPERLINK("http://141.218.60.56/~jnz1568/getInfo.php?workbook=12_04.xlsx&amp;sheet=A0&amp;row=617&amp;col=6&amp;number=418000000&amp;sourceID=14","418000000")</f>
        <v>418000000</v>
      </c>
      <c r="G617" s="4" t="str">
        <f>HYPERLINK("http://141.218.60.56/~jnz1568/getInfo.php?workbook=12_04.xlsx&amp;sheet=A0&amp;row=617&amp;col=7&amp;number=0&amp;sourceID=14","0")</f>
        <v>0</v>
      </c>
    </row>
    <row r="618" spans="1:7">
      <c r="A618" s="3">
        <v>12</v>
      </c>
      <c r="B618" s="3">
        <v>4</v>
      </c>
      <c r="C618" s="3">
        <v>9</v>
      </c>
      <c r="D618" s="3">
        <v>8</v>
      </c>
      <c r="E618" s="3">
        <v>2795.644</v>
      </c>
      <c r="F618" s="4" t="str">
        <f>HYPERLINK("http://141.218.60.56/~jnz1568/getInfo.php?workbook=12_04.xlsx&amp;sheet=A0&amp;row=618&amp;col=6&amp;number=3.7&amp;sourceID=14","3.7")</f>
        <v>3.7</v>
      </c>
      <c r="G618" s="4" t="str">
        <f>HYPERLINK("http://141.218.60.56/~jnz1568/getInfo.php?workbook=12_04.xlsx&amp;sheet=A0&amp;row=618&amp;col=7&amp;number=0&amp;sourceID=14","0")</f>
        <v>0</v>
      </c>
    </row>
    <row r="619" spans="1:7">
      <c r="A619" s="3">
        <v>12</v>
      </c>
      <c r="B619" s="3">
        <v>4</v>
      </c>
      <c r="C619" s="3">
        <v>10</v>
      </c>
      <c r="D619" s="3">
        <v>8</v>
      </c>
      <c r="E619" s="3">
        <v>767.443</v>
      </c>
      <c r="F619" s="4" t="str">
        <f>HYPERLINK("http://141.218.60.56/~jnz1568/getInfo.php?workbook=12_04.xlsx&amp;sheet=A0&amp;row=619&amp;col=6&amp;number=0.584&amp;sourceID=14","0.584")</f>
        <v>0.584</v>
      </c>
      <c r="G619" s="4" t="str">
        <f>HYPERLINK("http://141.218.60.56/~jnz1568/getInfo.php?workbook=12_04.xlsx&amp;sheet=A0&amp;row=619&amp;col=7&amp;number=0&amp;sourceID=14","0")</f>
        <v>0</v>
      </c>
    </row>
    <row r="620" spans="1:7">
      <c r="A620" s="3">
        <v>12</v>
      </c>
      <c r="B620" s="3">
        <v>4</v>
      </c>
      <c r="C620" s="3">
        <v>11</v>
      </c>
      <c r="D620" s="3">
        <v>8</v>
      </c>
      <c r="E620" s="3">
        <v>85.976</v>
      </c>
      <c r="F620" s="4" t="str">
        <f>HYPERLINK("http://141.218.60.56/~jnz1568/getInfo.php?workbook=12_04.xlsx&amp;sheet=A0&amp;row=620&amp;col=6&amp;number=4.2&amp;sourceID=14","4.2")</f>
        <v>4.2</v>
      </c>
      <c r="G620" s="4" t="str">
        <f>HYPERLINK("http://141.218.60.56/~jnz1568/getInfo.php?workbook=12_04.xlsx&amp;sheet=A0&amp;row=620&amp;col=7&amp;number=0&amp;sourceID=14","0")</f>
        <v>0</v>
      </c>
    </row>
    <row r="621" spans="1:7">
      <c r="A621" s="3">
        <v>12</v>
      </c>
      <c r="B621" s="3">
        <v>4</v>
      </c>
      <c r="C621" s="3">
        <v>12</v>
      </c>
      <c r="D621" s="3">
        <v>8</v>
      </c>
      <c r="E621" s="3">
        <v>84.122</v>
      </c>
      <c r="F621" s="4" t="str">
        <f>HYPERLINK("http://141.218.60.56/~jnz1568/getInfo.php?workbook=12_04.xlsx&amp;sheet=A0&amp;row=621&amp;col=6&amp;number=5730&amp;sourceID=14","5730")</f>
        <v>5730</v>
      </c>
      <c r="G621" s="4" t="str">
        <f>HYPERLINK("http://141.218.60.56/~jnz1568/getInfo.php?workbook=12_04.xlsx&amp;sheet=A0&amp;row=621&amp;col=7&amp;number=0&amp;sourceID=14","0")</f>
        <v>0</v>
      </c>
    </row>
    <row r="622" spans="1:7">
      <c r="A622" s="3">
        <v>12</v>
      </c>
      <c r="B622" s="3">
        <v>4</v>
      </c>
      <c r="C622" s="3">
        <v>13</v>
      </c>
      <c r="D622" s="3">
        <v>8</v>
      </c>
      <c r="E622" s="3">
        <v>81.681</v>
      </c>
      <c r="F622" s="4" t="str">
        <f>HYPERLINK("http://141.218.60.56/~jnz1568/getInfo.php?workbook=12_04.xlsx&amp;sheet=A0&amp;row=622&amp;col=6&amp;number=117000000&amp;sourceID=14","117000000")</f>
        <v>117000000</v>
      </c>
      <c r="G622" s="4" t="str">
        <f>HYPERLINK("http://141.218.60.56/~jnz1568/getInfo.php?workbook=12_04.xlsx&amp;sheet=A0&amp;row=622&amp;col=7&amp;number=0&amp;sourceID=14","0")</f>
        <v>0</v>
      </c>
    </row>
    <row r="623" spans="1:7">
      <c r="A623" s="3">
        <v>12</v>
      </c>
      <c r="B623" s="3">
        <v>4</v>
      </c>
      <c r="C623" s="3">
        <v>14</v>
      </c>
      <c r="D623" s="3">
        <v>8</v>
      </c>
      <c r="E623" s="3">
        <v>81.422</v>
      </c>
      <c r="F623" s="4" t="str">
        <f>HYPERLINK("http://141.218.60.56/~jnz1568/getInfo.php?workbook=12_04.xlsx&amp;sheet=A0&amp;row=623&amp;col=6&amp;number=7.5&amp;sourceID=14","7.5")</f>
        <v>7.5</v>
      </c>
      <c r="G623" s="4" t="str">
        <f>HYPERLINK("http://141.218.60.56/~jnz1568/getInfo.php?workbook=12_04.xlsx&amp;sheet=A0&amp;row=623&amp;col=7&amp;number=0&amp;sourceID=14","0")</f>
        <v>0</v>
      </c>
    </row>
    <row r="624" spans="1:7">
      <c r="A624" s="3">
        <v>12</v>
      </c>
      <c r="B624" s="3">
        <v>4</v>
      </c>
      <c r="C624" s="3">
        <v>15</v>
      </c>
      <c r="D624" s="3">
        <v>8</v>
      </c>
      <c r="E624" s="3">
        <v>81.422</v>
      </c>
      <c r="F624" s="4" t="str">
        <f>HYPERLINK("http://141.218.60.56/~jnz1568/getInfo.php?workbook=12_04.xlsx&amp;sheet=A0&amp;row=624&amp;col=6&amp;number=440000000&amp;sourceID=14","440000000")</f>
        <v>440000000</v>
      </c>
      <c r="G624" s="4" t="str">
        <f>HYPERLINK("http://141.218.60.56/~jnz1568/getInfo.php?workbook=12_04.xlsx&amp;sheet=A0&amp;row=624&amp;col=7&amp;number=0&amp;sourceID=14","0")</f>
        <v>0</v>
      </c>
    </row>
    <row r="625" spans="1:7">
      <c r="A625" s="3">
        <v>12</v>
      </c>
      <c r="B625" s="3">
        <v>4</v>
      </c>
      <c r="C625" s="3">
        <v>16</v>
      </c>
      <c r="D625" s="3">
        <v>8</v>
      </c>
      <c r="E625" s="3">
        <v>81.422</v>
      </c>
      <c r="F625" s="4" t="str">
        <f>HYPERLINK("http://141.218.60.56/~jnz1568/getInfo.php?workbook=12_04.xlsx&amp;sheet=A0&amp;row=625&amp;col=6&amp;number=940000000&amp;sourceID=14","940000000")</f>
        <v>940000000</v>
      </c>
      <c r="G625" s="4" t="str">
        <f>HYPERLINK("http://141.218.60.56/~jnz1568/getInfo.php?workbook=12_04.xlsx&amp;sheet=A0&amp;row=625&amp;col=7&amp;number=0&amp;sourceID=14","0")</f>
        <v>0</v>
      </c>
    </row>
    <row r="626" spans="1:7">
      <c r="A626" s="3">
        <v>12</v>
      </c>
      <c r="B626" s="3">
        <v>4</v>
      </c>
      <c r="C626" s="3">
        <v>17</v>
      </c>
      <c r="D626" s="3">
        <v>8</v>
      </c>
      <c r="E626" s="3">
        <v>79.258</v>
      </c>
      <c r="F626" s="4" t="str">
        <f>HYPERLINK("http://141.218.60.56/~jnz1568/getInfo.php?workbook=12_04.xlsx&amp;sheet=A0&amp;row=626&amp;col=6&amp;number=37300&amp;sourceID=14","37300")</f>
        <v>37300</v>
      </c>
      <c r="G626" s="4" t="str">
        <f>HYPERLINK("http://141.218.60.56/~jnz1568/getInfo.php?workbook=12_04.xlsx&amp;sheet=A0&amp;row=626&amp;col=7&amp;number=0&amp;sourceID=14","0")</f>
        <v>0</v>
      </c>
    </row>
    <row r="627" spans="1:7">
      <c r="A627" s="3">
        <v>12</v>
      </c>
      <c r="B627" s="3">
        <v>4</v>
      </c>
      <c r="C627" s="3">
        <v>18</v>
      </c>
      <c r="D627" s="3">
        <v>8</v>
      </c>
      <c r="E627" s="3">
        <v>79.249</v>
      </c>
      <c r="F627" s="4" t="str">
        <f>HYPERLINK("http://141.218.60.56/~jnz1568/getInfo.php?workbook=12_04.xlsx&amp;sheet=A0&amp;row=627&amp;col=6&amp;number=84200&amp;sourceID=14","84200")</f>
        <v>84200</v>
      </c>
      <c r="G627" s="4" t="str">
        <f>HYPERLINK("http://141.218.60.56/~jnz1568/getInfo.php?workbook=12_04.xlsx&amp;sheet=A0&amp;row=627&amp;col=7&amp;number=0&amp;sourceID=14","0")</f>
        <v>0</v>
      </c>
    </row>
    <row r="628" spans="1:7">
      <c r="A628" s="3">
        <v>12</v>
      </c>
      <c r="B628" s="3">
        <v>4</v>
      </c>
      <c r="C628" s="3">
        <v>19</v>
      </c>
      <c r="D628" s="3">
        <v>8</v>
      </c>
      <c r="E628" s="3">
        <v>79.24</v>
      </c>
      <c r="F628" s="4" t="str">
        <f>HYPERLINK("http://141.218.60.56/~jnz1568/getInfo.php?workbook=12_04.xlsx&amp;sheet=A0&amp;row=628&amp;col=6&amp;number=92100&amp;sourceID=14","92100")</f>
        <v>92100</v>
      </c>
      <c r="G628" s="4" t="str">
        <f>HYPERLINK("http://141.218.60.56/~jnz1568/getInfo.php?workbook=12_04.xlsx&amp;sheet=A0&amp;row=628&amp;col=7&amp;number=0&amp;sourceID=14","0")</f>
        <v>0</v>
      </c>
    </row>
    <row r="629" spans="1:7">
      <c r="A629" s="3">
        <v>12</v>
      </c>
      <c r="B629" s="3">
        <v>4</v>
      </c>
      <c r="C629" s="3">
        <v>20</v>
      </c>
      <c r="D629" s="3">
        <v>8</v>
      </c>
      <c r="E629" s="3">
        <v>77.806</v>
      </c>
      <c r="F629" s="4" t="str">
        <f>HYPERLINK("http://141.218.60.56/~jnz1568/getInfo.php?workbook=12_04.xlsx&amp;sheet=A0&amp;row=629&amp;col=6&amp;number=931&amp;sourceID=14","931")</f>
        <v>931</v>
      </c>
      <c r="G629" s="4" t="str">
        <f>HYPERLINK("http://141.218.60.56/~jnz1568/getInfo.php?workbook=12_04.xlsx&amp;sheet=A0&amp;row=629&amp;col=7&amp;number=0&amp;sourceID=14","0")</f>
        <v>0</v>
      </c>
    </row>
    <row r="630" spans="1:7">
      <c r="A630" s="3">
        <v>12</v>
      </c>
      <c r="B630" s="3">
        <v>4</v>
      </c>
      <c r="C630" s="3">
        <v>21</v>
      </c>
      <c r="D630" s="3">
        <v>8</v>
      </c>
      <c r="E630" s="3">
        <v>74.582</v>
      </c>
      <c r="F630" s="4" t="str">
        <f>HYPERLINK("http://141.218.60.56/~jnz1568/getInfo.php?workbook=12_04.xlsx&amp;sheet=A0&amp;row=630&amp;col=6&amp;number=430&amp;sourceID=14","430")</f>
        <v>430</v>
      </c>
      <c r="G630" s="4" t="str">
        <f>HYPERLINK("http://141.218.60.56/~jnz1568/getInfo.php?workbook=12_04.xlsx&amp;sheet=A0&amp;row=630&amp;col=7&amp;number=0&amp;sourceID=14","0")</f>
        <v>0</v>
      </c>
    </row>
    <row r="631" spans="1:7">
      <c r="A631" s="3">
        <v>12</v>
      </c>
      <c r="B631" s="3">
        <v>4</v>
      </c>
      <c r="C631" s="3">
        <v>22</v>
      </c>
      <c r="D631" s="3">
        <v>8</v>
      </c>
      <c r="E631" s="3">
        <v>74.52</v>
      </c>
      <c r="F631" s="4" t="str">
        <f>HYPERLINK("http://141.218.60.56/~jnz1568/getInfo.php?workbook=12_04.xlsx&amp;sheet=A0&amp;row=631&amp;col=6&amp;number=44000000000&amp;sourceID=14","44000000000")</f>
        <v>44000000000</v>
      </c>
      <c r="G631" s="4" t="str">
        <f>HYPERLINK("http://141.218.60.56/~jnz1568/getInfo.php?workbook=12_04.xlsx&amp;sheet=A0&amp;row=631&amp;col=7&amp;number=0&amp;sourceID=14","0")</f>
        <v>0</v>
      </c>
    </row>
    <row r="632" spans="1:7">
      <c r="A632" s="3">
        <v>12</v>
      </c>
      <c r="B632" s="3">
        <v>4</v>
      </c>
      <c r="C632" s="3">
        <v>23</v>
      </c>
      <c r="D632" s="3">
        <v>8</v>
      </c>
      <c r="E632" s="3">
        <v>74.373</v>
      </c>
      <c r="F632" s="4" t="str">
        <f>HYPERLINK("http://141.218.60.56/~jnz1568/getInfo.php?workbook=12_04.xlsx&amp;sheet=A0&amp;row=632&amp;col=6&amp;number=79400000000&amp;sourceID=14","79400000000")</f>
        <v>79400000000</v>
      </c>
      <c r="G632" s="4" t="str">
        <f>HYPERLINK("http://141.218.60.56/~jnz1568/getInfo.php?workbook=12_04.xlsx&amp;sheet=A0&amp;row=632&amp;col=7&amp;number=0&amp;sourceID=14","0")</f>
        <v>0</v>
      </c>
    </row>
    <row r="633" spans="1:7">
      <c r="A633" s="3">
        <v>12</v>
      </c>
      <c r="B633" s="3">
        <v>4</v>
      </c>
      <c r="C633" s="3">
        <v>24</v>
      </c>
      <c r="D633" s="3">
        <v>8</v>
      </c>
      <c r="E633" s="3">
        <v>72.796</v>
      </c>
      <c r="F633" s="4" t="str">
        <f>HYPERLINK("http://141.218.60.56/~jnz1568/getInfo.php?workbook=12_04.xlsx&amp;sheet=A0&amp;row=633&amp;col=6&amp;number=2080000&amp;sourceID=14","2080000")</f>
        <v>2080000</v>
      </c>
      <c r="G633" s="4" t="str">
        <f>HYPERLINK("http://141.218.60.56/~jnz1568/getInfo.php?workbook=12_04.xlsx&amp;sheet=A0&amp;row=633&amp;col=7&amp;number=0&amp;sourceID=14","0")</f>
        <v>0</v>
      </c>
    </row>
    <row r="634" spans="1:7">
      <c r="A634" s="3">
        <v>12</v>
      </c>
      <c r="B634" s="3">
        <v>4</v>
      </c>
      <c r="C634" s="3">
        <v>25</v>
      </c>
      <c r="D634" s="3">
        <v>8</v>
      </c>
      <c r="E634" s="3">
        <v>72.528</v>
      </c>
      <c r="F634" s="4" t="str">
        <f>HYPERLINK("http://141.218.60.56/~jnz1568/getInfo.php?workbook=12_04.xlsx&amp;sheet=A0&amp;row=634&amp;col=6&amp;number=439000&amp;sourceID=14","439000")</f>
        <v>439000</v>
      </c>
      <c r="G634" s="4" t="str">
        <f>HYPERLINK("http://141.218.60.56/~jnz1568/getInfo.php?workbook=12_04.xlsx&amp;sheet=A0&amp;row=634&amp;col=7&amp;number=0&amp;sourceID=14","0")</f>
        <v>0</v>
      </c>
    </row>
    <row r="635" spans="1:7">
      <c r="A635" s="3">
        <v>12</v>
      </c>
      <c r="B635" s="3">
        <v>4</v>
      </c>
      <c r="C635" s="3">
        <v>26</v>
      </c>
      <c r="D635" s="3">
        <v>8</v>
      </c>
      <c r="E635" s="3">
        <v>72.143</v>
      </c>
      <c r="F635" s="4" t="str">
        <f>HYPERLINK("http://141.218.60.56/~jnz1568/getInfo.php?workbook=12_04.xlsx&amp;sheet=A0&amp;row=635&amp;col=6&amp;number=3290000&amp;sourceID=14","3290000")</f>
        <v>3290000</v>
      </c>
      <c r="G635" s="4" t="str">
        <f>HYPERLINK("http://141.218.60.56/~jnz1568/getInfo.php?workbook=12_04.xlsx&amp;sheet=A0&amp;row=635&amp;col=7&amp;number=0&amp;sourceID=14","0")</f>
        <v>0</v>
      </c>
    </row>
    <row r="636" spans="1:7">
      <c r="A636" s="3">
        <v>12</v>
      </c>
      <c r="B636" s="3">
        <v>4</v>
      </c>
      <c r="C636" s="3">
        <v>27</v>
      </c>
      <c r="D636" s="3">
        <v>8</v>
      </c>
      <c r="E636" s="3">
        <v>72.091</v>
      </c>
      <c r="F636" s="4" t="str">
        <f>HYPERLINK("http://141.218.60.56/~jnz1568/getInfo.php?workbook=12_04.xlsx&amp;sheet=A0&amp;row=636&amp;col=6&amp;number=8800000&amp;sourceID=14","8800000")</f>
        <v>8800000</v>
      </c>
      <c r="G636" s="4" t="str">
        <f>HYPERLINK("http://141.218.60.56/~jnz1568/getInfo.php?workbook=12_04.xlsx&amp;sheet=A0&amp;row=636&amp;col=7&amp;number=0&amp;sourceID=14","0")</f>
        <v>0</v>
      </c>
    </row>
    <row r="637" spans="1:7">
      <c r="A637" s="3">
        <v>12</v>
      </c>
      <c r="B637" s="3">
        <v>4</v>
      </c>
      <c r="C637" s="3">
        <v>28</v>
      </c>
      <c r="D637" s="3">
        <v>8</v>
      </c>
      <c r="E637" s="3">
        <v>71.961</v>
      </c>
      <c r="F637" s="4" t="str">
        <f>HYPERLINK("http://141.218.60.56/~jnz1568/getInfo.php?workbook=12_04.xlsx&amp;sheet=A0&amp;row=637&amp;col=6&amp;number=10500000&amp;sourceID=14","10500000")</f>
        <v>10500000</v>
      </c>
      <c r="G637" s="4" t="str">
        <f>HYPERLINK("http://141.218.60.56/~jnz1568/getInfo.php?workbook=12_04.xlsx&amp;sheet=A0&amp;row=637&amp;col=7&amp;number=0&amp;sourceID=14","0")</f>
        <v>0</v>
      </c>
    </row>
    <row r="638" spans="1:7">
      <c r="A638" s="3">
        <v>12</v>
      </c>
      <c r="B638" s="3">
        <v>4</v>
      </c>
      <c r="C638" s="3">
        <v>29</v>
      </c>
      <c r="D638" s="3">
        <v>8</v>
      </c>
      <c r="E638" s="3">
        <v>71.375</v>
      </c>
      <c r="F638" s="4" t="str">
        <f>HYPERLINK("http://141.218.60.56/~jnz1568/getInfo.php?workbook=12_04.xlsx&amp;sheet=A0&amp;row=638&amp;col=6&amp;number=122000&amp;sourceID=14","122000")</f>
        <v>122000</v>
      </c>
      <c r="G638" s="4" t="str">
        <f>HYPERLINK("http://141.218.60.56/~jnz1568/getInfo.php?workbook=12_04.xlsx&amp;sheet=A0&amp;row=638&amp;col=7&amp;number=0&amp;sourceID=14","0")</f>
        <v>0</v>
      </c>
    </row>
    <row r="639" spans="1:7">
      <c r="A639" s="3">
        <v>12</v>
      </c>
      <c r="B639" s="3">
        <v>4</v>
      </c>
      <c r="C639" s="3">
        <v>30</v>
      </c>
      <c r="D639" s="3">
        <v>8</v>
      </c>
      <c r="E639" s="3">
        <v>-71.225</v>
      </c>
      <c r="F639" s="4" t="str">
        <f>HYPERLINK("http://141.218.60.56/~jnz1568/getInfo.php?workbook=12_04.xlsx&amp;sheet=A0&amp;row=639&amp;col=6&amp;number=9270000&amp;sourceID=14","9270000")</f>
        <v>9270000</v>
      </c>
      <c r="G639" s="4" t="str">
        <f>HYPERLINK("http://141.218.60.56/~jnz1568/getInfo.php?workbook=12_04.xlsx&amp;sheet=A0&amp;row=639&amp;col=7&amp;number=0&amp;sourceID=14","0")</f>
        <v>0</v>
      </c>
    </row>
    <row r="640" spans="1:7">
      <c r="A640" s="3">
        <v>12</v>
      </c>
      <c r="B640" s="3">
        <v>4</v>
      </c>
      <c r="C640" s="3">
        <v>31</v>
      </c>
      <c r="D640" s="3">
        <v>8</v>
      </c>
      <c r="E640" s="3">
        <v>70.954</v>
      </c>
      <c r="F640" s="4" t="str">
        <f>HYPERLINK("http://141.218.60.56/~jnz1568/getInfo.php?workbook=12_04.xlsx&amp;sheet=A0&amp;row=640&amp;col=6&amp;number=7050000&amp;sourceID=14","7050000")</f>
        <v>7050000</v>
      </c>
      <c r="G640" s="4" t="str">
        <f>HYPERLINK("http://141.218.60.56/~jnz1568/getInfo.php?workbook=12_04.xlsx&amp;sheet=A0&amp;row=640&amp;col=7&amp;number=0&amp;sourceID=14","0")</f>
        <v>0</v>
      </c>
    </row>
    <row r="641" spans="1:7">
      <c r="A641" s="3">
        <v>12</v>
      </c>
      <c r="B641" s="3">
        <v>4</v>
      </c>
      <c r="C641" s="3">
        <v>32</v>
      </c>
      <c r="D641" s="3">
        <v>8</v>
      </c>
      <c r="E641" s="3">
        <v>70.889</v>
      </c>
      <c r="F641" s="4" t="str">
        <f>HYPERLINK("http://141.218.60.56/~jnz1568/getInfo.php?workbook=12_04.xlsx&amp;sheet=A0&amp;row=641&amp;col=6&amp;number=3610000&amp;sourceID=14","3610000")</f>
        <v>3610000</v>
      </c>
      <c r="G641" s="4" t="str">
        <f>HYPERLINK("http://141.218.60.56/~jnz1568/getInfo.php?workbook=12_04.xlsx&amp;sheet=A0&amp;row=641&amp;col=7&amp;number=0&amp;sourceID=14","0")</f>
        <v>0</v>
      </c>
    </row>
    <row r="642" spans="1:7">
      <c r="A642" s="3">
        <v>12</v>
      </c>
      <c r="B642" s="3">
        <v>4</v>
      </c>
      <c r="C642" s="3">
        <v>33</v>
      </c>
      <c r="D642" s="3">
        <v>8</v>
      </c>
      <c r="E642" s="3">
        <v>-70.81</v>
      </c>
      <c r="F642" s="4" t="str">
        <f>HYPERLINK("http://141.218.60.56/~jnz1568/getInfo.php?workbook=12_04.xlsx&amp;sheet=A0&amp;row=642&amp;col=6&amp;number=1170000000&amp;sourceID=14","1170000000")</f>
        <v>1170000000</v>
      </c>
      <c r="G642" s="4" t="str">
        <f>HYPERLINK("http://141.218.60.56/~jnz1568/getInfo.php?workbook=12_04.xlsx&amp;sheet=A0&amp;row=642&amp;col=7&amp;number=0&amp;sourceID=14","0")</f>
        <v>0</v>
      </c>
    </row>
    <row r="643" spans="1:7">
      <c r="A643" s="3">
        <v>12</v>
      </c>
      <c r="B643" s="3">
        <v>4</v>
      </c>
      <c r="C643" s="3">
        <v>34</v>
      </c>
      <c r="D643" s="3">
        <v>8</v>
      </c>
      <c r="E643" s="3">
        <v>-70.707</v>
      </c>
      <c r="F643" s="4" t="str">
        <f>HYPERLINK("http://141.218.60.56/~jnz1568/getInfo.php?workbook=12_04.xlsx&amp;sheet=A0&amp;row=643&amp;col=6&amp;number=2810000000&amp;sourceID=14","2810000000")</f>
        <v>2810000000</v>
      </c>
      <c r="G643" s="4" t="str">
        <f>HYPERLINK("http://141.218.60.56/~jnz1568/getInfo.php?workbook=12_04.xlsx&amp;sheet=A0&amp;row=643&amp;col=7&amp;number=0&amp;sourceID=14","0")</f>
        <v>0</v>
      </c>
    </row>
    <row r="644" spans="1:7">
      <c r="A644" s="3">
        <v>12</v>
      </c>
      <c r="B644" s="3">
        <v>4</v>
      </c>
      <c r="C644" s="3">
        <v>35</v>
      </c>
      <c r="D644" s="3">
        <v>8</v>
      </c>
      <c r="E644" s="3">
        <v>70.407</v>
      </c>
      <c r="F644" s="4" t="str">
        <f>HYPERLINK("http://141.218.60.56/~jnz1568/getInfo.php?workbook=12_04.xlsx&amp;sheet=A0&amp;row=644&amp;col=6&amp;number=615000000&amp;sourceID=14","615000000")</f>
        <v>615000000</v>
      </c>
      <c r="G644" s="4" t="str">
        <f>HYPERLINK("http://141.218.60.56/~jnz1568/getInfo.php?workbook=12_04.xlsx&amp;sheet=A0&amp;row=644&amp;col=7&amp;number=0&amp;sourceID=14","0")</f>
        <v>0</v>
      </c>
    </row>
    <row r="645" spans="1:7">
      <c r="A645" s="3">
        <v>12</v>
      </c>
      <c r="B645" s="3">
        <v>4</v>
      </c>
      <c r="C645" s="3">
        <v>36</v>
      </c>
      <c r="D645" s="3">
        <v>8</v>
      </c>
      <c r="E645" s="3">
        <v>-70.607</v>
      </c>
      <c r="F645" s="4" t="str">
        <f>HYPERLINK("http://141.218.60.56/~jnz1568/getInfo.php?workbook=12_04.xlsx&amp;sheet=A0&amp;row=645&amp;col=6&amp;number=2630&amp;sourceID=14","2630")</f>
        <v>2630</v>
      </c>
      <c r="G645" s="4" t="str">
        <f>HYPERLINK("http://141.218.60.56/~jnz1568/getInfo.php?workbook=12_04.xlsx&amp;sheet=A0&amp;row=645&amp;col=7&amp;number=0&amp;sourceID=14","0")</f>
        <v>0</v>
      </c>
    </row>
    <row r="646" spans="1:7">
      <c r="A646" s="3">
        <v>12</v>
      </c>
      <c r="B646" s="3">
        <v>4</v>
      </c>
      <c r="C646" s="3">
        <v>37</v>
      </c>
      <c r="D646" s="3">
        <v>8</v>
      </c>
      <c r="E646" s="3">
        <v>70.1</v>
      </c>
      <c r="F646" s="4" t="str">
        <f>HYPERLINK("http://141.218.60.56/~jnz1568/getInfo.php?workbook=12_04.xlsx&amp;sheet=A0&amp;row=646&amp;col=6&amp;number=31500&amp;sourceID=14","31500")</f>
        <v>31500</v>
      </c>
      <c r="G646" s="4" t="str">
        <f>HYPERLINK("http://141.218.60.56/~jnz1568/getInfo.php?workbook=12_04.xlsx&amp;sheet=A0&amp;row=646&amp;col=7&amp;number=0&amp;sourceID=14","0")</f>
        <v>0</v>
      </c>
    </row>
    <row r="647" spans="1:7">
      <c r="A647" s="3">
        <v>12</v>
      </c>
      <c r="B647" s="3">
        <v>4</v>
      </c>
      <c r="C647" s="3">
        <v>38</v>
      </c>
      <c r="D647" s="3">
        <v>8</v>
      </c>
      <c r="E647" s="3">
        <v>69.542</v>
      </c>
      <c r="F647" s="4" t="str">
        <f>HYPERLINK("http://141.218.60.56/~jnz1568/getInfo.php?workbook=12_04.xlsx&amp;sheet=A0&amp;row=647&amp;col=6&amp;number=9050000000&amp;sourceID=14","9050000000")</f>
        <v>9050000000</v>
      </c>
      <c r="G647" s="4" t="str">
        <f>HYPERLINK("http://141.218.60.56/~jnz1568/getInfo.php?workbook=12_04.xlsx&amp;sheet=A0&amp;row=647&amp;col=7&amp;number=0&amp;sourceID=14","0")</f>
        <v>0</v>
      </c>
    </row>
    <row r="648" spans="1:7">
      <c r="A648" s="3">
        <v>12</v>
      </c>
      <c r="B648" s="3">
        <v>4</v>
      </c>
      <c r="C648" s="3">
        <v>39</v>
      </c>
      <c r="D648" s="3">
        <v>8</v>
      </c>
      <c r="E648" s="3">
        <v>69.516</v>
      </c>
      <c r="F648" s="4" t="str">
        <f>HYPERLINK("http://141.218.60.56/~jnz1568/getInfo.php?workbook=12_04.xlsx&amp;sheet=A0&amp;row=648&amp;col=6&amp;number=111000000000&amp;sourceID=14","111000000000")</f>
        <v>111000000000</v>
      </c>
      <c r="G648" s="4" t="str">
        <f>HYPERLINK("http://141.218.60.56/~jnz1568/getInfo.php?workbook=12_04.xlsx&amp;sheet=A0&amp;row=648&amp;col=7&amp;number=0&amp;sourceID=14","0")</f>
        <v>0</v>
      </c>
    </row>
    <row r="649" spans="1:7">
      <c r="A649" s="3">
        <v>12</v>
      </c>
      <c r="B649" s="3">
        <v>4</v>
      </c>
      <c r="C649" s="3">
        <v>40</v>
      </c>
      <c r="D649" s="3">
        <v>8</v>
      </c>
      <c r="E649" s="3">
        <v>69.467</v>
      </c>
      <c r="F649" s="4" t="str">
        <f>HYPERLINK("http://141.218.60.56/~jnz1568/getInfo.php?workbook=12_04.xlsx&amp;sheet=A0&amp;row=649&amp;col=6&amp;number=774000000000&amp;sourceID=14","774000000000")</f>
        <v>774000000000</v>
      </c>
      <c r="G649" s="4" t="str">
        <f>HYPERLINK("http://141.218.60.56/~jnz1568/getInfo.php?workbook=12_04.xlsx&amp;sheet=A0&amp;row=649&amp;col=7&amp;number=0&amp;sourceID=14","0")</f>
        <v>0</v>
      </c>
    </row>
    <row r="650" spans="1:7">
      <c r="A650" s="3">
        <v>12</v>
      </c>
      <c r="B650" s="3">
        <v>4</v>
      </c>
      <c r="C650" s="3">
        <v>41</v>
      </c>
      <c r="D650" s="3">
        <v>8</v>
      </c>
      <c r="E650" s="3">
        <v>69.162</v>
      </c>
      <c r="F650" s="4" t="str">
        <f>HYPERLINK("http://141.218.60.56/~jnz1568/getInfo.php?workbook=12_04.xlsx&amp;sheet=A0&amp;row=650&amp;col=6&amp;number=390000000000&amp;sourceID=14","390000000000")</f>
        <v>390000000000</v>
      </c>
      <c r="G650" s="4" t="str">
        <f>HYPERLINK("http://141.218.60.56/~jnz1568/getInfo.php?workbook=12_04.xlsx&amp;sheet=A0&amp;row=650&amp;col=7&amp;number=0&amp;sourceID=14","0")</f>
        <v>0</v>
      </c>
    </row>
    <row r="651" spans="1:7">
      <c r="A651" s="3">
        <v>12</v>
      </c>
      <c r="B651" s="3">
        <v>4</v>
      </c>
      <c r="C651" s="3">
        <v>42</v>
      </c>
      <c r="D651" s="3">
        <v>8</v>
      </c>
      <c r="E651" s="3">
        <v>69.114</v>
      </c>
      <c r="F651" s="4" t="str">
        <f>HYPERLINK("http://141.218.60.56/~jnz1568/getInfo.php?workbook=12_04.xlsx&amp;sheet=A0&amp;row=651&amp;col=6&amp;number=185000000000&amp;sourceID=14","185000000000")</f>
        <v>185000000000</v>
      </c>
      <c r="G651" s="4" t="str">
        <f>HYPERLINK("http://141.218.60.56/~jnz1568/getInfo.php?workbook=12_04.xlsx&amp;sheet=A0&amp;row=651&amp;col=7&amp;number=0&amp;sourceID=14","0")</f>
        <v>0</v>
      </c>
    </row>
    <row r="652" spans="1:7">
      <c r="A652" s="3">
        <v>12</v>
      </c>
      <c r="B652" s="3">
        <v>4</v>
      </c>
      <c r="C652" s="3">
        <v>43</v>
      </c>
      <c r="D652" s="3">
        <v>8</v>
      </c>
      <c r="E652" s="3">
        <v>69.09</v>
      </c>
      <c r="F652" s="4" t="str">
        <f>HYPERLINK("http://141.218.60.56/~jnz1568/getInfo.php?workbook=12_04.xlsx&amp;sheet=A0&amp;row=652&amp;col=6&amp;number=176&amp;sourceID=14","176")</f>
        <v>176</v>
      </c>
      <c r="G652" s="4" t="str">
        <f>HYPERLINK("http://141.218.60.56/~jnz1568/getInfo.php?workbook=12_04.xlsx&amp;sheet=A0&amp;row=652&amp;col=7&amp;number=0&amp;sourceID=14","0")</f>
        <v>0</v>
      </c>
    </row>
    <row r="653" spans="1:7">
      <c r="A653" s="3">
        <v>12</v>
      </c>
      <c r="B653" s="3">
        <v>4</v>
      </c>
      <c r="C653" s="3">
        <v>44</v>
      </c>
      <c r="D653" s="3">
        <v>8</v>
      </c>
      <c r="E653" s="3">
        <v>-68.587</v>
      </c>
      <c r="F653" s="4" t="str">
        <f>HYPERLINK("http://141.218.60.56/~jnz1568/getInfo.php?workbook=12_04.xlsx&amp;sheet=A0&amp;row=653&amp;col=6&amp;number=16000&amp;sourceID=14","16000")</f>
        <v>16000</v>
      </c>
      <c r="G653" s="4" t="str">
        <f>HYPERLINK("http://141.218.60.56/~jnz1568/getInfo.php?workbook=12_04.xlsx&amp;sheet=A0&amp;row=653&amp;col=7&amp;number=0&amp;sourceID=14","0")</f>
        <v>0</v>
      </c>
    </row>
    <row r="654" spans="1:7">
      <c r="A654" s="3">
        <v>12</v>
      </c>
      <c r="B654" s="3">
        <v>4</v>
      </c>
      <c r="C654" s="3">
        <v>45</v>
      </c>
      <c r="D654" s="3">
        <v>8</v>
      </c>
      <c r="E654" s="3">
        <v>68.243</v>
      </c>
      <c r="F654" s="4" t="str">
        <f>HYPERLINK("http://141.218.60.56/~jnz1568/getInfo.php?workbook=12_04.xlsx&amp;sheet=A0&amp;row=654&amp;col=6&amp;number=150000000&amp;sourceID=14","150000000")</f>
        <v>150000000</v>
      </c>
      <c r="G654" s="4" t="str">
        <f>HYPERLINK("http://141.218.60.56/~jnz1568/getInfo.php?workbook=12_04.xlsx&amp;sheet=A0&amp;row=654&amp;col=7&amp;number=0&amp;sourceID=14","0")</f>
        <v>0</v>
      </c>
    </row>
    <row r="655" spans="1:7">
      <c r="A655" s="3">
        <v>12</v>
      </c>
      <c r="B655" s="3">
        <v>4</v>
      </c>
      <c r="C655" s="3">
        <v>46</v>
      </c>
      <c r="D655" s="3">
        <v>8</v>
      </c>
      <c r="E655" s="3">
        <v>67.924</v>
      </c>
      <c r="F655" s="4" t="str">
        <f>HYPERLINK("http://141.218.60.56/~jnz1568/getInfo.php?workbook=12_04.xlsx&amp;sheet=A0&amp;row=655&amp;col=6&amp;number=2450&amp;sourceID=14","2450")</f>
        <v>2450</v>
      </c>
      <c r="G655" s="4" t="str">
        <f>HYPERLINK("http://141.218.60.56/~jnz1568/getInfo.php?workbook=12_04.xlsx&amp;sheet=A0&amp;row=655&amp;col=7&amp;number=0&amp;sourceID=14","0")</f>
        <v>0</v>
      </c>
    </row>
    <row r="656" spans="1:7">
      <c r="A656" s="3">
        <v>12</v>
      </c>
      <c r="B656" s="3">
        <v>4</v>
      </c>
      <c r="C656" s="3">
        <v>47</v>
      </c>
      <c r="D656" s="3">
        <v>8</v>
      </c>
      <c r="E656" s="3">
        <v>-60.01</v>
      </c>
      <c r="F656" s="4" t="str">
        <f>HYPERLINK("http://141.218.60.56/~jnz1568/getInfo.php?workbook=12_04.xlsx&amp;sheet=A0&amp;row=656&amp;col=6&amp;number=9.88&amp;sourceID=14","9.88")</f>
        <v>9.88</v>
      </c>
      <c r="G656" s="4" t="str">
        <f>HYPERLINK("http://141.218.60.56/~jnz1568/getInfo.php?workbook=12_04.xlsx&amp;sheet=A0&amp;row=656&amp;col=7&amp;number=0&amp;sourceID=14","0")</f>
        <v>0</v>
      </c>
    </row>
    <row r="657" spans="1:7">
      <c r="A657" s="3">
        <v>12</v>
      </c>
      <c r="B657" s="3">
        <v>4</v>
      </c>
      <c r="C657" s="3">
        <v>48</v>
      </c>
      <c r="D657" s="3">
        <v>8</v>
      </c>
      <c r="E657" s="3">
        <v>-59.649</v>
      </c>
      <c r="F657" s="4" t="str">
        <f>HYPERLINK("http://141.218.60.56/~jnz1568/getInfo.php?workbook=12_04.xlsx&amp;sheet=A0&amp;row=657&amp;col=6&amp;number=26800&amp;sourceID=14","26800")</f>
        <v>26800</v>
      </c>
      <c r="G657" s="4" t="str">
        <f>HYPERLINK("http://141.218.60.56/~jnz1568/getInfo.php?workbook=12_04.xlsx&amp;sheet=A0&amp;row=657&amp;col=7&amp;number=0&amp;sourceID=14","0")</f>
        <v>0</v>
      </c>
    </row>
    <row r="658" spans="1:7">
      <c r="A658" s="3">
        <v>12</v>
      </c>
      <c r="B658" s="3">
        <v>4</v>
      </c>
      <c r="C658" s="3">
        <v>49</v>
      </c>
      <c r="D658" s="3">
        <v>8</v>
      </c>
      <c r="E658" s="3">
        <v>-59.137</v>
      </c>
      <c r="F658" s="4" t="str">
        <f>HYPERLINK("http://141.218.60.56/~jnz1568/getInfo.php?workbook=12_04.xlsx&amp;sheet=A0&amp;row=658&amp;col=6&amp;number=2.35&amp;sourceID=14","2.35")</f>
        <v>2.35</v>
      </c>
      <c r="G658" s="4" t="str">
        <f>HYPERLINK("http://141.218.60.56/~jnz1568/getInfo.php?workbook=12_04.xlsx&amp;sheet=A0&amp;row=658&amp;col=7&amp;number=0&amp;sourceID=14","0")</f>
        <v>0</v>
      </c>
    </row>
    <row r="659" spans="1:7">
      <c r="A659" s="3">
        <v>12</v>
      </c>
      <c r="B659" s="3">
        <v>4</v>
      </c>
      <c r="C659" s="3">
        <v>50</v>
      </c>
      <c r="D659" s="3">
        <v>8</v>
      </c>
      <c r="E659" s="3">
        <v>-59.133</v>
      </c>
      <c r="F659" s="4" t="str">
        <f>HYPERLINK("http://141.218.60.56/~jnz1568/getInfo.php?workbook=12_04.xlsx&amp;sheet=A0&amp;row=659&amp;col=6&amp;number=134000000&amp;sourceID=14","134000000")</f>
        <v>134000000</v>
      </c>
      <c r="G659" s="4" t="str">
        <f>HYPERLINK("http://141.218.60.56/~jnz1568/getInfo.php?workbook=12_04.xlsx&amp;sheet=A0&amp;row=659&amp;col=7&amp;number=0&amp;sourceID=14","0")</f>
        <v>0</v>
      </c>
    </row>
    <row r="660" spans="1:7">
      <c r="A660" s="3">
        <v>12</v>
      </c>
      <c r="B660" s="3">
        <v>4</v>
      </c>
      <c r="C660" s="3">
        <v>51</v>
      </c>
      <c r="D660" s="3">
        <v>8</v>
      </c>
      <c r="E660" s="3">
        <v>-59.124</v>
      </c>
      <c r="F660" s="4" t="str">
        <f>HYPERLINK("http://141.218.60.56/~jnz1568/getInfo.php?workbook=12_04.xlsx&amp;sheet=A0&amp;row=660&amp;col=6&amp;number=245000000&amp;sourceID=14","245000000")</f>
        <v>245000000</v>
      </c>
      <c r="G660" s="4" t="str">
        <f>HYPERLINK("http://141.218.60.56/~jnz1568/getInfo.php?workbook=12_04.xlsx&amp;sheet=A0&amp;row=660&amp;col=7&amp;number=0&amp;sourceID=14","0")</f>
        <v>0</v>
      </c>
    </row>
    <row r="661" spans="1:7">
      <c r="A661" s="3">
        <v>12</v>
      </c>
      <c r="B661" s="3">
        <v>4</v>
      </c>
      <c r="C661" s="3">
        <v>52</v>
      </c>
      <c r="D661" s="3">
        <v>8</v>
      </c>
      <c r="E661" s="3">
        <v>58.846</v>
      </c>
      <c r="F661" s="4" t="str">
        <f>HYPERLINK("http://141.218.60.56/~jnz1568/getInfo.php?workbook=12_04.xlsx&amp;sheet=A0&amp;row=661&amp;col=6&amp;number=23500000&amp;sourceID=14","23500000")</f>
        <v>23500000</v>
      </c>
      <c r="G661" s="4" t="str">
        <f>HYPERLINK("http://141.218.60.56/~jnz1568/getInfo.php?workbook=12_04.xlsx&amp;sheet=A0&amp;row=661&amp;col=7&amp;number=0&amp;sourceID=14","0")</f>
        <v>0</v>
      </c>
    </row>
    <row r="662" spans="1:7">
      <c r="A662" s="3">
        <v>12</v>
      </c>
      <c r="B662" s="3">
        <v>4</v>
      </c>
      <c r="C662" s="3">
        <v>53</v>
      </c>
      <c r="D662" s="3">
        <v>8</v>
      </c>
      <c r="E662" s="3">
        <v>58.458</v>
      </c>
      <c r="F662" s="4" t="str">
        <f>HYPERLINK("http://141.218.60.56/~jnz1568/getInfo.php?workbook=12_04.xlsx&amp;sheet=A0&amp;row=662&amp;col=6&amp;number=14700&amp;sourceID=14","14700")</f>
        <v>14700</v>
      </c>
      <c r="G662" s="4" t="str">
        <f>HYPERLINK("http://141.218.60.56/~jnz1568/getInfo.php?workbook=12_04.xlsx&amp;sheet=A0&amp;row=662&amp;col=7&amp;number=0&amp;sourceID=14","0")</f>
        <v>0</v>
      </c>
    </row>
    <row r="663" spans="1:7">
      <c r="A663" s="3">
        <v>12</v>
      </c>
      <c r="B663" s="3">
        <v>4</v>
      </c>
      <c r="C663" s="3">
        <v>54</v>
      </c>
      <c r="D663" s="3">
        <v>8</v>
      </c>
      <c r="E663" s="3">
        <v>58.458</v>
      </c>
      <c r="F663" s="4" t="str">
        <f>HYPERLINK("http://141.218.60.56/~jnz1568/getInfo.php?workbook=12_04.xlsx&amp;sheet=A0&amp;row=663&amp;col=6&amp;number=33700&amp;sourceID=14","33700")</f>
        <v>33700</v>
      </c>
      <c r="G663" s="4" t="str">
        <f>HYPERLINK("http://141.218.60.56/~jnz1568/getInfo.php?workbook=12_04.xlsx&amp;sheet=A0&amp;row=663&amp;col=7&amp;number=0&amp;sourceID=14","0")</f>
        <v>0</v>
      </c>
    </row>
    <row r="664" spans="1:7">
      <c r="A664" s="3">
        <v>12</v>
      </c>
      <c r="B664" s="3">
        <v>4</v>
      </c>
      <c r="C664" s="3">
        <v>55</v>
      </c>
      <c r="D664" s="3">
        <v>8</v>
      </c>
      <c r="E664" s="3">
        <v>58.455</v>
      </c>
      <c r="F664" s="4" t="str">
        <f>HYPERLINK("http://141.218.60.56/~jnz1568/getInfo.php?workbook=12_04.xlsx&amp;sheet=A0&amp;row=664&amp;col=6&amp;number=38000&amp;sourceID=14","38000")</f>
        <v>38000</v>
      </c>
      <c r="G664" s="4" t="str">
        <f>HYPERLINK("http://141.218.60.56/~jnz1568/getInfo.php?workbook=12_04.xlsx&amp;sheet=A0&amp;row=664&amp;col=7&amp;number=0&amp;sourceID=14","0")</f>
        <v>0</v>
      </c>
    </row>
    <row r="665" spans="1:7">
      <c r="A665" s="3">
        <v>12</v>
      </c>
      <c r="B665" s="3">
        <v>4</v>
      </c>
      <c r="C665" s="3">
        <v>56</v>
      </c>
      <c r="D665" s="3">
        <v>8</v>
      </c>
      <c r="E665" s="3">
        <v>58.188</v>
      </c>
      <c r="F665" s="4" t="str">
        <f>HYPERLINK("http://141.218.60.56/~jnz1568/getInfo.php?workbook=12_04.xlsx&amp;sheet=A0&amp;row=665&amp;col=6&amp;number=5510&amp;sourceID=14","5510")</f>
        <v>5510</v>
      </c>
      <c r="G665" s="4" t="str">
        <f>HYPERLINK("http://141.218.60.56/~jnz1568/getInfo.php?workbook=12_04.xlsx&amp;sheet=A0&amp;row=665&amp;col=7&amp;number=0&amp;sourceID=14","0")</f>
        <v>0</v>
      </c>
    </row>
    <row r="666" spans="1:7">
      <c r="A666" s="3">
        <v>12</v>
      </c>
      <c r="B666" s="3">
        <v>4</v>
      </c>
      <c r="C666" s="3">
        <v>57</v>
      </c>
      <c r="D666" s="3">
        <v>8</v>
      </c>
      <c r="E666" s="3">
        <v>-58.342</v>
      </c>
      <c r="F666" s="4" t="str">
        <f>HYPERLINK("http://141.218.60.56/~jnz1568/getInfo.php?workbook=12_04.xlsx&amp;sheet=A0&amp;row=666&amp;col=6&amp;number=2740&amp;sourceID=14","2740")</f>
        <v>2740</v>
      </c>
      <c r="G666" s="4" t="str">
        <f>HYPERLINK("http://141.218.60.56/~jnz1568/getInfo.php?workbook=12_04.xlsx&amp;sheet=A0&amp;row=666&amp;col=7&amp;number=0&amp;sourceID=14","0")</f>
        <v>0</v>
      </c>
    </row>
    <row r="667" spans="1:7">
      <c r="A667" s="3">
        <v>12</v>
      </c>
      <c r="B667" s="3">
        <v>4</v>
      </c>
      <c r="C667" s="3">
        <v>58</v>
      </c>
      <c r="D667" s="3">
        <v>8</v>
      </c>
      <c r="E667" s="3">
        <v>-58.341</v>
      </c>
      <c r="F667" s="4" t="str">
        <f>HYPERLINK("http://141.218.60.56/~jnz1568/getInfo.php?workbook=12_04.xlsx&amp;sheet=A0&amp;row=667&amp;col=6&amp;number=22300&amp;sourceID=14","22300")</f>
        <v>22300</v>
      </c>
      <c r="G667" s="4" t="str">
        <f>HYPERLINK("http://141.218.60.56/~jnz1568/getInfo.php?workbook=12_04.xlsx&amp;sheet=A0&amp;row=667&amp;col=7&amp;number=0&amp;sourceID=14","0")</f>
        <v>0</v>
      </c>
    </row>
    <row r="668" spans="1:7">
      <c r="A668" s="3">
        <v>12</v>
      </c>
      <c r="B668" s="3">
        <v>4</v>
      </c>
      <c r="C668" s="3">
        <v>59</v>
      </c>
      <c r="D668" s="3">
        <v>8</v>
      </c>
      <c r="E668" s="3">
        <v>-58.34</v>
      </c>
      <c r="F668" s="4" t="str">
        <f>HYPERLINK("http://141.218.60.56/~jnz1568/getInfo.php?workbook=12_04.xlsx&amp;sheet=A0&amp;row=668&amp;col=6&amp;number=30.2&amp;sourceID=14","30.2")</f>
        <v>30.2</v>
      </c>
      <c r="G668" s="4" t="str">
        <f>HYPERLINK("http://141.218.60.56/~jnz1568/getInfo.php?workbook=12_04.xlsx&amp;sheet=A0&amp;row=668&amp;col=7&amp;number=0&amp;sourceID=14","0")</f>
        <v>0</v>
      </c>
    </row>
    <row r="669" spans="1:7">
      <c r="A669" s="3">
        <v>12</v>
      </c>
      <c r="B669" s="3">
        <v>4</v>
      </c>
      <c r="C669" s="3">
        <v>60</v>
      </c>
      <c r="D669" s="3">
        <v>8</v>
      </c>
      <c r="E669" s="3">
        <v>-58.254</v>
      </c>
      <c r="F669" s="4" t="str">
        <f>HYPERLINK("http://141.218.60.56/~jnz1568/getInfo.php?workbook=12_04.xlsx&amp;sheet=A0&amp;row=669&amp;col=6&amp;number=8950000&amp;sourceID=14","8950000")</f>
        <v>8950000</v>
      </c>
      <c r="G669" s="4" t="str">
        <f>HYPERLINK("http://141.218.60.56/~jnz1568/getInfo.php?workbook=12_04.xlsx&amp;sheet=A0&amp;row=669&amp;col=7&amp;number=0&amp;sourceID=14","0")</f>
        <v>0</v>
      </c>
    </row>
    <row r="670" spans="1:7">
      <c r="A670" s="3">
        <v>12</v>
      </c>
      <c r="B670" s="3">
        <v>4</v>
      </c>
      <c r="C670" s="3">
        <v>61</v>
      </c>
      <c r="D670" s="3">
        <v>8</v>
      </c>
      <c r="E670" s="3">
        <v>-54.575</v>
      </c>
      <c r="F670" s="4" t="str">
        <f>HYPERLINK("http://141.218.60.56/~jnz1568/getInfo.php?workbook=12_04.xlsx&amp;sheet=A0&amp;row=670&amp;col=6&amp;number=415&amp;sourceID=14","415")</f>
        <v>415</v>
      </c>
      <c r="G670" s="4" t="str">
        <f>HYPERLINK("http://141.218.60.56/~jnz1568/getInfo.php?workbook=12_04.xlsx&amp;sheet=A0&amp;row=670&amp;col=7&amp;number=0&amp;sourceID=14","0")</f>
        <v>0</v>
      </c>
    </row>
    <row r="671" spans="1:7">
      <c r="A671" s="3">
        <v>12</v>
      </c>
      <c r="B671" s="3">
        <v>4</v>
      </c>
      <c r="C671" s="3">
        <v>62</v>
      </c>
      <c r="D671" s="3">
        <v>8</v>
      </c>
      <c r="E671" s="3">
        <v>-54.548</v>
      </c>
      <c r="F671" s="4" t="str">
        <f>HYPERLINK("http://141.218.60.56/~jnz1568/getInfo.php?workbook=12_04.xlsx&amp;sheet=A0&amp;row=671&amp;col=6&amp;number=16700000000&amp;sourceID=14","16700000000")</f>
        <v>16700000000</v>
      </c>
      <c r="G671" s="4" t="str">
        <f>HYPERLINK("http://141.218.60.56/~jnz1568/getInfo.php?workbook=12_04.xlsx&amp;sheet=A0&amp;row=671&amp;col=7&amp;number=0&amp;sourceID=14","0")</f>
        <v>0</v>
      </c>
    </row>
    <row r="672" spans="1:7">
      <c r="A672" s="3">
        <v>12</v>
      </c>
      <c r="B672" s="3">
        <v>4</v>
      </c>
      <c r="C672" s="3">
        <v>63</v>
      </c>
      <c r="D672" s="3">
        <v>8</v>
      </c>
      <c r="E672" s="3">
        <v>-54.459</v>
      </c>
      <c r="F672" s="4" t="str">
        <f>HYPERLINK("http://141.218.60.56/~jnz1568/getInfo.php?workbook=12_04.xlsx&amp;sheet=A0&amp;row=672&amp;col=6&amp;number=30900000000&amp;sourceID=14","30900000000")</f>
        <v>30900000000</v>
      </c>
      <c r="G672" s="4" t="str">
        <f>HYPERLINK("http://141.218.60.56/~jnz1568/getInfo.php?workbook=12_04.xlsx&amp;sheet=A0&amp;row=672&amp;col=7&amp;number=0&amp;sourceID=14","0")</f>
        <v>0</v>
      </c>
    </row>
    <row r="673" spans="1:7">
      <c r="A673" s="3">
        <v>12</v>
      </c>
      <c r="B673" s="3">
        <v>4</v>
      </c>
      <c r="C673" s="3">
        <v>64</v>
      </c>
      <c r="D673" s="3">
        <v>8</v>
      </c>
      <c r="E673" s="3">
        <v>-54.275</v>
      </c>
      <c r="F673" s="4" t="str">
        <f>HYPERLINK("http://141.218.60.56/~jnz1568/getInfo.php?workbook=12_04.xlsx&amp;sheet=A0&amp;row=673&amp;col=6&amp;number=349000000&amp;sourceID=14","349000000")</f>
        <v>349000000</v>
      </c>
      <c r="G673" s="4" t="str">
        <f>HYPERLINK("http://141.218.60.56/~jnz1568/getInfo.php?workbook=12_04.xlsx&amp;sheet=A0&amp;row=673&amp;col=7&amp;number=0&amp;sourceID=14","0")</f>
        <v>0</v>
      </c>
    </row>
    <row r="674" spans="1:7">
      <c r="A674" s="3">
        <v>12</v>
      </c>
      <c r="B674" s="3">
        <v>4</v>
      </c>
      <c r="C674" s="3">
        <v>65</v>
      </c>
      <c r="D674" s="3">
        <v>8</v>
      </c>
      <c r="E674" s="3">
        <v>-54.054</v>
      </c>
      <c r="F674" s="4" t="str">
        <f>HYPERLINK("http://141.218.60.56/~jnz1568/getInfo.php?workbook=12_04.xlsx&amp;sheet=A0&amp;row=674&amp;col=6&amp;number=1450000&amp;sourceID=14","1450000")</f>
        <v>1450000</v>
      </c>
      <c r="G674" s="4" t="str">
        <f>HYPERLINK("http://141.218.60.56/~jnz1568/getInfo.php?workbook=12_04.xlsx&amp;sheet=A0&amp;row=674&amp;col=7&amp;number=0&amp;sourceID=14","0")</f>
        <v>0</v>
      </c>
    </row>
    <row r="675" spans="1:7">
      <c r="A675" s="3">
        <v>12</v>
      </c>
      <c r="B675" s="3">
        <v>4</v>
      </c>
      <c r="C675" s="3">
        <v>66</v>
      </c>
      <c r="D675" s="3">
        <v>8</v>
      </c>
      <c r="E675" s="3">
        <v>-53.98</v>
      </c>
      <c r="F675" s="4" t="str">
        <f>HYPERLINK("http://141.218.60.56/~jnz1568/getInfo.php?workbook=12_04.xlsx&amp;sheet=A0&amp;row=675&amp;col=6&amp;number=873000&amp;sourceID=14","873000")</f>
        <v>873000</v>
      </c>
      <c r="G675" s="4" t="str">
        <f>HYPERLINK("http://141.218.60.56/~jnz1568/getInfo.php?workbook=12_04.xlsx&amp;sheet=A0&amp;row=675&amp;col=7&amp;number=0&amp;sourceID=14","0")</f>
        <v>0</v>
      </c>
    </row>
    <row r="676" spans="1:7">
      <c r="A676" s="3">
        <v>12</v>
      </c>
      <c r="B676" s="3">
        <v>4</v>
      </c>
      <c r="C676" s="3">
        <v>67</v>
      </c>
      <c r="D676" s="3">
        <v>8</v>
      </c>
      <c r="E676" s="3">
        <v>-53.967</v>
      </c>
      <c r="F676" s="4" t="str">
        <f>HYPERLINK("http://141.218.60.56/~jnz1568/getInfo.php?workbook=12_04.xlsx&amp;sheet=A0&amp;row=676&amp;col=6&amp;number=5830000&amp;sourceID=14","5830000")</f>
        <v>5830000</v>
      </c>
      <c r="G676" s="4" t="str">
        <f>HYPERLINK("http://141.218.60.56/~jnz1568/getInfo.php?workbook=12_04.xlsx&amp;sheet=A0&amp;row=676&amp;col=7&amp;number=0&amp;sourceID=14","0")</f>
        <v>0</v>
      </c>
    </row>
    <row r="677" spans="1:7">
      <c r="A677" s="3">
        <v>12</v>
      </c>
      <c r="B677" s="3">
        <v>4</v>
      </c>
      <c r="C677" s="3">
        <v>68</v>
      </c>
      <c r="D677" s="3">
        <v>8</v>
      </c>
      <c r="E677" s="3">
        <v>53.752</v>
      </c>
      <c r="F677" s="4" t="str">
        <f>HYPERLINK("http://141.218.60.56/~jnz1568/getInfo.php?workbook=12_04.xlsx&amp;sheet=A0&amp;row=677&amp;col=6&amp;number=8030000&amp;sourceID=14","8030000")</f>
        <v>8030000</v>
      </c>
      <c r="G677" s="4" t="str">
        <f>HYPERLINK("http://141.218.60.56/~jnz1568/getInfo.php?workbook=12_04.xlsx&amp;sheet=A0&amp;row=677&amp;col=7&amp;number=0&amp;sourceID=14","0")</f>
        <v>0</v>
      </c>
    </row>
    <row r="678" spans="1:7">
      <c r="A678" s="3">
        <v>12</v>
      </c>
      <c r="B678" s="3">
        <v>4</v>
      </c>
      <c r="C678" s="3">
        <v>69</v>
      </c>
      <c r="D678" s="3">
        <v>8</v>
      </c>
      <c r="E678" s="3">
        <v>-53.812</v>
      </c>
      <c r="F678" s="4" t="str">
        <f>HYPERLINK("http://141.218.60.56/~jnz1568/getInfo.php?workbook=12_04.xlsx&amp;sheet=A0&amp;row=678&amp;col=6&amp;number=2110000&amp;sourceID=14","2110000")</f>
        <v>2110000</v>
      </c>
      <c r="G678" s="4" t="str">
        <f>HYPERLINK("http://141.218.60.56/~jnz1568/getInfo.php?workbook=12_04.xlsx&amp;sheet=A0&amp;row=678&amp;col=7&amp;number=0&amp;sourceID=14","0")</f>
        <v>0</v>
      </c>
    </row>
    <row r="679" spans="1:7">
      <c r="A679" s="3">
        <v>12</v>
      </c>
      <c r="B679" s="3">
        <v>4</v>
      </c>
      <c r="C679" s="3">
        <v>70</v>
      </c>
      <c r="D679" s="3">
        <v>8</v>
      </c>
      <c r="E679" s="3">
        <v>-53.793</v>
      </c>
      <c r="F679" s="4" t="str">
        <f>HYPERLINK("http://141.218.60.56/~jnz1568/getInfo.php?workbook=12_04.xlsx&amp;sheet=A0&amp;row=679&amp;col=6&amp;number=7620000&amp;sourceID=14","7620000")</f>
        <v>7620000</v>
      </c>
      <c r="G679" s="4" t="str">
        <f>HYPERLINK("http://141.218.60.56/~jnz1568/getInfo.php?workbook=12_04.xlsx&amp;sheet=A0&amp;row=679&amp;col=7&amp;number=0&amp;sourceID=14","0")</f>
        <v>0</v>
      </c>
    </row>
    <row r="680" spans="1:7">
      <c r="A680" s="3">
        <v>12</v>
      </c>
      <c r="B680" s="3">
        <v>4</v>
      </c>
      <c r="C680" s="3">
        <v>71</v>
      </c>
      <c r="D680" s="3">
        <v>8</v>
      </c>
      <c r="E680" s="3">
        <v>-53.737</v>
      </c>
      <c r="F680" s="4" t="str">
        <f>HYPERLINK("http://141.218.60.56/~jnz1568/getInfo.php?workbook=12_04.xlsx&amp;sheet=A0&amp;row=680&amp;col=6&amp;number=4240000&amp;sourceID=14","4240000")</f>
        <v>4240000</v>
      </c>
      <c r="G680" s="4" t="str">
        <f>HYPERLINK("http://141.218.60.56/~jnz1568/getInfo.php?workbook=12_04.xlsx&amp;sheet=A0&amp;row=680&amp;col=7&amp;number=0&amp;sourceID=14","0")</f>
        <v>0</v>
      </c>
    </row>
    <row r="681" spans="1:7">
      <c r="A681" s="3">
        <v>12</v>
      </c>
      <c r="B681" s="3">
        <v>4</v>
      </c>
      <c r="C681" s="3">
        <v>72</v>
      </c>
      <c r="D681" s="3">
        <v>8</v>
      </c>
      <c r="E681" s="3">
        <v>53.59</v>
      </c>
      <c r="F681" s="4" t="str">
        <f>HYPERLINK("http://141.218.60.56/~jnz1568/getInfo.php?workbook=12_04.xlsx&amp;sheet=A0&amp;row=681&amp;col=6&amp;number=3790000&amp;sourceID=14","3790000")</f>
        <v>3790000</v>
      </c>
      <c r="G681" s="4" t="str">
        <f>HYPERLINK("http://141.218.60.56/~jnz1568/getInfo.php?workbook=12_04.xlsx&amp;sheet=A0&amp;row=681&amp;col=7&amp;number=0&amp;sourceID=14","0")</f>
        <v>0</v>
      </c>
    </row>
    <row r="682" spans="1:7">
      <c r="A682" s="3">
        <v>12</v>
      </c>
      <c r="B682" s="3">
        <v>4</v>
      </c>
      <c r="C682" s="3">
        <v>73</v>
      </c>
      <c r="D682" s="3">
        <v>8</v>
      </c>
      <c r="E682" s="3">
        <v>-53.636</v>
      </c>
      <c r="F682" s="4" t="str">
        <f>HYPERLINK("http://141.218.60.56/~jnz1568/getInfo.php?workbook=12_04.xlsx&amp;sheet=A0&amp;row=682&amp;col=6&amp;number=1790000000&amp;sourceID=14","1790000000")</f>
        <v>1790000000</v>
      </c>
      <c r="G682" s="4" t="str">
        <f>HYPERLINK("http://141.218.60.56/~jnz1568/getInfo.php?workbook=12_04.xlsx&amp;sheet=A0&amp;row=682&amp;col=7&amp;number=0&amp;sourceID=14","0")</f>
        <v>0</v>
      </c>
    </row>
    <row r="683" spans="1:7">
      <c r="A683" s="3">
        <v>12</v>
      </c>
      <c r="B683" s="3">
        <v>4</v>
      </c>
      <c r="C683" s="3">
        <v>74</v>
      </c>
      <c r="D683" s="3">
        <v>8</v>
      </c>
      <c r="E683" s="3">
        <v>-53.582</v>
      </c>
      <c r="F683" s="4" t="str">
        <f>HYPERLINK("http://141.218.60.56/~jnz1568/getInfo.php?workbook=12_04.xlsx&amp;sheet=A0&amp;row=683&amp;col=6&amp;number=10300000000&amp;sourceID=14","10300000000")</f>
        <v>10300000000</v>
      </c>
      <c r="G683" s="4" t="str">
        <f>HYPERLINK("http://141.218.60.56/~jnz1568/getInfo.php?workbook=12_04.xlsx&amp;sheet=A0&amp;row=683&amp;col=7&amp;number=0&amp;sourceID=14","0")</f>
        <v>0</v>
      </c>
    </row>
    <row r="684" spans="1:7">
      <c r="A684" s="3">
        <v>12</v>
      </c>
      <c r="B684" s="3">
        <v>4</v>
      </c>
      <c r="C684" s="3">
        <v>75</v>
      </c>
      <c r="D684" s="3">
        <v>8</v>
      </c>
      <c r="E684" s="3">
        <v>53.422</v>
      </c>
      <c r="F684" s="4" t="str">
        <f>HYPERLINK("http://141.218.60.56/~jnz1568/getInfo.php?workbook=12_04.xlsx&amp;sheet=A0&amp;row=684&amp;col=6&amp;number=125000000&amp;sourceID=14","125000000")</f>
        <v>125000000</v>
      </c>
      <c r="G684" s="4" t="str">
        <f>HYPERLINK("http://141.218.60.56/~jnz1568/getInfo.php?workbook=12_04.xlsx&amp;sheet=A0&amp;row=684&amp;col=7&amp;number=0&amp;sourceID=14","0")</f>
        <v>0</v>
      </c>
    </row>
    <row r="685" spans="1:7">
      <c r="A685" s="3">
        <v>12</v>
      </c>
      <c r="B685" s="3">
        <v>4</v>
      </c>
      <c r="C685" s="3">
        <v>76</v>
      </c>
      <c r="D685" s="3">
        <v>8</v>
      </c>
      <c r="E685" s="3">
        <v>53.426</v>
      </c>
      <c r="F685" s="4" t="str">
        <f>HYPERLINK("http://141.218.60.56/~jnz1568/getInfo.php?workbook=12_04.xlsx&amp;sheet=A0&amp;row=685&amp;col=6&amp;number=13400&amp;sourceID=14","13400")</f>
        <v>13400</v>
      </c>
      <c r="G685" s="4" t="str">
        <f>HYPERLINK("http://141.218.60.56/~jnz1568/getInfo.php?workbook=12_04.xlsx&amp;sheet=A0&amp;row=685&amp;col=7&amp;number=0&amp;sourceID=14","0")</f>
        <v>0</v>
      </c>
    </row>
    <row r="686" spans="1:7">
      <c r="A686" s="3">
        <v>12</v>
      </c>
      <c r="B686" s="3">
        <v>4</v>
      </c>
      <c r="C686" s="3">
        <v>77</v>
      </c>
      <c r="D686" s="3">
        <v>8</v>
      </c>
      <c r="E686" s="3">
        <v>-53.519</v>
      </c>
      <c r="F686" s="4" t="str">
        <f>HYPERLINK("http://141.218.60.56/~jnz1568/getInfo.php?workbook=12_04.xlsx&amp;sheet=A0&amp;row=686&amp;col=6&amp;number=1330&amp;sourceID=14","1330")</f>
        <v>1330</v>
      </c>
      <c r="G686" s="4" t="str">
        <f>HYPERLINK("http://141.218.60.56/~jnz1568/getInfo.php?workbook=12_04.xlsx&amp;sheet=A0&amp;row=686&amp;col=7&amp;number=0&amp;sourceID=14","0")</f>
        <v>0</v>
      </c>
    </row>
    <row r="687" spans="1:7">
      <c r="A687" s="3">
        <v>12</v>
      </c>
      <c r="B687" s="3">
        <v>4</v>
      </c>
      <c r="C687" s="3">
        <v>78</v>
      </c>
      <c r="D687" s="3">
        <v>8</v>
      </c>
      <c r="E687" s="3">
        <v>-53.433</v>
      </c>
      <c r="F687" s="4" t="str">
        <f>HYPERLINK("http://141.218.60.56/~jnz1568/getInfo.php?workbook=12_04.xlsx&amp;sheet=A0&amp;row=687&amp;col=6&amp;number=267000000&amp;sourceID=14","267000000")</f>
        <v>267000000</v>
      </c>
      <c r="G687" s="4" t="str">
        <f>HYPERLINK("http://141.218.60.56/~jnz1568/getInfo.php?workbook=12_04.xlsx&amp;sheet=A0&amp;row=687&amp;col=7&amp;number=0&amp;sourceID=14","0")</f>
        <v>0</v>
      </c>
    </row>
    <row r="688" spans="1:7">
      <c r="A688" s="3">
        <v>12</v>
      </c>
      <c r="B688" s="3">
        <v>4</v>
      </c>
      <c r="C688" s="3">
        <v>79</v>
      </c>
      <c r="D688" s="3">
        <v>8</v>
      </c>
      <c r="E688" s="3">
        <v>-53.416</v>
      </c>
      <c r="F688" s="4" t="str">
        <f>HYPERLINK("http://141.218.60.56/~jnz1568/getInfo.php?workbook=12_04.xlsx&amp;sheet=A0&amp;row=688&amp;col=6&amp;number=9530000000&amp;sourceID=14","9530000000")</f>
        <v>9530000000</v>
      </c>
      <c r="G688" s="4" t="str">
        <f>HYPERLINK("http://141.218.60.56/~jnz1568/getInfo.php?workbook=12_04.xlsx&amp;sheet=A0&amp;row=688&amp;col=7&amp;number=0&amp;sourceID=14","0")</f>
        <v>0</v>
      </c>
    </row>
    <row r="689" spans="1:7">
      <c r="A689" s="3">
        <v>12</v>
      </c>
      <c r="B689" s="3">
        <v>4</v>
      </c>
      <c r="C689" s="3">
        <v>80</v>
      </c>
      <c r="D689" s="3">
        <v>8</v>
      </c>
      <c r="E689" s="3">
        <v>-53.38</v>
      </c>
      <c r="F689" s="4" t="str">
        <f>HYPERLINK("http://141.218.60.56/~jnz1568/getInfo.php?workbook=12_04.xlsx&amp;sheet=A0&amp;row=689&amp;col=6&amp;number=87800&amp;sourceID=14","87800")</f>
        <v>87800</v>
      </c>
      <c r="G689" s="4" t="str">
        <f>HYPERLINK("http://141.218.60.56/~jnz1568/getInfo.php?workbook=12_04.xlsx&amp;sheet=A0&amp;row=689&amp;col=7&amp;number=0&amp;sourceID=14","0")</f>
        <v>0</v>
      </c>
    </row>
    <row r="690" spans="1:7">
      <c r="A690" s="3">
        <v>12</v>
      </c>
      <c r="B690" s="3">
        <v>4</v>
      </c>
      <c r="C690" s="3">
        <v>81</v>
      </c>
      <c r="D690" s="3">
        <v>8</v>
      </c>
      <c r="E690" s="3">
        <v>53.222</v>
      </c>
      <c r="F690" s="4" t="str">
        <f>HYPERLINK("http://141.218.60.56/~jnz1568/getInfo.php?workbook=12_04.xlsx&amp;sheet=A0&amp;row=690&amp;col=6&amp;number=272000000000&amp;sourceID=14","272000000000")</f>
        <v>272000000000</v>
      </c>
      <c r="G690" s="4" t="str">
        <f>HYPERLINK("http://141.218.60.56/~jnz1568/getInfo.php?workbook=12_04.xlsx&amp;sheet=A0&amp;row=690&amp;col=7&amp;number=0&amp;sourceID=14","0")</f>
        <v>0</v>
      </c>
    </row>
    <row r="691" spans="1:7">
      <c r="A691" s="3">
        <v>12</v>
      </c>
      <c r="B691" s="3">
        <v>4</v>
      </c>
      <c r="C691" s="3">
        <v>82</v>
      </c>
      <c r="D691" s="3">
        <v>8</v>
      </c>
      <c r="E691" s="3">
        <v>-53.37</v>
      </c>
      <c r="F691" s="4" t="str">
        <f>HYPERLINK("http://141.218.60.56/~jnz1568/getInfo.php?workbook=12_04.xlsx&amp;sheet=A0&amp;row=691&amp;col=6&amp;number=685000&amp;sourceID=14","685000")</f>
        <v>685000</v>
      </c>
      <c r="G691" s="4" t="str">
        <f>HYPERLINK("http://141.218.60.56/~jnz1568/getInfo.php?workbook=12_04.xlsx&amp;sheet=A0&amp;row=691&amp;col=7&amp;number=0&amp;sourceID=14","0")</f>
        <v>0</v>
      </c>
    </row>
    <row r="692" spans="1:7">
      <c r="A692" s="3">
        <v>12</v>
      </c>
      <c r="B692" s="3">
        <v>4</v>
      </c>
      <c r="C692" s="3">
        <v>83</v>
      </c>
      <c r="D692" s="3">
        <v>8</v>
      </c>
      <c r="E692" s="3">
        <v>-53.37</v>
      </c>
      <c r="F692" s="4" t="str">
        <f>HYPERLINK("http://141.218.60.56/~jnz1568/getInfo.php?workbook=12_04.xlsx&amp;sheet=A0&amp;row=692&amp;col=6&amp;number=5960000&amp;sourceID=14","5960000")</f>
        <v>5960000</v>
      </c>
      <c r="G692" s="4" t="str">
        <f>HYPERLINK("http://141.218.60.56/~jnz1568/getInfo.php?workbook=12_04.xlsx&amp;sheet=A0&amp;row=692&amp;col=7&amp;number=0&amp;sourceID=14","0")</f>
        <v>0</v>
      </c>
    </row>
    <row r="693" spans="1:7">
      <c r="A693" s="3">
        <v>12</v>
      </c>
      <c r="B693" s="3">
        <v>4</v>
      </c>
      <c r="C693" s="3">
        <v>84</v>
      </c>
      <c r="D693" s="3">
        <v>8</v>
      </c>
      <c r="E693" s="3">
        <v>-53.361</v>
      </c>
      <c r="F693" s="4" t="str">
        <f>HYPERLINK("http://141.218.60.56/~jnz1568/getInfo.php?workbook=12_04.xlsx&amp;sheet=A0&amp;row=693&amp;col=6&amp;number=32000000&amp;sourceID=14","32000000")</f>
        <v>32000000</v>
      </c>
      <c r="G693" s="4" t="str">
        <f>HYPERLINK("http://141.218.60.56/~jnz1568/getInfo.php?workbook=12_04.xlsx&amp;sheet=A0&amp;row=693&amp;col=7&amp;number=0&amp;sourceID=14","0")</f>
        <v>0</v>
      </c>
    </row>
    <row r="694" spans="1:7">
      <c r="A694" s="3">
        <v>12</v>
      </c>
      <c r="B694" s="3">
        <v>4</v>
      </c>
      <c r="C694" s="3">
        <v>85</v>
      </c>
      <c r="D694" s="3">
        <v>8</v>
      </c>
      <c r="E694" s="3">
        <v>53.188</v>
      </c>
      <c r="F694" s="4" t="str">
        <f>HYPERLINK("http://141.218.60.56/~jnz1568/getInfo.php?workbook=12_04.xlsx&amp;sheet=A0&amp;row=694&amp;col=6&amp;number=170000000000&amp;sourceID=14","170000000000")</f>
        <v>170000000000</v>
      </c>
      <c r="G694" s="4" t="str">
        <f>HYPERLINK("http://141.218.60.56/~jnz1568/getInfo.php?workbook=12_04.xlsx&amp;sheet=A0&amp;row=694&amp;col=7&amp;number=0&amp;sourceID=14","0")</f>
        <v>0</v>
      </c>
    </row>
    <row r="695" spans="1:7">
      <c r="A695" s="3">
        <v>12</v>
      </c>
      <c r="B695" s="3">
        <v>4</v>
      </c>
      <c r="C695" s="3">
        <v>86</v>
      </c>
      <c r="D695" s="3">
        <v>8</v>
      </c>
      <c r="E695" s="3">
        <v>53.173</v>
      </c>
      <c r="F695" s="4" t="str">
        <f>HYPERLINK("http://141.218.60.56/~jnz1568/getInfo.php?workbook=12_04.xlsx&amp;sheet=A0&amp;row=695&amp;col=6&amp;number=69900000000&amp;sourceID=14","69900000000")</f>
        <v>69900000000</v>
      </c>
      <c r="G695" s="4" t="str">
        <f>HYPERLINK("http://141.218.60.56/~jnz1568/getInfo.php?workbook=12_04.xlsx&amp;sheet=A0&amp;row=695&amp;col=7&amp;number=0&amp;sourceID=14","0")</f>
        <v>0</v>
      </c>
    </row>
    <row r="696" spans="1:7">
      <c r="A696" s="3">
        <v>12</v>
      </c>
      <c r="B696" s="3">
        <v>4</v>
      </c>
      <c r="C696" s="3">
        <v>87</v>
      </c>
      <c r="D696" s="3">
        <v>8</v>
      </c>
      <c r="E696" s="3">
        <v>-53.291</v>
      </c>
      <c r="F696" s="4" t="str">
        <f>HYPERLINK("http://141.218.60.56/~jnz1568/getInfo.php?workbook=12_04.xlsx&amp;sheet=A0&amp;row=696&amp;col=6&amp;number=107&amp;sourceID=14","107")</f>
        <v>107</v>
      </c>
      <c r="G696" s="4" t="str">
        <f>HYPERLINK("http://141.218.60.56/~jnz1568/getInfo.php?workbook=12_04.xlsx&amp;sheet=A0&amp;row=696&amp;col=7&amp;number=0&amp;sourceID=14","0")</f>
        <v>0</v>
      </c>
    </row>
    <row r="697" spans="1:7">
      <c r="A697" s="3">
        <v>12</v>
      </c>
      <c r="B697" s="3">
        <v>4</v>
      </c>
      <c r="C697" s="3">
        <v>88</v>
      </c>
      <c r="D697" s="3">
        <v>8</v>
      </c>
      <c r="E697" s="3">
        <v>-53.269</v>
      </c>
      <c r="F697" s="4" t="str">
        <f>HYPERLINK("http://141.218.60.56/~jnz1568/getInfo.php?workbook=12_04.xlsx&amp;sheet=A0&amp;row=697&amp;col=6&amp;number=2210000&amp;sourceID=14","2210000")</f>
        <v>2210000</v>
      </c>
      <c r="G697" s="4" t="str">
        <f>HYPERLINK("http://141.218.60.56/~jnz1568/getInfo.php?workbook=12_04.xlsx&amp;sheet=A0&amp;row=697&amp;col=7&amp;number=0&amp;sourceID=14","0")</f>
        <v>0</v>
      </c>
    </row>
    <row r="698" spans="1:7">
      <c r="A698" s="3">
        <v>12</v>
      </c>
      <c r="B698" s="3">
        <v>4</v>
      </c>
      <c r="C698" s="3">
        <v>89</v>
      </c>
      <c r="D698" s="3">
        <v>8</v>
      </c>
      <c r="E698" s="3">
        <v>-53.256</v>
      </c>
      <c r="F698" s="4" t="str">
        <f>HYPERLINK("http://141.218.60.56/~jnz1568/getInfo.php?workbook=12_04.xlsx&amp;sheet=A0&amp;row=698&amp;col=6&amp;number=10400000&amp;sourceID=14","10400000")</f>
        <v>10400000</v>
      </c>
      <c r="G698" s="4" t="str">
        <f>HYPERLINK("http://141.218.60.56/~jnz1568/getInfo.php?workbook=12_04.xlsx&amp;sheet=A0&amp;row=698&amp;col=7&amp;number=0&amp;sourceID=14","0")</f>
        <v>0</v>
      </c>
    </row>
    <row r="699" spans="1:7">
      <c r="A699" s="3">
        <v>12</v>
      </c>
      <c r="B699" s="3">
        <v>4</v>
      </c>
      <c r="C699" s="3">
        <v>90</v>
      </c>
      <c r="D699" s="3">
        <v>8</v>
      </c>
      <c r="E699" s="3">
        <v>-53.217</v>
      </c>
      <c r="F699" s="4" t="str">
        <f>HYPERLINK("http://141.218.60.56/~jnz1568/getInfo.php?workbook=12_04.xlsx&amp;sheet=A0&amp;row=699&amp;col=6&amp;number=0.205&amp;sourceID=14","0.205")</f>
        <v>0.205</v>
      </c>
      <c r="G699" s="4" t="str">
        <f>HYPERLINK("http://141.218.60.56/~jnz1568/getInfo.php?workbook=12_04.xlsx&amp;sheet=A0&amp;row=699&amp;col=7&amp;number=0&amp;sourceID=14","0")</f>
        <v>0</v>
      </c>
    </row>
    <row r="700" spans="1:7">
      <c r="A700" s="3">
        <v>12</v>
      </c>
      <c r="B700" s="3">
        <v>4</v>
      </c>
      <c r="C700" s="3">
        <v>91</v>
      </c>
      <c r="D700" s="3">
        <v>8</v>
      </c>
      <c r="E700" s="3">
        <v>-53.183</v>
      </c>
      <c r="F700" s="4" t="str">
        <f>HYPERLINK("http://141.218.60.56/~jnz1568/getInfo.php?workbook=12_04.xlsx&amp;sheet=A0&amp;row=700&amp;col=6&amp;number=24800000&amp;sourceID=14","24800000")</f>
        <v>24800000</v>
      </c>
      <c r="G700" s="4" t="str">
        <f>HYPERLINK("http://141.218.60.56/~jnz1568/getInfo.php?workbook=12_04.xlsx&amp;sheet=A0&amp;row=700&amp;col=7&amp;number=0&amp;sourceID=14","0")</f>
        <v>0</v>
      </c>
    </row>
    <row r="701" spans="1:7">
      <c r="A701" s="3">
        <v>12</v>
      </c>
      <c r="B701" s="3">
        <v>4</v>
      </c>
      <c r="C701" s="3">
        <v>92</v>
      </c>
      <c r="D701" s="3">
        <v>8</v>
      </c>
      <c r="E701" s="3">
        <v>-53.175</v>
      </c>
      <c r="F701" s="4" t="str">
        <f>HYPERLINK("http://141.218.60.56/~jnz1568/getInfo.php?workbook=12_04.xlsx&amp;sheet=A0&amp;row=701&amp;col=6&amp;number=126000&amp;sourceID=14","126000")</f>
        <v>126000</v>
      </c>
      <c r="G701" s="4" t="str">
        <f>HYPERLINK("http://141.218.60.56/~jnz1568/getInfo.php?workbook=12_04.xlsx&amp;sheet=A0&amp;row=701&amp;col=7&amp;number=0&amp;sourceID=14","0")</f>
        <v>0</v>
      </c>
    </row>
    <row r="702" spans="1:7">
      <c r="A702" s="3">
        <v>12</v>
      </c>
      <c r="B702" s="3">
        <v>4</v>
      </c>
      <c r="C702" s="3">
        <v>93</v>
      </c>
      <c r="D702" s="3">
        <v>8</v>
      </c>
      <c r="E702" s="3">
        <v>-53.167</v>
      </c>
      <c r="F702" s="4" t="str">
        <f>HYPERLINK("http://141.218.60.56/~jnz1568/getInfo.php?workbook=12_04.xlsx&amp;sheet=A0&amp;row=702&amp;col=6&amp;number=16600000&amp;sourceID=14","16600000")</f>
        <v>16600000</v>
      </c>
      <c r="G702" s="4" t="str">
        <f>HYPERLINK("http://141.218.60.56/~jnz1568/getInfo.php?workbook=12_04.xlsx&amp;sheet=A0&amp;row=702&amp;col=7&amp;number=0&amp;sourceID=14","0")</f>
        <v>0</v>
      </c>
    </row>
    <row r="703" spans="1:7">
      <c r="A703" s="3">
        <v>12</v>
      </c>
      <c r="B703" s="3">
        <v>4</v>
      </c>
      <c r="C703" s="3">
        <v>94</v>
      </c>
      <c r="D703" s="3">
        <v>8</v>
      </c>
      <c r="E703" s="3">
        <v>-53.14</v>
      </c>
      <c r="F703" s="4" t="str">
        <f>HYPERLINK("http://141.218.60.56/~jnz1568/getInfo.php?workbook=12_04.xlsx&amp;sheet=A0&amp;row=703&amp;col=6&amp;number=7110000&amp;sourceID=14","7110000")</f>
        <v>7110000</v>
      </c>
      <c r="G703" s="4" t="str">
        <f>HYPERLINK("http://141.218.60.56/~jnz1568/getInfo.php?workbook=12_04.xlsx&amp;sheet=A0&amp;row=703&amp;col=7&amp;number=0&amp;sourceID=14","0")</f>
        <v>0</v>
      </c>
    </row>
    <row r="704" spans="1:7">
      <c r="A704" s="3">
        <v>12</v>
      </c>
      <c r="B704" s="3">
        <v>4</v>
      </c>
      <c r="C704" s="3">
        <v>95</v>
      </c>
      <c r="D704" s="3">
        <v>8</v>
      </c>
      <c r="E704" s="3">
        <v>-53.122</v>
      </c>
      <c r="F704" s="4" t="str">
        <f>HYPERLINK("http://141.218.60.56/~jnz1568/getInfo.php?workbook=12_04.xlsx&amp;sheet=A0&amp;row=704&amp;col=6&amp;number=39.6&amp;sourceID=14","39.6")</f>
        <v>39.6</v>
      </c>
      <c r="G704" s="4" t="str">
        <f>HYPERLINK("http://141.218.60.56/~jnz1568/getInfo.php?workbook=12_04.xlsx&amp;sheet=A0&amp;row=704&amp;col=7&amp;number=0&amp;sourceID=14","0")</f>
        <v>0</v>
      </c>
    </row>
    <row r="705" spans="1:7">
      <c r="A705" s="3">
        <v>12</v>
      </c>
      <c r="B705" s="3">
        <v>4</v>
      </c>
      <c r="C705" s="3">
        <v>96</v>
      </c>
      <c r="D705" s="3">
        <v>8</v>
      </c>
      <c r="E705" s="3">
        <v>-53.105</v>
      </c>
      <c r="F705" s="4" t="str">
        <f>HYPERLINK("http://141.218.60.56/~jnz1568/getInfo.php?workbook=12_04.xlsx&amp;sheet=A0&amp;row=705&amp;col=6&amp;number=2080000&amp;sourceID=14","2080000")</f>
        <v>2080000</v>
      </c>
      <c r="G705" s="4" t="str">
        <f>HYPERLINK("http://141.218.60.56/~jnz1568/getInfo.php?workbook=12_04.xlsx&amp;sheet=A0&amp;row=705&amp;col=7&amp;number=0&amp;sourceID=14","0")</f>
        <v>0</v>
      </c>
    </row>
    <row r="706" spans="1:7">
      <c r="A706" s="3">
        <v>12</v>
      </c>
      <c r="B706" s="3">
        <v>4</v>
      </c>
      <c r="C706" s="3">
        <v>97</v>
      </c>
      <c r="D706" s="3">
        <v>8</v>
      </c>
      <c r="E706" s="3">
        <v>52.987</v>
      </c>
      <c r="F706" s="4" t="str">
        <f>HYPERLINK("http://141.218.60.56/~jnz1568/getInfo.php?workbook=12_04.xlsx&amp;sheet=A0&amp;row=706&amp;col=6&amp;number=215000000&amp;sourceID=14","215000000")</f>
        <v>215000000</v>
      </c>
      <c r="G706" s="4" t="str">
        <f>HYPERLINK("http://141.218.60.56/~jnz1568/getInfo.php?workbook=12_04.xlsx&amp;sheet=A0&amp;row=706&amp;col=7&amp;number=0&amp;sourceID=14","0")</f>
        <v>0</v>
      </c>
    </row>
    <row r="707" spans="1:7">
      <c r="A707" s="3">
        <v>12</v>
      </c>
      <c r="B707" s="3">
        <v>4</v>
      </c>
      <c r="C707" s="3">
        <v>98</v>
      </c>
      <c r="D707" s="3">
        <v>8</v>
      </c>
      <c r="E707" s="3">
        <v>52.939</v>
      </c>
      <c r="F707" s="4" t="str">
        <f>HYPERLINK("http://141.218.60.56/~jnz1568/getInfo.php?workbook=12_04.xlsx&amp;sheet=A0&amp;row=707&amp;col=6&amp;number=22400000&amp;sourceID=14","22400000")</f>
        <v>22400000</v>
      </c>
      <c r="G707" s="4" t="str">
        <f>HYPERLINK("http://141.218.60.56/~jnz1568/getInfo.php?workbook=12_04.xlsx&amp;sheet=A0&amp;row=707&amp;col=7&amp;number=0&amp;sourceID=14","0")</f>
        <v>0</v>
      </c>
    </row>
    <row r="708" spans="1:7">
      <c r="A708" s="3">
        <v>12</v>
      </c>
      <c r="B708" s="3">
        <v>4</v>
      </c>
      <c r="C708" s="3">
        <v>10</v>
      </c>
      <c r="D708" s="3">
        <v>9</v>
      </c>
      <c r="E708" s="3">
        <v>1057.834</v>
      </c>
      <c r="F708" s="4" t="str">
        <f>HYPERLINK("http://141.218.60.56/~jnz1568/getInfo.php?workbook=12_04.xlsx&amp;sheet=A0&amp;row=708&amp;col=6&amp;number=119&amp;sourceID=14","119")</f>
        <v>119</v>
      </c>
      <c r="G708" s="4" t="str">
        <f>HYPERLINK("http://141.218.60.56/~jnz1568/getInfo.php?workbook=12_04.xlsx&amp;sheet=A0&amp;row=708&amp;col=7&amp;number=0&amp;sourceID=14","0")</f>
        <v>0</v>
      </c>
    </row>
    <row r="709" spans="1:7">
      <c r="A709" s="3">
        <v>12</v>
      </c>
      <c r="B709" s="3">
        <v>4</v>
      </c>
      <c r="C709" s="3">
        <v>11</v>
      </c>
      <c r="D709" s="3">
        <v>9</v>
      </c>
      <c r="E709" s="3">
        <v>88.704</v>
      </c>
      <c r="F709" s="4" t="str">
        <f>HYPERLINK("http://141.218.60.56/~jnz1568/getInfo.php?workbook=12_04.xlsx&amp;sheet=A0&amp;row=709&amp;col=6&amp;number=19.4&amp;sourceID=14","19.4")</f>
        <v>19.4</v>
      </c>
      <c r="G709" s="4" t="str">
        <f>HYPERLINK("http://141.218.60.56/~jnz1568/getInfo.php?workbook=12_04.xlsx&amp;sheet=A0&amp;row=709&amp;col=7&amp;number=0&amp;sourceID=14","0")</f>
        <v>0</v>
      </c>
    </row>
    <row r="710" spans="1:7">
      <c r="A710" s="3">
        <v>12</v>
      </c>
      <c r="B710" s="3">
        <v>4</v>
      </c>
      <c r="C710" s="3">
        <v>12</v>
      </c>
      <c r="D710" s="3">
        <v>9</v>
      </c>
      <c r="E710" s="3">
        <v>86.732</v>
      </c>
      <c r="F710" s="4" t="str">
        <f>HYPERLINK("http://141.218.60.56/~jnz1568/getInfo.php?workbook=12_04.xlsx&amp;sheet=A0&amp;row=710&amp;col=6&amp;number=2360000&amp;sourceID=14","2360000")</f>
        <v>2360000</v>
      </c>
      <c r="G710" s="4" t="str">
        <f>HYPERLINK("http://141.218.60.56/~jnz1568/getInfo.php?workbook=12_04.xlsx&amp;sheet=A0&amp;row=710&amp;col=7&amp;number=0&amp;sourceID=14","0")</f>
        <v>0</v>
      </c>
    </row>
    <row r="711" spans="1:7">
      <c r="A711" s="3">
        <v>12</v>
      </c>
      <c r="B711" s="3">
        <v>4</v>
      </c>
      <c r="C711" s="3">
        <v>13</v>
      </c>
      <c r="D711" s="3">
        <v>9</v>
      </c>
      <c r="E711" s="3">
        <v>84.14</v>
      </c>
      <c r="F711" s="4" t="str">
        <f>HYPERLINK("http://141.218.60.56/~jnz1568/getInfo.php?workbook=12_04.xlsx&amp;sheet=A0&amp;row=711&amp;col=6&amp;number=21200000000&amp;sourceID=14","21200000000")</f>
        <v>21200000000</v>
      </c>
      <c r="G711" s="4" t="str">
        <f>HYPERLINK("http://141.218.60.56/~jnz1568/getInfo.php?workbook=12_04.xlsx&amp;sheet=A0&amp;row=711&amp;col=7&amp;number=0&amp;sourceID=14","0")</f>
        <v>0</v>
      </c>
    </row>
    <row r="712" spans="1:7">
      <c r="A712" s="3">
        <v>12</v>
      </c>
      <c r="B712" s="3">
        <v>4</v>
      </c>
      <c r="C712" s="3">
        <v>14</v>
      </c>
      <c r="D712" s="3">
        <v>9</v>
      </c>
      <c r="E712" s="3">
        <v>83.865</v>
      </c>
      <c r="F712" s="4" t="str">
        <f>HYPERLINK("http://141.218.60.56/~jnz1568/getInfo.php?workbook=12_04.xlsx&amp;sheet=A0&amp;row=712&amp;col=6&amp;number=68.9&amp;sourceID=14","68.9")</f>
        <v>68.9</v>
      </c>
      <c r="G712" s="4" t="str">
        <f>HYPERLINK("http://141.218.60.56/~jnz1568/getInfo.php?workbook=12_04.xlsx&amp;sheet=A0&amp;row=712&amp;col=7&amp;number=0&amp;sourceID=14","0")</f>
        <v>0</v>
      </c>
    </row>
    <row r="713" spans="1:7">
      <c r="A713" s="3">
        <v>12</v>
      </c>
      <c r="B713" s="3">
        <v>4</v>
      </c>
      <c r="C713" s="3">
        <v>15</v>
      </c>
      <c r="D713" s="3">
        <v>9</v>
      </c>
      <c r="E713" s="3">
        <v>83.865</v>
      </c>
      <c r="F713" s="4" t="str">
        <f>HYPERLINK("http://141.218.60.56/~jnz1568/getInfo.php?workbook=12_04.xlsx&amp;sheet=A0&amp;row=713&amp;col=6&amp;number=593000000&amp;sourceID=14","593000000")</f>
        <v>593000000</v>
      </c>
      <c r="G713" s="4" t="str">
        <f>HYPERLINK("http://141.218.60.56/~jnz1568/getInfo.php?workbook=12_04.xlsx&amp;sheet=A0&amp;row=713&amp;col=7&amp;number=0&amp;sourceID=14","0")</f>
        <v>0</v>
      </c>
    </row>
    <row r="714" spans="1:7">
      <c r="A714" s="3">
        <v>12</v>
      </c>
      <c r="B714" s="3">
        <v>4</v>
      </c>
      <c r="C714" s="3">
        <v>16</v>
      </c>
      <c r="D714" s="3">
        <v>9</v>
      </c>
      <c r="E714" s="3">
        <v>83.865</v>
      </c>
      <c r="F714" s="4" t="str">
        <f>HYPERLINK("http://141.218.60.56/~jnz1568/getInfo.php?workbook=12_04.xlsx&amp;sheet=A0&amp;row=714&amp;col=6&amp;number=952000&amp;sourceID=14","952000")</f>
        <v>952000</v>
      </c>
      <c r="G714" s="4" t="str">
        <f>HYPERLINK("http://141.218.60.56/~jnz1568/getInfo.php?workbook=12_04.xlsx&amp;sheet=A0&amp;row=714&amp;col=7&amp;number=0&amp;sourceID=14","0")</f>
        <v>0</v>
      </c>
    </row>
    <row r="715" spans="1:7">
      <c r="A715" s="3">
        <v>12</v>
      </c>
      <c r="B715" s="3">
        <v>4</v>
      </c>
      <c r="C715" s="3">
        <v>17</v>
      </c>
      <c r="D715" s="3">
        <v>9</v>
      </c>
      <c r="E715" s="3">
        <v>81.57</v>
      </c>
      <c r="F715" s="4" t="str">
        <f>HYPERLINK("http://141.218.60.56/~jnz1568/getInfo.php?workbook=12_04.xlsx&amp;sheet=A0&amp;row=715&amp;col=6&amp;number=2.19&amp;sourceID=14","2.19")</f>
        <v>2.19</v>
      </c>
      <c r="G715" s="4" t="str">
        <f>HYPERLINK("http://141.218.60.56/~jnz1568/getInfo.php?workbook=12_04.xlsx&amp;sheet=A0&amp;row=715&amp;col=7&amp;number=0&amp;sourceID=14","0")</f>
        <v>0</v>
      </c>
    </row>
    <row r="716" spans="1:7">
      <c r="A716" s="3">
        <v>12</v>
      </c>
      <c r="B716" s="3">
        <v>4</v>
      </c>
      <c r="C716" s="3">
        <v>18</v>
      </c>
      <c r="D716" s="3">
        <v>9</v>
      </c>
      <c r="E716" s="3">
        <v>81.562</v>
      </c>
      <c r="F716" s="4" t="str">
        <f>HYPERLINK("http://141.218.60.56/~jnz1568/getInfo.php?workbook=12_04.xlsx&amp;sheet=A0&amp;row=716&amp;col=6&amp;number=157&amp;sourceID=14","157")</f>
        <v>157</v>
      </c>
      <c r="G716" s="4" t="str">
        <f>HYPERLINK("http://141.218.60.56/~jnz1568/getInfo.php?workbook=12_04.xlsx&amp;sheet=A0&amp;row=716&amp;col=7&amp;number=0&amp;sourceID=14","0")</f>
        <v>0</v>
      </c>
    </row>
    <row r="717" spans="1:7">
      <c r="A717" s="3">
        <v>12</v>
      </c>
      <c r="B717" s="3">
        <v>4</v>
      </c>
      <c r="C717" s="3">
        <v>19</v>
      </c>
      <c r="D717" s="3">
        <v>9</v>
      </c>
      <c r="E717" s="3">
        <v>81.552</v>
      </c>
      <c r="F717" s="4" t="str">
        <f>HYPERLINK("http://141.218.60.56/~jnz1568/getInfo.php?workbook=12_04.xlsx&amp;sheet=A0&amp;row=717&amp;col=6&amp;number=196&amp;sourceID=14","196")</f>
        <v>196</v>
      </c>
      <c r="G717" s="4" t="str">
        <f>HYPERLINK("http://141.218.60.56/~jnz1568/getInfo.php?workbook=12_04.xlsx&amp;sheet=A0&amp;row=717&amp;col=7&amp;number=0&amp;sourceID=14","0")</f>
        <v>0</v>
      </c>
    </row>
    <row r="718" spans="1:7">
      <c r="A718" s="3">
        <v>12</v>
      </c>
      <c r="B718" s="3">
        <v>4</v>
      </c>
      <c r="C718" s="3">
        <v>20</v>
      </c>
      <c r="D718" s="3">
        <v>9</v>
      </c>
      <c r="E718" s="3">
        <v>80.033</v>
      </c>
      <c r="F718" s="4" t="str">
        <f>HYPERLINK("http://141.218.60.56/~jnz1568/getInfo.php?workbook=12_04.xlsx&amp;sheet=A0&amp;row=718&amp;col=6&amp;number=394000&amp;sourceID=14","394000")</f>
        <v>394000</v>
      </c>
      <c r="G718" s="4" t="str">
        <f>HYPERLINK("http://141.218.60.56/~jnz1568/getInfo.php?workbook=12_04.xlsx&amp;sheet=A0&amp;row=718&amp;col=7&amp;number=0&amp;sourceID=14","0")</f>
        <v>0</v>
      </c>
    </row>
    <row r="719" spans="1:7">
      <c r="A719" s="3">
        <v>12</v>
      </c>
      <c r="B719" s="3">
        <v>4</v>
      </c>
      <c r="C719" s="3">
        <v>21</v>
      </c>
      <c r="D719" s="3">
        <v>9</v>
      </c>
      <c r="E719" s="3">
        <v>76.626</v>
      </c>
      <c r="F719" s="4" t="str">
        <f>HYPERLINK("http://141.218.60.56/~jnz1568/getInfo.php?workbook=12_04.xlsx&amp;sheet=A0&amp;row=719&amp;col=6&amp;number=668&amp;sourceID=14","668")</f>
        <v>668</v>
      </c>
      <c r="G719" s="4" t="str">
        <f>HYPERLINK("http://141.218.60.56/~jnz1568/getInfo.php?workbook=12_04.xlsx&amp;sheet=A0&amp;row=719&amp;col=7&amp;number=0&amp;sourceID=14","0")</f>
        <v>0</v>
      </c>
    </row>
    <row r="720" spans="1:7">
      <c r="A720" s="3">
        <v>12</v>
      </c>
      <c r="B720" s="3">
        <v>4</v>
      </c>
      <c r="C720" s="3">
        <v>22</v>
      </c>
      <c r="D720" s="3">
        <v>9</v>
      </c>
      <c r="E720" s="3">
        <v>76.561</v>
      </c>
      <c r="F720" s="4" t="str">
        <f>HYPERLINK("http://141.218.60.56/~jnz1568/getInfo.php?workbook=12_04.xlsx&amp;sheet=A0&amp;row=720&amp;col=6&amp;number=64300000&amp;sourceID=14","64300000")</f>
        <v>64300000</v>
      </c>
      <c r="G720" s="4" t="str">
        <f>HYPERLINK("http://141.218.60.56/~jnz1568/getInfo.php?workbook=12_04.xlsx&amp;sheet=A0&amp;row=720&amp;col=7&amp;number=0&amp;sourceID=14","0")</f>
        <v>0</v>
      </c>
    </row>
    <row r="721" spans="1:7">
      <c r="A721" s="3">
        <v>12</v>
      </c>
      <c r="B721" s="3">
        <v>4</v>
      </c>
      <c r="C721" s="3">
        <v>23</v>
      </c>
      <c r="D721" s="3">
        <v>9</v>
      </c>
      <c r="E721" s="3">
        <v>76.406</v>
      </c>
      <c r="F721" s="4" t="str">
        <f>HYPERLINK("http://141.218.60.56/~jnz1568/getInfo.php?workbook=12_04.xlsx&amp;sheet=A0&amp;row=721&amp;col=6&amp;number=150000000&amp;sourceID=14","150000000")</f>
        <v>150000000</v>
      </c>
      <c r="G721" s="4" t="str">
        <f>HYPERLINK("http://141.218.60.56/~jnz1568/getInfo.php?workbook=12_04.xlsx&amp;sheet=A0&amp;row=721&amp;col=7&amp;number=0&amp;sourceID=14","0")</f>
        <v>0</v>
      </c>
    </row>
    <row r="722" spans="1:7">
      <c r="A722" s="3">
        <v>12</v>
      </c>
      <c r="B722" s="3">
        <v>4</v>
      </c>
      <c r="C722" s="3">
        <v>24</v>
      </c>
      <c r="D722" s="3">
        <v>9</v>
      </c>
      <c r="E722" s="3">
        <v>74.742</v>
      </c>
      <c r="F722" s="4" t="str">
        <f>HYPERLINK("http://141.218.60.56/~jnz1568/getInfo.php?workbook=12_04.xlsx&amp;sheet=A0&amp;row=722&amp;col=6&amp;number=83400000000&amp;sourceID=14","83400000000")</f>
        <v>83400000000</v>
      </c>
      <c r="G722" s="4" t="str">
        <f>HYPERLINK("http://141.218.60.56/~jnz1568/getInfo.php?workbook=12_04.xlsx&amp;sheet=A0&amp;row=722&amp;col=7&amp;number=0&amp;sourceID=14","0")</f>
        <v>0</v>
      </c>
    </row>
    <row r="723" spans="1:7">
      <c r="A723" s="3">
        <v>12</v>
      </c>
      <c r="B723" s="3">
        <v>4</v>
      </c>
      <c r="C723" s="3">
        <v>25</v>
      </c>
      <c r="D723" s="3">
        <v>9</v>
      </c>
      <c r="E723" s="3">
        <v>74.459</v>
      </c>
      <c r="F723" s="4" t="str">
        <f>HYPERLINK("http://141.218.60.56/~jnz1568/getInfo.php?workbook=12_04.xlsx&amp;sheet=A0&amp;row=723&amp;col=6&amp;number=23400000&amp;sourceID=14","23400000")</f>
        <v>23400000</v>
      </c>
      <c r="G723" s="4" t="str">
        <f>HYPERLINK("http://141.218.60.56/~jnz1568/getInfo.php?workbook=12_04.xlsx&amp;sheet=A0&amp;row=723&amp;col=7&amp;number=0&amp;sourceID=14","0")</f>
        <v>0</v>
      </c>
    </row>
    <row r="724" spans="1:7">
      <c r="A724" s="3">
        <v>12</v>
      </c>
      <c r="B724" s="3">
        <v>4</v>
      </c>
      <c r="C724" s="3">
        <v>26</v>
      </c>
      <c r="D724" s="3">
        <v>9</v>
      </c>
      <c r="E724" s="3">
        <v>74.054</v>
      </c>
      <c r="F724" s="4" t="str">
        <f>HYPERLINK("http://141.218.60.56/~jnz1568/getInfo.php?workbook=12_04.xlsx&amp;sheet=A0&amp;row=724&amp;col=6&amp;number=1130000&amp;sourceID=14","1130000")</f>
        <v>1130000</v>
      </c>
      <c r="G724" s="4" t="str">
        <f>HYPERLINK("http://141.218.60.56/~jnz1568/getInfo.php?workbook=12_04.xlsx&amp;sheet=A0&amp;row=724&amp;col=7&amp;number=0&amp;sourceID=14","0")</f>
        <v>0</v>
      </c>
    </row>
    <row r="725" spans="1:7">
      <c r="A725" s="3">
        <v>12</v>
      </c>
      <c r="B725" s="3">
        <v>4</v>
      </c>
      <c r="C725" s="3">
        <v>27</v>
      </c>
      <c r="D725" s="3">
        <v>9</v>
      </c>
      <c r="E725" s="3">
        <v>73.999</v>
      </c>
      <c r="F725" s="4" t="str">
        <f>HYPERLINK("http://141.218.60.56/~jnz1568/getInfo.php?workbook=12_04.xlsx&amp;sheet=A0&amp;row=725&amp;col=6&amp;number=1250&amp;sourceID=14","1250")</f>
        <v>1250</v>
      </c>
      <c r="G725" s="4" t="str">
        <f>HYPERLINK("http://141.218.60.56/~jnz1568/getInfo.php?workbook=12_04.xlsx&amp;sheet=A0&amp;row=725&amp;col=7&amp;number=0&amp;sourceID=14","0")</f>
        <v>0</v>
      </c>
    </row>
    <row r="726" spans="1:7">
      <c r="A726" s="3">
        <v>12</v>
      </c>
      <c r="B726" s="3">
        <v>4</v>
      </c>
      <c r="C726" s="3">
        <v>28</v>
      </c>
      <c r="D726" s="3">
        <v>9</v>
      </c>
      <c r="E726" s="3">
        <v>73.862</v>
      </c>
      <c r="F726" s="4" t="str">
        <f>HYPERLINK("http://141.218.60.56/~jnz1568/getInfo.php?workbook=12_04.xlsx&amp;sheet=A0&amp;row=726&amp;col=6&amp;number=21300&amp;sourceID=14","21300")</f>
        <v>21300</v>
      </c>
      <c r="G726" s="4" t="str">
        <f>HYPERLINK("http://141.218.60.56/~jnz1568/getInfo.php?workbook=12_04.xlsx&amp;sheet=A0&amp;row=726&amp;col=7&amp;number=0&amp;sourceID=14","0")</f>
        <v>0</v>
      </c>
    </row>
    <row r="727" spans="1:7">
      <c r="A727" s="3">
        <v>12</v>
      </c>
      <c r="B727" s="3">
        <v>4</v>
      </c>
      <c r="C727" s="3">
        <v>29</v>
      </c>
      <c r="D727" s="3">
        <v>9</v>
      </c>
      <c r="E727" s="3">
        <v>73.245</v>
      </c>
      <c r="F727" s="4" t="str">
        <f>HYPERLINK("http://141.218.60.56/~jnz1568/getInfo.php?workbook=12_04.xlsx&amp;sheet=A0&amp;row=727&amp;col=6&amp;number=109000&amp;sourceID=14","109000")</f>
        <v>109000</v>
      </c>
      <c r="G727" s="4" t="str">
        <f>HYPERLINK("http://141.218.60.56/~jnz1568/getInfo.php?workbook=12_04.xlsx&amp;sheet=A0&amp;row=727&amp;col=7&amp;number=0&amp;sourceID=14","0")</f>
        <v>0</v>
      </c>
    </row>
    <row r="728" spans="1:7">
      <c r="A728" s="3">
        <v>12</v>
      </c>
      <c r="B728" s="3">
        <v>4</v>
      </c>
      <c r="C728" s="3">
        <v>30</v>
      </c>
      <c r="D728" s="3">
        <v>9</v>
      </c>
      <c r="E728" s="3">
        <v>-73.352</v>
      </c>
      <c r="F728" s="4" t="str">
        <f>HYPERLINK("http://141.218.60.56/~jnz1568/getInfo.php?workbook=12_04.xlsx&amp;sheet=A0&amp;row=728&amp;col=6&amp;number=11300&amp;sourceID=14","11300")</f>
        <v>11300</v>
      </c>
      <c r="G728" s="4" t="str">
        <f>HYPERLINK("http://141.218.60.56/~jnz1568/getInfo.php?workbook=12_04.xlsx&amp;sheet=A0&amp;row=728&amp;col=7&amp;number=0&amp;sourceID=14","0")</f>
        <v>0</v>
      </c>
    </row>
    <row r="729" spans="1:7">
      <c r="A729" s="3">
        <v>12</v>
      </c>
      <c r="B729" s="3">
        <v>4</v>
      </c>
      <c r="C729" s="3">
        <v>31</v>
      </c>
      <c r="D729" s="3">
        <v>9</v>
      </c>
      <c r="E729" s="3">
        <v>72.802</v>
      </c>
      <c r="F729" s="4" t="str">
        <f>HYPERLINK("http://141.218.60.56/~jnz1568/getInfo.php?workbook=12_04.xlsx&amp;sheet=A0&amp;row=729&amp;col=6&amp;number=44500&amp;sourceID=14","44500")</f>
        <v>44500</v>
      </c>
      <c r="G729" s="4" t="str">
        <f>HYPERLINK("http://141.218.60.56/~jnz1568/getInfo.php?workbook=12_04.xlsx&amp;sheet=A0&amp;row=729&amp;col=7&amp;number=0&amp;sourceID=14","0")</f>
        <v>0</v>
      </c>
    </row>
    <row r="730" spans="1:7">
      <c r="A730" s="3">
        <v>12</v>
      </c>
      <c r="B730" s="3">
        <v>4</v>
      </c>
      <c r="C730" s="3">
        <v>32</v>
      </c>
      <c r="D730" s="3">
        <v>9</v>
      </c>
      <c r="E730" s="3">
        <v>72.733</v>
      </c>
      <c r="F730" s="4" t="str">
        <f>HYPERLINK("http://141.218.60.56/~jnz1568/getInfo.php?workbook=12_04.xlsx&amp;sheet=A0&amp;row=730&amp;col=6&amp;number=83800&amp;sourceID=14","83800")</f>
        <v>83800</v>
      </c>
      <c r="G730" s="4" t="str">
        <f>HYPERLINK("http://141.218.60.56/~jnz1568/getInfo.php?workbook=12_04.xlsx&amp;sheet=A0&amp;row=730&amp;col=7&amp;number=0&amp;sourceID=14","0")</f>
        <v>0</v>
      </c>
    </row>
    <row r="731" spans="1:7">
      <c r="A731" s="3">
        <v>12</v>
      </c>
      <c r="B731" s="3">
        <v>4</v>
      </c>
      <c r="C731" s="3">
        <v>33</v>
      </c>
      <c r="D731" s="3">
        <v>9</v>
      </c>
      <c r="E731" s="3">
        <v>-72.912</v>
      </c>
      <c r="F731" s="4" t="str">
        <f>HYPERLINK("http://141.218.60.56/~jnz1568/getInfo.php?workbook=12_04.xlsx&amp;sheet=A0&amp;row=731&amp;col=6&amp;number=58400000000&amp;sourceID=14","58400000000")</f>
        <v>58400000000</v>
      </c>
      <c r="G731" s="4" t="str">
        <f>HYPERLINK("http://141.218.60.56/~jnz1568/getInfo.php?workbook=12_04.xlsx&amp;sheet=A0&amp;row=731&amp;col=7&amp;number=0&amp;sourceID=14","0")</f>
        <v>0</v>
      </c>
    </row>
    <row r="732" spans="1:7">
      <c r="A732" s="3">
        <v>12</v>
      </c>
      <c r="B732" s="3">
        <v>4</v>
      </c>
      <c r="C732" s="3">
        <v>34</v>
      </c>
      <c r="D732" s="3">
        <v>9</v>
      </c>
      <c r="E732" s="3">
        <v>-72.804</v>
      </c>
      <c r="F732" s="4" t="str">
        <f>HYPERLINK("http://141.218.60.56/~jnz1568/getInfo.php?workbook=12_04.xlsx&amp;sheet=A0&amp;row=732&amp;col=6&amp;number=627000000&amp;sourceID=14","627000000")</f>
        <v>627000000</v>
      </c>
      <c r="G732" s="4" t="str">
        <f>HYPERLINK("http://141.218.60.56/~jnz1568/getInfo.php?workbook=12_04.xlsx&amp;sheet=A0&amp;row=732&amp;col=7&amp;number=0&amp;sourceID=14","0")</f>
        <v>0</v>
      </c>
    </row>
    <row r="733" spans="1:7">
      <c r="A733" s="3">
        <v>12</v>
      </c>
      <c r="B733" s="3">
        <v>4</v>
      </c>
      <c r="C733" s="3">
        <v>35</v>
      </c>
      <c r="D733" s="3">
        <v>9</v>
      </c>
      <c r="E733" s="3">
        <v>72.226</v>
      </c>
      <c r="F733" s="4" t="str">
        <f>HYPERLINK("http://141.218.60.56/~jnz1568/getInfo.php?workbook=12_04.xlsx&amp;sheet=A0&amp;row=733&amp;col=6&amp;number=216000000000&amp;sourceID=14","216000000000")</f>
        <v>216000000000</v>
      </c>
      <c r="G733" s="4" t="str">
        <f>HYPERLINK("http://141.218.60.56/~jnz1568/getInfo.php?workbook=12_04.xlsx&amp;sheet=A0&amp;row=733&amp;col=7&amp;number=0&amp;sourceID=14","0")</f>
        <v>0</v>
      </c>
    </row>
    <row r="734" spans="1:7">
      <c r="A734" s="3">
        <v>12</v>
      </c>
      <c r="B734" s="3">
        <v>4</v>
      </c>
      <c r="C734" s="3">
        <v>36</v>
      </c>
      <c r="D734" s="3">
        <v>9</v>
      </c>
      <c r="E734" s="3">
        <v>-72.697</v>
      </c>
      <c r="F734" s="4" t="str">
        <f>HYPERLINK("http://141.218.60.56/~jnz1568/getInfo.php?workbook=12_04.xlsx&amp;sheet=A0&amp;row=734&amp;col=6&amp;number=9110&amp;sourceID=14","9110")</f>
        <v>9110</v>
      </c>
      <c r="G734" s="4" t="str">
        <f>HYPERLINK("http://141.218.60.56/~jnz1568/getInfo.php?workbook=12_04.xlsx&amp;sheet=A0&amp;row=734&amp;col=7&amp;number=0&amp;sourceID=14","0")</f>
        <v>0</v>
      </c>
    </row>
    <row r="735" spans="1:7">
      <c r="A735" s="3">
        <v>12</v>
      </c>
      <c r="B735" s="3">
        <v>4</v>
      </c>
      <c r="C735" s="3">
        <v>37</v>
      </c>
      <c r="D735" s="3">
        <v>9</v>
      </c>
      <c r="E735" s="3">
        <v>71.903</v>
      </c>
      <c r="F735" s="4" t="str">
        <f>HYPERLINK("http://141.218.60.56/~jnz1568/getInfo.php?workbook=12_04.xlsx&amp;sheet=A0&amp;row=735&amp;col=6&amp;number=11600000&amp;sourceID=14","11600000")</f>
        <v>11600000</v>
      </c>
      <c r="G735" s="4" t="str">
        <f>HYPERLINK("http://141.218.60.56/~jnz1568/getInfo.php?workbook=12_04.xlsx&amp;sheet=A0&amp;row=735&amp;col=7&amp;number=0&amp;sourceID=14","0")</f>
        <v>0</v>
      </c>
    </row>
    <row r="736" spans="1:7">
      <c r="A736" s="3">
        <v>12</v>
      </c>
      <c r="B736" s="3">
        <v>4</v>
      </c>
      <c r="C736" s="3">
        <v>38</v>
      </c>
      <c r="D736" s="3">
        <v>9</v>
      </c>
      <c r="E736" s="3">
        <v>71.316</v>
      </c>
      <c r="F736" s="4" t="str">
        <f>HYPERLINK("http://141.218.60.56/~jnz1568/getInfo.php?workbook=12_04.xlsx&amp;sheet=A0&amp;row=736&amp;col=6&amp;number=169000000&amp;sourceID=14","169000000")</f>
        <v>169000000</v>
      </c>
      <c r="G736" s="4" t="str">
        <f>HYPERLINK("http://141.218.60.56/~jnz1568/getInfo.php?workbook=12_04.xlsx&amp;sheet=A0&amp;row=736&amp;col=7&amp;number=0&amp;sourceID=14","0")</f>
        <v>0</v>
      </c>
    </row>
    <row r="737" spans="1:7">
      <c r="A737" s="3">
        <v>12</v>
      </c>
      <c r="B737" s="3">
        <v>4</v>
      </c>
      <c r="C737" s="3">
        <v>39</v>
      </c>
      <c r="D737" s="3">
        <v>9</v>
      </c>
      <c r="E737" s="3">
        <v>71.288</v>
      </c>
      <c r="F737" s="4" t="str">
        <f>HYPERLINK("http://141.218.60.56/~jnz1568/getInfo.php?workbook=12_04.xlsx&amp;sheet=A0&amp;row=737&amp;col=6&amp;number=24600000&amp;sourceID=14","24600000")</f>
        <v>24600000</v>
      </c>
      <c r="G737" s="4" t="str">
        <f>HYPERLINK("http://141.218.60.56/~jnz1568/getInfo.php?workbook=12_04.xlsx&amp;sheet=A0&amp;row=737&amp;col=7&amp;number=0&amp;sourceID=14","0")</f>
        <v>0</v>
      </c>
    </row>
    <row r="738" spans="1:7">
      <c r="A738" s="3">
        <v>12</v>
      </c>
      <c r="B738" s="3">
        <v>4</v>
      </c>
      <c r="C738" s="3">
        <v>40</v>
      </c>
      <c r="D738" s="3">
        <v>9</v>
      </c>
      <c r="E738" s="3">
        <v>71.237</v>
      </c>
      <c r="F738" s="4" t="str">
        <f>HYPERLINK("http://141.218.60.56/~jnz1568/getInfo.php?workbook=12_04.xlsx&amp;sheet=A0&amp;row=738&amp;col=6&amp;number=40800000&amp;sourceID=14","40800000")</f>
        <v>40800000</v>
      </c>
      <c r="G738" s="4" t="str">
        <f>HYPERLINK("http://141.218.60.56/~jnz1568/getInfo.php?workbook=12_04.xlsx&amp;sheet=A0&amp;row=738&amp;col=7&amp;number=0&amp;sourceID=14","0")</f>
        <v>0</v>
      </c>
    </row>
    <row r="739" spans="1:7">
      <c r="A739" s="3">
        <v>12</v>
      </c>
      <c r="B739" s="3">
        <v>4</v>
      </c>
      <c r="C739" s="3">
        <v>41</v>
      </c>
      <c r="D739" s="3">
        <v>9</v>
      </c>
      <c r="E739" s="3">
        <v>70.916</v>
      </c>
      <c r="F739" s="4" t="str">
        <f>HYPERLINK("http://141.218.60.56/~jnz1568/getInfo.php?workbook=12_04.xlsx&amp;sheet=A0&amp;row=739&amp;col=6&amp;number=2600000000&amp;sourceID=14","2600000000")</f>
        <v>2600000000</v>
      </c>
      <c r="G739" s="4" t="str">
        <f>HYPERLINK("http://141.218.60.56/~jnz1568/getInfo.php?workbook=12_04.xlsx&amp;sheet=A0&amp;row=739&amp;col=7&amp;number=0&amp;sourceID=14","0")</f>
        <v>0</v>
      </c>
    </row>
    <row r="740" spans="1:7">
      <c r="A740" s="3">
        <v>12</v>
      </c>
      <c r="B740" s="3">
        <v>4</v>
      </c>
      <c r="C740" s="3">
        <v>42</v>
      </c>
      <c r="D740" s="3">
        <v>9</v>
      </c>
      <c r="E740" s="3">
        <v>70.866</v>
      </c>
      <c r="F740" s="4" t="str">
        <f>HYPERLINK("http://141.218.60.56/~jnz1568/getInfo.php?workbook=12_04.xlsx&amp;sheet=A0&amp;row=740&amp;col=6&amp;number=172000000&amp;sourceID=14","172000000")</f>
        <v>172000000</v>
      </c>
      <c r="G740" s="4" t="str">
        <f>HYPERLINK("http://141.218.60.56/~jnz1568/getInfo.php?workbook=12_04.xlsx&amp;sheet=A0&amp;row=740&amp;col=7&amp;number=0&amp;sourceID=14","0")</f>
        <v>0</v>
      </c>
    </row>
    <row r="741" spans="1:7">
      <c r="A741" s="3">
        <v>12</v>
      </c>
      <c r="B741" s="3">
        <v>4</v>
      </c>
      <c r="C741" s="3">
        <v>43</v>
      </c>
      <c r="D741" s="3">
        <v>9</v>
      </c>
      <c r="E741" s="3">
        <v>70.84</v>
      </c>
      <c r="F741" s="4" t="str">
        <f>HYPERLINK("http://141.218.60.56/~jnz1568/getInfo.php?workbook=12_04.xlsx&amp;sheet=A0&amp;row=741&amp;col=6&amp;number=324&amp;sourceID=14","324")</f>
        <v>324</v>
      </c>
      <c r="G741" s="4" t="str">
        <f>HYPERLINK("http://141.218.60.56/~jnz1568/getInfo.php?workbook=12_04.xlsx&amp;sheet=A0&amp;row=741&amp;col=7&amp;number=0&amp;sourceID=14","0")</f>
        <v>0</v>
      </c>
    </row>
    <row r="742" spans="1:7">
      <c r="A742" s="3">
        <v>12</v>
      </c>
      <c r="B742" s="3">
        <v>4</v>
      </c>
      <c r="C742" s="3">
        <v>44</v>
      </c>
      <c r="D742" s="3">
        <v>9</v>
      </c>
      <c r="E742" s="3">
        <v>-70.558</v>
      </c>
      <c r="F742" s="4" t="str">
        <f>HYPERLINK("http://141.218.60.56/~jnz1568/getInfo.php?workbook=12_04.xlsx&amp;sheet=A0&amp;row=742&amp;col=6&amp;number=33300000&amp;sourceID=14","33300000")</f>
        <v>33300000</v>
      </c>
      <c r="G742" s="4" t="str">
        <f>HYPERLINK("http://141.218.60.56/~jnz1568/getInfo.php?workbook=12_04.xlsx&amp;sheet=A0&amp;row=742&amp;col=7&amp;number=0&amp;sourceID=14","0")</f>
        <v>0</v>
      </c>
    </row>
    <row r="743" spans="1:7">
      <c r="A743" s="3">
        <v>12</v>
      </c>
      <c r="B743" s="3">
        <v>4</v>
      </c>
      <c r="C743" s="3">
        <v>45</v>
      </c>
      <c r="D743" s="3">
        <v>9</v>
      </c>
      <c r="E743" s="3">
        <v>69.95</v>
      </c>
      <c r="F743" s="4" t="str">
        <f>HYPERLINK("http://141.218.60.56/~jnz1568/getInfo.php?workbook=12_04.xlsx&amp;sheet=A0&amp;row=743&amp;col=6&amp;number=940000000000&amp;sourceID=14","940000000000")</f>
        <v>940000000000</v>
      </c>
      <c r="G743" s="4" t="str">
        <f>HYPERLINK("http://141.218.60.56/~jnz1568/getInfo.php?workbook=12_04.xlsx&amp;sheet=A0&amp;row=743&amp;col=7&amp;number=0&amp;sourceID=14","0")</f>
        <v>0</v>
      </c>
    </row>
    <row r="744" spans="1:7">
      <c r="A744" s="3">
        <v>12</v>
      </c>
      <c r="B744" s="3">
        <v>4</v>
      </c>
      <c r="C744" s="3">
        <v>46</v>
      </c>
      <c r="D744" s="3">
        <v>9</v>
      </c>
      <c r="E744" s="3">
        <v>69.616</v>
      </c>
      <c r="F744" s="4" t="str">
        <f>HYPERLINK("http://141.218.60.56/~jnz1568/getInfo.php?workbook=12_04.xlsx&amp;sheet=A0&amp;row=744&amp;col=6&amp;number=32800000000&amp;sourceID=14","32800000000")</f>
        <v>32800000000</v>
      </c>
      <c r="G744" s="4" t="str">
        <f>HYPERLINK("http://141.218.60.56/~jnz1568/getInfo.php?workbook=12_04.xlsx&amp;sheet=A0&amp;row=744&amp;col=7&amp;number=0&amp;sourceID=14","0")</f>
        <v>0</v>
      </c>
    </row>
    <row r="745" spans="1:7">
      <c r="A745" s="3">
        <v>12</v>
      </c>
      <c r="B745" s="3">
        <v>4</v>
      </c>
      <c r="C745" s="3">
        <v>47</v>
      </c>
      <c r="D745" s="3">
        <v>9</v>
      </c>
      <c r="E745" s="3">
        <v>-61.513</v>
      </c>
      <c r="F745" s="4" t="str">
        <f>HYPERLINK("http://141.218.60.56/~jnz1568/getInfo.php?workbook=12_04.xlsx&amp;sheet=A0&amp;row=745&amp;col=6&amp;number=11.1&amp;sourceID=14","11.1")</f>
        <v>11.1</v>
      </c>
      <c r="G745" s="4" t="str">
        <f>HYPERLINK("http://141.218.60.56/~jnz1568/getInfo.php?workbook=12_04.xlsx&amp;sheet=A0&amp;row=745&amp;col=7&amp;number=0&amp;sourceID=14","0")</f>
        <v>0</v>
      </c>
    </row>
    <row r="746" spans="1:7">
      <c r="A746" s="3">
        <v>12</v>
      </c>
      <c r="B746" s="3">
        <v>4</v>
      </c>
      <c r="C746" s="3">
        <v>48</v>
      </c>
      <c r="D746" s="3">
        <v>9</v>
      </c>
      <c r="E746" s="3">
        <v>-61.134</v>
      </c>
      <c r="F746" s="4" t="str">
        <f>HYPERLINK("http://141.218.60.56/~jnz1568/getInfo.php?workbook=12_04.xlsx&amp;sheet=A0&amp;row=746&amp;col=6&amp;number=11900000&amp;sourceID=14","11900000")</f>
        <v>11900000</v>
      </c>
      <c r="G746" s="4" t="str">
        <f>HYPERLINK("http://141.218.60.56/~jnz1568/getInfo.php?workbook=12_04.xlsx&amp;sheet=A0&amp;row=746&amp;col=7&amp;number=0&amp;sourceID=14","0")</f>
        <v>0</v>
      </c>
    </row>
    <row r="747" spans="1:7">
      <c r="A747" s="3">
        <v>12</v>
      </c>
      <c r="B747" s="3">
        <v>4</v>
      </c>
      <c r="C747" s="3">
        <v>49</v>
      </c>
      <c r="D747" s="3">
        <v>9</v>
      </c>
      <c r="E747" s="3">
        <v>-60.596</v>
      </c>
      <c r="F747" s="4" t="str">
        <f>HYPERLINK("http://141.218.60.56/~jnz1568/getInfo.php?workbook=12_04.xlsx&amp;sheet=A0&amp;row=747&amp;col=6&amp;number=151&amp;sourceID=14","151")</f>
        <v>151</v>
      </c>
      <c r="G747" s="4" t="str">
        <f>HYPERLINK("http://141.218.60.56/~jnz1568/getInfo.php?workbook=12_04.xlsx&amp;sheet=A0&amp;row=747&amp;col=7&amp;number=0&amp;sourceID=14","0")</f>
        <v>0</v>
      </c>
    </row>
    <row r="748" spans="1:7">
      <c r="A748" s="3">
        <v>12</v>
      </c>
      <c r="B748" s="3">
        <v>4</v>
      </c>
      <c r="C748" s="3">
        <v>50</v>
      </c>
      <c r="D748" s="3">
        <v>9</v>
      </c>
      <c r="E748" s="3">
        <v>-60.592</v>
      </c>
      <c r="F748" s="4" t="str">
        <f>HYPERLINK("http://141.218.60.56/~jnz1568/getInfo.php?workbook=12_04.xlsx&amp;sheet=A0&amp;row=748&amp;col=6&amp;number=30000000&amp;sourceID=14","30000000")</f>
        <v>30000000</v>
      </c>
      <c r="G748" s="4" t="str">
        <f>HYPERLINK("http://141.218.60.56/~jnz1568/getInfo.php?workbook=12_04.xlsx&amp;sheet=A0&amp;row=748&amp;col=7&amp;number=0&amp;sourceID=14","0")</f>
        <v>0</v>
      </c>
    </row>
    <row r="749" spans="1:7">
      <c r="A749" s="3">
        <v>12</v>
      </c>
      <c r="B749" s="3">
        <v>4</v>
      </c>
      <c r="C749" s="3">
        <v>51</v>
      </c>
      <c r="D749" s="3">
        <v>9</v>
      </c>
      <c r="E749" s="3">
        <v>-60.582</v>
      </c>
      <c r="F749" s="4" t="str">
        <f>HYPERLINK("http://141.218.60.56/~jnz1568/getInfo.php?workbook=12_04.xlsx&amp;sheet=A0&amp;row=749&amp;col=6&amp;number=833000&amp;sourceID=14","833000")</f>
        <v>833000</v>
      </c>
      <c r="G749" s="4" t="str">
        <f>HYPERLINK("http://141.218.60.56/~jnz1568/getInfo.php?workbook=12_04.xlsx&amp;sheet=A0&amp;row=749&amp;col=7&amp;number=0&amp;sourceID=14","0")</f>
        <v>0</v>
      </c>
    </row>
    <row r="750" spans="1:7">
      <c r="A750" s="3">
        <v>12</v>
      </c>
      <c r="B750" s="3">
        <v>4</v>
      </c>
      <c r="C750" s="3">
        <v>52</v>
      </c>
      <c r="D750" s="3">
        <v>9</v>
      </c>
      <c r="E750" s="3">
        <v>60.111</v>
      </c>
      <c r="F750" s="4" t="str">
        <f>HYPERLINK("http://141.218.60.56/~jnz1568/getInfo.php?workbook=12_04.xlsx&amp;sheet=A0&amp;row=750&amp;col=6&amp;number=7530000000&amp;sourceID=14","7530000000")</f>
        <v>7530000000</v>
      </c>
      <c r="G750" s="4" t="str">
        <f>HYPERLINK("http://141.218.60.56/~jnz1568/getInfo.php?workbook=12_04.xlsx&amp;sheet=A0&amp;row=750&amp;col=7&amp;number=0&amp;sourceID=14","0")</f>
        <v>0</v>
      </c>
    </row>
    <row r="751" spans="1:7">
      <c r="A751" s="3">
        <v>12</v>
      </c>
      <c r="B751" s="3">
        <v>4</v>
      </c>
      <c r="C751" s="3">
        <v>53</v>
      </c>
      <c r="D751" s="3">
        <v>9</v>
      </c>
      <c r="E751" s="3">
        <v>59.706</v>
      </c>
      <c r="F751" s="4" t="str">
        <f>HYPERLINK("http://141.218.60.56/~jnz1568/getInfo.php?workbook=12_04.xlsx&amp;sheet=A0&amp;row=751&amp;col=6&amp;number=14&amp;sourceID=14","14")</f>
        <v>14</v>
      </c>
      <c r="G751" s="4" t="str">
        <f>HYPERLINK("http://141.218.60.56/~jnz1568/getInfo.php?workbook=12_04.xlsx&amp;sheet=A0&amp;row=751&amp;col=7&amp;number=0&amp;sourceID=14","0")</f>
        <v>0</v>
      </c>
    </row>
    <row r="752" spans="1:7">
      <c r="A752" s="3">
        <v>12</v>
      </c>
      <c r="B752" s="3">
        <v>4</v>
      </c>
      <c r="C752" s="3">
        <v>54</v>
      </c>
      <c r="D752" s="3">
        <v>9</v>
      </c>
      <c r="E752" s="3">
        <v>59.706</v>
      </c>
      <c r="F752" s="4" t="str">
        <f>HYPERLINK("http://141.218.60.56/~jnz1568/getInfo.php?workbook=12_04.xlsx&amp;sheet=A0&amp;row=752&amp;col=6&amp;number=257&amp;sourceID=14","257")</f>
        <v>257</v>
      </c>
      <c r="G752" s="4" t="str">
        <f>HYPERLINK("http://141.218.60.56/~jnz1568/getInfo.php?workbook=12_04.xlsx&amp;sheet=A0&amp;row=752&amp;col=7&amp;number=0&amp;sourceID=14","0")</f>
        <v>0</v>
      </c>
    </row>
    <row r="753" spans="1:7">
      <c r="A753" s="3">
        <v>12</v>
      </c>
      <c r="B753" s="3">
        <v>4</v>
      </c>
      <c r="C753" s="3">
        <v>55</v>
      </c>
      <c r="D753" s="3">
        <v>9</v>
      </c>
      <c r="E753" s="3">
        <v>59.703</v>
      </c>
      <c r="F753" s="4" t="str">
        <f>HYPERLINK("http://141.218.60.56/~jnz1568/getInfo.php?workbook=12_04.xlsx&amp;sheet=A0&amp;row=753&amp;col=6&amp;number=77.7&amp;sourceID=14","77.7")</f>
        <v>77.7</v>
      </c>
      <c r="G753" s="4" t="str">
        <f>HYPERLINK("http://141.218.60.56/~jnz1568/getInfo.php?workbook=12_04.xlsx&amp;sheet=A0&amp;row=753&amp;col=7&amp;number=0&amp;sourceID=14","0")</f>
        <v>0</v>
      </c>
    </row>
    <row r="754" spans="1:7">
      <c r="A754" s="3">
        <v>12</v>
      </c>
      <c r="B754" s="3">
        <v>4</v>
      </c>
      <c r="C754" s="3">
        <v>56</v>
      </c>
      <c r="D754" s="3">
        <v>9</v>
      </c>
      <c r="E754" s="3">
        <v>59.425</v>
      </c>
      <c r="F754" s="4" t="str">
        <f>HYPERLINK("http://141.218.60.56/~jnz1568/getInfo.php?workbook=12_04.xlsx&amp;sheet=A0&amp;row=754&amp;col=6&amp;number=2480000&amp;sourceID=14","2480000")</f>
        <v>2480000</v>
      </c>
      <c r="G754" s="4" t="str">
        <f>HYPERLINK("http://141.218.60.56/~jnz1568/getInfo.php?workbook=12_04.xlsx&amp;sheet=A0&amp;row=754&amp;col=7&amp;number=0&amp;sourceID=14","0")</f>
        <v>0</v>
      </c>
    </row>
    <row r="755" spans="1:7">
      <c r="A755" s="3">
        <v>12</v>
      </c>
      <c r="B755" s="3">
        <v>4</v>
      </c>
      <c r="C755" s="3">
        <v>57</v>
      </c>
      <c r="D755" s="3">
        <v>9</v>
      </c>
      <c r="E755" s="3">
        <v>-59.762</v>
      </c>
      <c r="F755" s="4" t="str">
        <f>HYPERLINK("http://141.218.60.56/~jnz1568/getInfo.php?workbook=12_04.xlsx&amp;sheet=A0&amp;row=755&amp;col=6&amp;number=6460&amp;sourceID=14","6460")</f>
        <v>6460</v>
      </c>
      <c r="G755" s="4" t="str">
        <f>HYPERLINK("http://141.218.60.56/~jnz1568/getInfo.php?workbook=12_04.xlsx&amp;sheet=A0&amp;row=755&amp;col=7&amp;number=0&amp;sourceID=14","0")</f>
        <v>0</v>
      </c>
    </row>
    <row r="756" spans="1:7">
      <c r="A756" s="3">
        <v>12</v>
      </c>
      <c r="B756" s="3">
        <v>4</v>
      </c>
      <c r="C756" s="3">
        <v>58</v>
      </c>
      <c r="D756" s="3">
        <v>9</v>
      </c>
      <c r="E756" s="3">
        <v>-59.761</v>
      </c>
      <c r="F756" s="4" t="str">
        <f>HYPERLINK("http://141.218.60.56/~jnz1568/getInfo.php?workbook=12_04.xlsx&amp;sheet=A0&amp;row=756&amp;col=6&amp;number=606000&amp;sourceID=14","606000")</f>
        <v>606000</v>
      </c>
      <c r="G756" s="4" t="str">
        <f>HYPERLINK("http://141.218.60.56/~jnz1568/getInfo.php?workbook=12_04.xlsx&amp;sheet=A0&amp;row=756&amp;col=7&amp;number=0&amp;sourceID=14","0")</f>
        <v>0</v>
      </c>
    </row>
    <row r="757" spans="1:7">
      <c r="A757" s="3">
        <v>12</v>
      </c>
      <c r="B757" s="3">
        <v>4</v>
      </c>
      <c r="C757" s="3">
        <v>59</v>
      </c>
      <c r="D757" s="3">
        <v>9</v>
      </c>
      <c r="E757" s="3">
        <v>-59.76</v>
      </c>
      <c r="F757" s="4" t="str">
        <f>HYPERLINK("http://141.218.60.56/~jnz1568/getInfo.php?workbook=12_04.xlsx&amp;sheet=A0&amp;row=757&amp;col=6&amp;number=41.5&amp;sourceID=14","41.5")</f>
        <v>41.5</v>
      </c>
      <c r="G757" s="4" t="str">
        <f>HYPERLINK("http://141.218.60.56/~jnz1568/getInfo.php?workbook=12_04.xlsx&amp;sheet=A0&amp;row=757&amp;col=7&amp;number=0&amp;sourceID=14","0")</f>
        <v>0</v>
      </c>
    </row>
    <row r="758" spans="1:7">
      <c r="A758" s="3">
        <v>12</v>
      </c>
      <c r="B758" s="3">
        <v>4</v>
      </c>
      <c r="C758" s="3">
        <v>60</v>
      </c>
      <c r="D758" s="3">
        <v>9</v>
      </c>
      <c r="E758" s="3">
        <v>-59.669</v>
      </c>
      <c r="F758" s="4" t="str">
        <f>HYPERLINK("http://141.218.60.56/~jnz1568/getInfo.php?workbook=12_04.xlsx&amp;sheet=A0&amp;row=758&amp;col=6&amp;number=5460000000&amp;sourceID=14","5460000000")</f>
        <v>5460000000</v>
      </c>
      <c r="G758" s="4" t="str">
        <f>HYPERLINK("http://141.218.60.56/~jnz1568/getInfo.php?workbook=12_04.xlsx&amp;sheet=A0&amp;row=758&amp;col=7&amp;number=0&amp;sourceID=14","0")</f>
        <v>0</v>
      </c>
    </row>
    <row r="759" spans="1:7">
      <c r="A759" s="3">
        <v>12</v>
      </c>
      <c r="B759" s="3">
        <v>4</v>
      </c>
      <c r="C759" s="3">
        <v>61</v>
      </c>
      <c r="D759" s="3">
        <v>9</v>
      </c>
      <c r="E759" s="3">
        <v>-55.816</v>
      </c>
      <c r="F759" s="4" t="str">
        <f>HYPERLINK("http://141.218.60.56/~jnz1568/getInfo.php?workbook=12_04.xlsx&amp;sheet=A0&amp;row=759&amp;col=6&amp;number=665&amp;sourceID=14","665")</f>
        <v>665</v>
      </c>
      <c r="G759" s="4" t="str">
        <f>HYPERLINK("http://141.218.60.56/~jnz1568/getInfo.php?workbook=12_04.xlsx&amp;sheet=A0&amp;row=759&amp;col=7&amp;number=0&amp;sourceID=14","0")</f>
        <v>0</v>
      </c>
    </row>
    <row r="760" spans="1:7">
      <c r="A760" s="3">
        <v>12</v>
      </c>
      <c r="B760" s="3">
        <v>4</v>
      </c>
      <c r="C760" s="3">
        <v>62</v>
      </c>
      <c r="D760" s="3">
        <v>9</v>
      </c>
      <c r="E760" s="3">
        <v>-55.787</v>
      </c>
      <c r="F760" s="4" t="str">
        <f>HYPERLINK("http://141.218.60.56/~jnz1568/getInfo.php?workbook=12_04.xlsx&amp;sheet=A0&amp;row=760&amp;col=6&amp;number=1670000000&amp;sourceID=14","1670000000")</f>
        <v>1670000000</v>
      </c>
      <c r="G760" s="4" t="str">
        <f>HYPERLINK("http://141.218.60.56/~jnz1568/getInfo.php?workbook=12_04.xlsx&amp;sheet=A0&amp;row=760&amp;col=7&amp;number=0&amp;sourceID=14","0")</f>
        <v>0</v>
      </c>
    </row>
    <row r="761" spans="1:7">
      <c r="A761" s="3">
        <v>12</v>
      </c>
      <c r="B761" s="3">
        <v>4</v>
      </c>
      <c r="C761" s="3">
        <v>63</v>
      </c>
      <c r="D761" s="3">
        <v>9</v>
      </c>
      <c r="E761" s="3">
        <v>-55.695</v>
      </c>
      <c r="F761" s="4" t="str">
        <f>HYPERLINK("http://141.218.60.56/~jnz1568/getInfo.php?workbook=12_04.xlsx&amp;sheet=A0&amp;row=761&amp;col=6&amp;number=59000000&amp;sourceID=14","59000000")</f>
        <v>59000000</v>
      </c>
      <c r="G761" s="4" t="str">
        <f>HYPERLINK("http://141.218.60.56/~jnz1568/getInfo.php?workbook=12_04.xlsx&amp;sheet=A0&amp;row=761&amp;col=7&amp;number=0&amp;sourceID=14","0")</f>
        <v>0</v>
      </c>
    </row>
    <row r="762" spans="1:7">
      <c r="A762" s="3">
        <v>12</v>
      </c>
      <c r="B762" s="3">
        <v>4</v>
      </c>
      <c r="C762" s="3">
        <v>64</v>
      </c>
      <c r="D762" s="3">
        <v>9</v>
      </c>
      <c r="E762" s="3">
        <v>-55.502</v>
      </c>
      <c r="F762" s="4" t="str">
        <f>HYPERLINK("http://141.218.60.56/~jnz1568/getInfo.php?workbook=12_04.xlsx&amp;sheet=A0&amp;row=762&amp;col=6&amp;number=48900000000&amp;sourceID=14","48900000000")</f>
        <v>48900000000</v>
      </c>
      <c r="G762" s="4" t="str">
        <f>HYPERLINK("http://141.218.60.56/~jnz1568/getInfo.php?workbook=12_04.xlsx&amp;sheet=A0&amp;row=762&amp;col=7&amp;number=0&amp;sourceID=14","0")</f>
        <v>0</v>
      </c>
    </row>
    <row r="763" spans="1:7">
      <c r="A763" s="3">
        <v>12</v>
      </c>
      <c r="B763" s="3">
        <v>4</v>
      </c>
      <c r="C763" s="3">
        <v>65</v>
      </c>
      <c r="D763" s="3">
        <v>9</v>
      </c>
      <c r="E763" s="3">
        <v>-55.271</v>
      </c>
      <c r="F763" s="4" t="str">
        <f>HYPERLINK("http://141.218.60.56/~jnz1568/getInfo.php?workbook=12_04.xlsx&amp;sheet=A0&amp;row=763&amp;col=6&amp;number=10600000&amp;sourceID=14","10600000")</f>
        <v>10600000</v>
      </c>
      <c r="G763" s="4" t="str">
        <f>HYPERLINK("http://141.218.60.56/~jnz1568/getInfo.php?workbook=12_04.xlsx&amp;sheet=A0&amp;row=763&amp;col=7&amp;number=0&amp;sourceID=14","0")</f>
        <v>0</v>
      </c>
    </row>
    <row r="764" spans="1:7">
      <c r="A764" s="3">
        <v>12</v>
      </c>
      <c r="B764" s="3">
        <v>4</v>
      </c>
      <c r="C764" s="3">
        <v>66</v>
      </c>
      <c r="D764" s="3">
        <v>9</v>
      </c>
      <c r="E764" s="3">
        <v>-55.193</v>
      </c>
      <c r="F764" s="4" t="str">
        <f>HYPERLINK("http://141.218.60.56/~jnz1568/getInfo.php?workbook=12_04.xlsx&amp;sheet=A0&amp;row=764&amp;col=6&amp;number=4730000&amp;sourceID=14","4730000")</f>
        <v>4730000</v>
      </c>
      <c r="G764" s="4" t="str">
        <f>HYPERLINK("http://141.218.60.56/~jnz1568/getInfo.php?workbook=12_04.xlsx&amp;sheet=A0&amp;row=764&amp;col=7&amp;number=0&amp;sourceID=14","0")</f>
        <v>0</v>
      </c>
    </row>
    <row r="765" spans="1:7">
      <c r="A765" s="3">
        <v>12</v>
      </c>
      <c r="B765" s="3">
        <v>4</v>
      </c>
      <c r="C765" s="3">
        <v>67</v>
      </c>
      <c r="D765" s="3">
        <v>9</v>
      </c>
      <c r="E765" s="3">
        <v>-55.179</v>
      </c>
      <c r="F765" s="4" t="str">
        <f>HYPERLINK("http://141.218.60.56/~jnz1568/getInfo.php?workbook=12_04.xlsx&amp;sheet=A0&amp;row=765&amp;col=6&amp;number=60600&amp;sourceID=14","60600")</f>
        <v>60600</v>
      </c>
      <c r="G765" s="4" t="str">
        <f>HYPERLINK("http://141.218.60.56/~jnz1568/getInfo.php?workbook=12_04.xlsx&amp;sheet=A0&amp;row=765&amp;col=7&amp;number=0&amp;sourceID=14","0")</f>
        <v>0</v>
      </c>
    </row>
    <row r="766" spans="1:7">
      <c r="A766" s="3">
        <v>12</v>
      </c>
      <c r="B766" s="3">
        <v>4</v>
      </c>
      <c r="C766" s="3">
        <v>68</v>
      </c>
      <c r="D766" s="3">
        <v>9</v>
      </c>
      <c r="E766" s="3">
        <v>54.806</v>
      </c>
      <c r="F766" s="4" t="str">
        <f>HYPERLINK("http://141.218.60.56/~jnz1568/getInfo.php?workbook=12_04.xlsx&amp;sheet=A0&amp;row=766&amp;col=6&amp;number=20500&amp;sourceID=14","20500")</f>
        <v>20500</v>
      </c>
      <c r="G766" s="4" t="str">
        <f>HYPERLINK("http://141.218.60.56/~jnz1568/getInfo.php?workbook=12_04.xlsx&amp;sheet=A0&amp;row=766&amp;col=7&amp;number=0&amp;sourceID=14","0")</f>
        <v>0</v>
      </c>
    </row>
    <row r="767" spans="1:7">
      <c r="A767" s="3">
        <v>12</v>
      </c>
      <c r="B767" s="3">
        <v>4</v>
      </c>
      <c r="C767" s="3">
        <v>69</v>
      </c>
      <c r="D767" s="3">
        <v>9</v>
      </c>
      <c r="E767" s="3">
        <v>-55.017</v>
      </c>
      <c r="F767" s="4" t="str">
        <f>HYPERLINK("http://141.218.60.56/~jnz1568/getInfo.php?workbook=12_04.xlsx&amp;sheet=A0&amp;row=767&amp;col=6&amp;number=813000&amp;sourceID=14","813000")</f>
        <v>813000</v>
      </c>
      <c r="G767" s="4" t="str">
        <f>HYPERLINK("http://141.218.60.56/~jnz1568/getInfo.php?workbook=12_04.xlsx&amp;sheet=A0&amp;row=767&amp;col=7&amp;number=0&amp;sourceID=14","0")</f>
        <v>0</v>
      </c>
    </row>
    <row r="768" spans="1:7">
      <c r="A768" s="3">
        <v>12</v>
      </c>
      <c r="B768" s="3">
        <v>4</v>
      </c>
      <c r="C768" s="3">
        <v>70</v>
      </c>
      <c r="D768" s="3">
        <v>9</v>
      </c>
      <c r="E768" s="3">
        <v>-54.998</v>
      </c>
      <c r="F768" s="4" t="str">
        <f>HYPERLINK("http://141.218.60.56/~jnz1568/getInfo.php?workbook=12_04.xlsx&amp;sheet=A0&amp;row=768&amp;col=6&amp;number=194000&amp;sourceID=14","194000")</f>
        <v>194000</v>
      </c>
      <c r="G768" s="4" t="str">
        <f>HYPERLINK("http://141.218.60.56/~jnz1568/getInfo.php?workbook=12_04.xlsx&amp;sheet=A0&amp;row=768&amp;col=7&amp;number=0&amp;sourceID=14","0")</f>
        <v>0</v>
      </c>
    </row>
    <row r="769" spans="1:7">
      <c r="A769" s="3">
        <v>12</v>
      </c>
      <c r="B769" s="3">
        <v>4</v>
      </c>
      <c r="C769" s="3">
        <v>71</v>
      </c>
      <c r="D769" s="3">
        <v>9</v>
      </c>
      <c r="E769" s="3">
        <v>-54.94</v>
      </c>
      <c r="F769" s="4" t="str">
        <f>HYPERLINK("http://141.218.60.56/~jnz1568/getInfo.php?workbook=12_04.xlsx&amp;sheet=A0&amp;row=769&amp;col=6&amp;number=22900&amp;sourceID=14","22900")</f>
        <v>22900</v>
      </c>
      <c r="G769" s="4" t="str">
        <f>HYPERLINK("http://141.218.60.56/~jnz1568/getInfo.php?workbook=12_04.xlsx&amp;sheet=A0&amp;row=769&amp;col=7&amp;number=0&amp;sourceID=14","0")</f>
        <v>0</v>
      </c>
    </row>
    <row r="770" spans="1:7">
      <c r="A770" s="3">
        <v>12</v>
      </c>
      <c r="B770" s="3">
        <v>4</v>
      </c>
      <c r="C770" s="3">
        <v>72</v>
      </c>
      <c r="D770" s="3">
        <v>9</v>
      </c>
      <c r="E770" s="3">
        <v>54.637</v>
      </c>
      <c r="F770" s="4" t="str">
        <f>HYPERLINK("http://141.218.60.56/~jnz1568/getInfo.php?workbook=12_04.xlsx&amp;sheet=A0&amp;row=770&amp;col=6&amp;number=268000&amp;sourceID=14","268000")</f>
        <v>268000</v>
      </c>
      <c r="G770" s="4" t="str">
        <f>HYPERLINK("http://141.218.60.56/~jnz1568/getInfo.php?workbook=12_04.xlsx&amp;sheet=A0&amp;row=770&amp;col=7&amp;number=0&amp;sourceID=14","0")</f>
        <v>0</v>
      </c>
    </row>
    <row r="771" spans="1:7">
      <c r="A771" s="3">
        <v>12</v>
      </c>
      <c r="B771" s="3">
        <v>4</v>
      </c>
      <c r="C771" s="3">
        <v>73</v>
      </c>
      <c r="D771" s="3">
        <v>9</v>
      </c>
      <c r="E771" s="3">
        <v>-54.834</v>
      </c>
      <c r="F771" s="4" t="str">
        <f>HYPERLINK("http://141.218.60.56/~jnz1568/getInfo.php?workbook=12_04.xlsx&amp;sheet=A0&amp;row=771&amp;col=6&amp;number=24500000000&amp;sourceID=14","24500000000")</f>
        <v>24500000000</v>
      </c>
      <c r="G771" s="4" t="str">
        <f>HYPERLINK("http://141.218.60.56/~jnz1568/getInfo.php?workbook=12_04.xlsx&amp;sheet=A0&amp;row=771&amp;col=7&amp;number=0&amp;sourceID=14","0")</f>
        <v>0</v>
      </c>
    </row>
    <row r="772" spans="1:7">
      <c r="A772" s="3">
        <v>12</v>
      </c>
      <c r="B772" s="3">
        <v>4</v>
      </c>
      <c r="C772" s="3">
        <v>74</v>
      </c>
      <c r="D772" s="3">
        <v>9</v>
      </c>
      <c r="E772" s="3">
        <v>-54.777</v>
      </c>
      <c r="F772" s="4" t="str">
        <f>HYPERLINK("http://141.218.60.56/~jnz1568/getInfo.php?workbook=12_04.xlsx&amp;sheet=A0&amp;row=772&amp;col=6&amp;number=2620000000&amp;sourceID=14","2620000000")</f>
        <v>2620000000</v>
      </c>
      <c r="G772" s="4" t="str">
        <f>HYPERLINK("http://141.218.60.56/~jnz1568/getInfo.php?workbook=12_04.xlsx&amp;sheet=A0&amp;row=772&amp;col=7&amp;number=0&amp;sourceID=14","0")</f>
        <v>0</v>
      </c>
    </row>
    <row r="773" spans="1:7">
      <c r="A773" s="3">
        <v>12</v>
      </c>
      <c r="B773" s="3">
        <v>4</v>
      </c>
      <c r="C773" s="3">
        <v>75</v>
      </c>
      <c r="D773" s="3">
        <v>9</v>
      </c>
      <c r="E773" s="3">
        <v>54.463</v>
      </c>
      <c r="F773" s="4" t="str">
        <f>HYPERLINK("http://141.218.60.56/~jnz1568/getInfo.php?workbook=12_04.xlsx&amp;sheet=A0&amp;row=773&amp;col=6&amp;number=56300000000&amp;sourceID=14","56300000000")</f>
        <v>56300000000</v>
      </c>
      <c r="G773" s="4" t="str">
        <f>HYPERLINK("http://141.218.60.56/~jnz1568/getInfo.php?workbook=12_04.xlsx&amp;sheet=A0&amp;row=773&amp;col=7&amp;number=0&amp;sourceID=14","0")</f>
        <v>0</v>
      </c>
    </row>
    <row r="774" spans="1:7">
      <c r="A774" s="3">
        <v>12</v>
      </c>
      <c r="B774" s="3">
        <v>4</v>
      </c>
      <c r="C774" s="3">
        <v>76</v>
      </c>
      <c r="D774" s="3">
        <v>9</v>
      </c>
      <c r="E774" s="3">
        <v>54.467</v>
      </c>
      <c r="F774" s="4" t="str">
        <f>HYPERLINK("http://141.218.60.56/~jnz1568/getInfo.php?workbook=12_04.xlsx&amp;sheet=A0&amp;row=774&amp;col=6&amp;number=9530000&amp;sourceID=14","9530000")</f>
        <v>9530000</v>
      </c>
      <c r="G774" s="4" t="str">
        <f>HYPERLINK("http://141.218.60.56/~jnz1568/getInfo.php?workbook=12_04.xlsx&amp;sheet=A0&amp;row=774&amp;col=7&amp;number=0&amp;sourceID=14","0")</f>
        <v>0</v>
      </c>
    </row>
    <row r="775" spans="1:7">
      <c r="A775" s="3">
        <v>12</v>
      </c>
      <c r="B775" s="3">
        <v>4</v>
      </c>
      <c r="C775" s="3">
        <v>77</v>
      </c>
      <c r="D775" s="3">
        <v>9</v>
      </c>
      <c r="E775" s="3">
        <v>-54.712</v>
      </c>
      <c r="F775" s="4" t="str">
        <f>HYPERLINK("http://141.218.60.56/~jnz1568/getInfo.php?workbook=12_04.xlsx&amp;sheet=A0&amp;row=775&amp;col=6&amp;number=5100&amp;sourceID=14","5100")</f>
        <v>5100</v>
      </c>
      <c r="G775" s="4" t="str">
        <f>HYPERLINK("http://141.218.60.56/~jnz1568/getInfo.php?workbook=12_04.xlsx&amp;sheet=A0&amp;row=775&amp;col=7&amp;number=0&amp;sourceID=14","0")</f>
        <v>0</v>
      </c>
    </row>
    <row r="776" spans="1:7">
      <c r="A776" s="3">
        <v>12</v>
      </c>
      <c r="B776" s="3">
        <v>4</v>
      </c>
      <c r="C776" s="3">
        <v>78</v>
      </c>
      <c r="D776" s="3">
        <v>9</v>
      </c>
      <c r="E776" s="3">
        <v>-54.622</v>
      </c>
      <c r="F776" s="4" t="str">
        <f>HYPERLINK("http://141.218.60.56/~jnz1568/getInfo.php?workbook=12_04.xlsx&amp;sheet=A0&amp;row=776&amp;col=6&amp;number=270000000&amp;sourceID=14","270000000")</f>
        <v>270000000</v>
      </c>
      <c r="G776" s="4" t="str">
        <f>HYPERLINK("http://141.218.60.56/~jnz1568/getInfo.php?workbook=12_04.xlsx&amp;sheet=A0&amp;row=776&amp;col=7&amp;number=0&amp;sourceID=14","0")</f>
        <v>0</v>
      </c>
    </row>
    <row r="777" spans="1:7">
      <c r="A777" s="3">
        <v>12</v>
      </c>
      <c r="B777" s="3">
        <v>4</v>
      </c>
      <c r="C777" s="3">
        <v>79</v>
      </c>
      <c r="D777" s="3">
        <v>9</v>
      </c>
      <c r="E777" s="3">
        <v>-54.604</v>
      </c>
      <c r="F777" s="4" t="str">
        <f>HYPERLINK("http://141.218.60.56/~jnz1568/getInfo.php?workbook=12_04.xlsx&amp;sheet=A0&amp;row=777&amp;col=6&amp;number=3180000000&amp;sourceID=14","3180000000")</f>
        <v>3180000000</v>
      </c>
      <c r="G777" s="4" t="str">
        <f>HYPERLINK("http://141.218.60.56/~jnz1568/getInfo.php?workbook=12_04.xlsx&amp;sheet=A0&amp;row=777&amp;col=7&amp;number=0&amp;sourceID=14","0")</f>
        <v>0</v>
      </c>
    </row>
    <row r="778" spans="1:7">
      <c r="A778" s="3">
        <v>12</v>
      </c>
      <c r="B778" s="3">
        <v>4</v>
      </c>
      <c r="C778" s="3">
        <v>80</v>
      </c>
      <c r="D778" s="3">
        <v>9</v>
      </c>
      <c r="E778" s="3">
        <v>-54.567</v>
      </c>
      <c r="F778" s="4" t="str">
        <f>HYPERLINK("http://141.218.60.56/~jnz1568/getInfo.php?workbook=12_04.xlsx&amp;sheet=A0&amp;row=778&amp;col=6&amp;number=17100000&amp;sourceID=14","17100000")</f>
        <v>17100000</v>
      </c>
      <c r="G778" s="4" t="str">
        <f>HYPERLINK("http://141.218.60.56/~jnz1568/getInfo.php?workbook=12_04.xlsx&amp;sheet=A0&amp;row=778&amp;col=7&amp;number=0&amp;sourceID=14","0")</f>
        <v>0</v>
      </c>
    </row>
    <row r="779" spans="1:7">
      <c r="A779" s="3">
        <v>12</v>
      </c>
      <c r="B779" s="3">
        <v>4</v>
      </c>
      <c r="C779" s="3">
        <v>81</v>
      </c>
      <c r="D779" s="3">
        <v>9</v>
      </c>
      <c r="E779" s="3">
        <v>54.255</v>
      </c>
      <c r="F779" s="4" t="str">
        <f>HYPERLINK("http://141.218.60.56/~jnz1568/getInfo.php?workbook=12_04.xlsx&amp;sheet=A0&amp;row=779&amp;col=6&amp;number=363000000&amp;sourceID=14","363000000")</f>
        <v>363000000</v>
      </c>
      <c r="G779" s="4" t="str">
        <f>HYPERLINK("http://141.218.60.56/~jnz1568/getInfo.php?workbook=12_04.xlsx&amp;sheet=A0&amp;row=779&amp;col=7&amp;number=0&amp;sourceID=14","0")</f>
        <v>0</v>
      </c>
    </row>
    <row r="780" spans="1:7">
      <c r="A780" s="3">
        <v>12</v>
      </c>
      <c r="B780" s="3">
        <v>4</v>
      </c>
      <c r="C780" s="3">
        <v>82</v>
      </c>
      <c r="D780" s="3">
        <v>9</v>
      </c>
      <c r="E780" s="3">
        <v>-54.556</v>
      </c>
      <c r="F780" s="4" t="str">
        <f>HYPERLINK("http://141.218.60.56/~jnz1568/getInfo.php?workbook=12_04.xlsx&amp;sheet=A0&amp;row=780&amp;col=6&amp;number=374000&amp;sourceID=14","374000")</f>
        <v>374000</v>
      </c>
      <c r="G780" s="4" t="str">
        <f>HYPERLINK("http://141.218.60.56/~jnz1568/getInfo.php?workbook=12_04.xlsx&amp;sheet=A0&amp;row=780&amp;col=7&amp;number=0&amp;sourceID=14","0")</f>
        <v>0</v>
      </c>
    </row>
    <row r="781" spans="1:7">
      <c r="A781" s="3">
        <v>12</v>
      </c>
      <c r="B781" s="3">
        <v>4</v>
      </c>
      <c r="C781" s="3">
        <v>83</v>
      </c>
      <c r="D781" s="3">
        <v>9</v>
      </c>
      <c r="E781" s="3">
        <v>-54.556</v>
      </c>
      <c r="F781" s="4" t="str">
        <f>HYPERLINK("http://141.218.60.56/~jnz1568/getInfo.php?workbook=12_04.xlsx&amp;sheet=A0&amp;row=781&amp;col=6&amp;number=179000&amp;sourceID=14","179000")</f>
        <v>179000</v>
      </c>
      <c r="G781" s="4" t="str">
        <f>HYPERLINK("http://141.218.60.56/~jnz1568/getInfo.php?workbook=12_04.xlsx&amp;sheet=A0&amp;row=781&amp;col=7&amp;number=0&amp;sourceID=14","0")</f>
        <v>0</v>
      </c>
    </row>
    <row r="782" spans="1:7">
      <c r="A782" s="3">
        <v>12</v>
      </c>
      <c r="B782" s="3">
        <v>4</v>
      </c>
      <c r="C782" s="3">
        <v>84</v>
      </c>
      <c r="D782" s="3">
        <v>9</v>
      </c>
      <c r="E782" s="3">
        <v>-54.546</v>
      </c>
      <c r="F782" s="4" t="str">
        <f>HYPERLINK("http://141.218.60.56/~jnz1568/getInfo.php?workbook=12_04.xlsx&amp;sheet=A0&amp;row=782&amp;col=6&amp;number=3620000&amp;sourceID=14","3620000")</f>
        <v>3620000</v>
      </c>
      <c r="G782" s="4" t="str">
        <f>HYPERLINK("http://141.218.60.56/~jnz1568/getInfo.php?workbook=12_04.xlsx&amp;sheet=A0&amp;row=782&amp;col=7&amp;number=0&amp;sourceID=14","0")</f>
        <v>0</v>
      </c>
    </row>
    <row r="783" spans="1:7">
      <c r="A783" s="3">
        <v>12</v>
      </c>
      <c r="B783" s="3">
        <v>4</v>
      </c>
      <c r="C783" s="3">
        <v>85</v>
      </c>
      <c r="D783" s="3">
        <v>9</v>
      </c>
      <c r="E783" s="3">
        <v>54.22</v>
      </c>
      <c r="F783" s="4" t="str">
        <f>HYPERLINK("http://141.218.60.56/~jnz1568/getInfo.php?workbook=12_04.xlsx&amp;sheet=A0&amp;row=783&amp;col=6&amp;number=2200000000&amp;sourceID=14","2200000000")</f>
        <v>2200000000</v>
      </c>
      <c r="G783" s="4" t="str">
        <f>HYPERLINK("http://141.218.60.56/~jnz1568/getInfo.php?workbook=12_04.xlsx&amp;sheet=A0&amp;row=783&amp;col=7&amp;number=0&amp;sourceID=14","0")</f>
        <v>0</v>
      </c>
    </row>
    <row r="784" spans="1:7">
      <c r="A784" s="3">
        <v>12</v>
      </c>
      <c r="B784" s="3">
        <v>4</v>
      </c>
      <c r="C784" s="3">
        <v>86</v>
      </c>
      <c r="D784" s="3">
        <v>9</v>
      </c>
      <c r="E784" s="3">
        <v>54.205</v>
      </c>
      <c r="F784" s="4" t="str">
        <f>HYPERLINK("http://141.218.60.56/~jnz1568/getInfo.php?workbook=12_04.xlsx&amp;sheet=A0&amp;row=784&amp;col=6&amp;number=24200000&amp;sourceID=14","24200000")</f>
        <v>24200000</v>
      </c>
      <c r="G784" s="4" t="str">
        <f>HYPERLINK("http://141.218.60.56/~jnz1568/getInfo.php?workbook=12_04.xlsx&amp;sheet=A0&amp;row=784&amp;col=7&amp;number=0&amp;sourceID=14","0")</f>
        <v>0</v>
      </c>
    </row>
    <row r="785" spans="1:7">
      <c r="A785" s="3">
        <v>12</v>
      </c>
      <c r="B785" s="3">
        <v>4</v>
      </c>
      <c r="C785" s="3">
        <v>87</v>
      </c>
      <c r="D785" s="3">
        <v>9</v>
      </c>
      <c r="E785" s="3">
        <v>-54.474</v>
      </c>
      <c r="F785" s="4" t="str">
        <f>HYPERLINK("http://141.218.60.56/~jnz1568/getInfo.php?workbook=12_04.xlsx&amp;sheet=A0&amp;row=785&amp;col=6&amp;number=275&amp;sourceID=14","275")</f>
        <v>275</v>
      </c>
      <c r="G785" s="4" t="str">
        <f>HYPERLINK("http://141.218.60.56/~jnz1568/getInfo.php?workbook=12_04.xlsx&amp;sheet=A0&amp;row=785&amp;col=7&amp;number=0&amp;sourceID=14","0")</f>
        <v>0</v>
      </c>
    </row>
    <row r="786" spans="1:7">
      <c r="A786" s="3">
        <v>12</v>
      </c>
      <c r="B786" s="3">
        <v>4</v>
      </c>
      <c r="C786" s="3">
        <v>88</v>
      </c>
      <c r="D786" s="3">
        <v>9</v>
      </c>
      <c r="E786" s="3">
        <v>-54.451</v>
      </c>
      <c r="F786" s="4" t="str">
        <f>HYPERLINK("http://141.218.60.56/~jnz1568/getInfo.php?workbook=12_04.xlsx&amp;sheet=A0&amp;row=786&amp;col=6&amp;number=3520000&amp;sourceID=14","3520000")</f>
        <v>3520000</v>
      </c>
      <c r="G786" s="4" t="str">
        <f>HYPERLINK("http://141.218.60.56/~jnz1568/getInfo.php?workbook=12_04.xlsx&amp;sheet=A0&amp;row=786&amp;col=7&amp;number=0&amp;sourceID=14","0")</f>
        <v>0</v>
      </c>
    </row>
    <row r="787" spans="1:7">
      <c r="A787" s="3">
        <v>12</v>
      </c>
      <c r="B787" s="3">
        <v>4</v>
      </c>
      <c r="C787" s="3">
        <v>89</v>
      </c>
      <c r="D787" s="3">
        <v>9</v>
      </c>
      <c r="E787" s="3">
        <v>-54.437</v>
      </c>
      <c r="F787" s="4" t="str">
        <f>HYPERLINK("http://141.218.60.56/~jnz1568/getInfo.php?workbook=12_04.xlsx&amp;sheet=A0&amp;row=787&amp;col=6&amp;number=5210000&amp;sourceID=14","5210000")</f>
        <v>5210000</v>
      </c>
      <c r="G787" s="4" t="str">
        <f>HYPERLINK("http://141.218.60.56/~jnz1568/getInfo.php?workbook=12_04.xlsx&amp;sheet=A0&amp;row=787&amp;col=7&amp;number=0&amp;sourceID=14","0")</f>
        <v>0</v>
      </c>
    </row>
    <row r="788" spans="1:7">
      <c r="A788" s="3">
        <v>12</v>
      </c>
      <c r="B788" s="3">
        <v>4</v>
      </c>
      <c r="C788" s="3">
        <v>90</v>
      </c>
      <c r="D788" s="3">
        <v>9</v>
      </c>
      <c r="E788" s="3">
        <v>-54.396</v>
      </c>
      <c r="F788" s="4" t="str">
        <f>HYPERLINK("http://141.218.60.56/~jnz1568/getInfo.php?workbook=12_04.xlsx&amp;sheet=A0&amp;row=788&amp;col=6&amp;number=1.2&amp;sourceID=14","1.2")</f>
        <v>1.2</v>
      </c>
      <c r="G788" s="4" t="str">
        <f>HYPERLINK("http://141.218.60.56/~jnz1568/getInfo.php?workbook=12_04.xlsx&amp;sheet=A0&amp;row=788&amp;col=7&amp;number=0&amp;sourceID=14","0")</f>
        <v>0</v>
      </c>
    </row>
    <row r="789" spans="1:7">
      <c r="A789" s="3">
        <v>12</v>
      </c>
      <c r="B789" s="3">
        <v>4</v>
      </c>
      <c r="C789" s="3">
        <v>91</v>
      </c>
      <c r="D789" s="3">
        <v>9</v>
      </c>
      <c r="E789" s="3">
        <v>-54.36</v>
      </c>
      <c r="F789" s="4" t="str">
        <f>HYPERLINK("http://141.218.60.56/~jnz1568/getInfo.php?workbook=12_04.xlsx&amp;sheet=A0&amp;row=789&amp;col=6&amp;number=1230000&amp;sourceID=14","1230000")</f>
        <v>1230000</v>
      </c>
      <c r="G789" s="4" t="str">
        <f>HYPERLINK("http://141.218.60.56/~jnz1568/getInfo.php?workbook=12_04.xlsx&amp;sheet=A0&amp;row=789&amp;col=7&amp;number=0&amp;sourceID=14","0")</f>
        <v>0</v>
      </c>
    </row>
    <row r="790" spans="1:7">
      <c r="A790" s="3">
        <v>12</v>
      </c>
      <c r="B790" s="3">
        <v>4</v>
      </c>
      <c r="C790" s="3">
        <v>92</v>
      </c>
      <c r="D790" s="3">
        <v>9</v>
      </c>
      <c r="E790" s="3">
        <v>-54.352</v>
      </c>
      <c r="F790" s="4" t="str">
        <f>HYPERLINK("http://141.218.60.56/~jnz1568/getInfo.php?workbook=12_04.xlsx&amp;sheet=A0&amp;row=790&amp;col=6&amp;number=51700000&amp;sourceID=14","51700000")</f>
        <v>51700000</v>
      </c>
      <c r="G790" s="4" t="str">
        <f>HYPERLINK("http://141.218.60.56/~jnz1568/getInfo.php?workbook=12_04.xlsx&amp;sheet=A0&amp;row=790&amp;col=7&amp;number=0&amp;sourceID=14","0")</f>
        <v>0</v>
      </c>
    </row>
    <row r="791" spans="1:7">
      <c r="A791" s="3">
        <v>12</v>
      </c>
      <c r="B791" s="3">
        <v>4</v>
      </c>
      <c r="C791" s="3">
        <v>93</v>
      </c>
      <c r="D791" s="3">
        <v>9</v>
      </c>
      <c r="E791" s="3">
        <v>-54.344</v>
      </c>
      <c r="F791" s="4" t="str">
        <f>HYPERLINK("http://141.218.60.56/~jnz1568/getInfo.php?workbook=12_04.xlsx&amp;sheet=A0&amp;row=791&amp;col=6&amp;number=526000&amp;sourceID=14","526000")</f>
        <v>526000</v>
      </c>
      <c r="G791" s="4" t="str">
        <f>HYPERLINK("http://141.218.60.56/~jnz1568/getInfo.php?workbook=12_04.xlsx&amp;sheet=A0&amp;row=791&amp;col=7&amp;number=0&amp;sourceID=14","0")</f>
        <v>0</v>
      </c>
    </row>
    <row r="792" spans="1:7">
      <c r="A792" s="3">
        <v>12</v>
      </c>
      <c r="B792" s="3">
        <v>4</v>
      </c>
      <c r="C792" s="3">
        <v>94</v>
      </c>
      <c r="D792" s="3">
        <v>9</v>
      </c>
      <c r="E792" s="3">
        <v>-54.315</v>
      </c>
      <c r="F792" s="4" t="str">
        <f>HYPERLINK("http://141.218.60.56/~jnz1568/getInfo.php?workbook=12_04.xlsx&amp;sheet=A0&amp;row=792&amp;col=6&amp;number=12500&amp;sourceID=14","12500")</f>
        <v>12500</v>
      </c>
      <c r="G792" s="4" t="str">
        <f>HYPERLINK("http://141.218.60.56/~jnz1568/getInfo.php?workbook=12_04.xlsx&amp;sheet=A0&amp;row=792&amp;col=7&amp;number=0&amp;sourceID=14","0")</f>
        <v>0</v>
      </c>
    </row>
    <row r="793" spans="1:7">
      <c r="A793" s="3">
        <v>12</v>
      </c>
      <c r="B793" s="3">
        <v>4</v>
      </c>
      <c r="C793" s="3">
        <v>95</v>
      </c>
      <c r="D793" s="3">
        <v>9</v>
      </c>
      <c r="E793" s="3">
        <v>-54.297</v>
      </c>
      <c r="F793" s="4" t="str">
        <f>HYPERLINK("http://141.218.60.56/~jnz1568/getInfo.php?workbook=12_04.xlsx&amp;sheet=A0&amp;row=793&amp;col=6&amp;number=38700000&amp;sourceID=14","38700000")</f>
        <v>38700000</v>
      </c>
      <c r="G793" s="4" t="str">
        <f>HYPERLINK("http://141.218.60.56/~jnz1568/getInfo.php?workbook=12_04.xlsx&amp;sheet=A0&amp;row=793&amp;col=7&amp;number=0&amp;sourceID=14","0")</f>
        <v>0</v>
      </c>
    </row>
    <row r="794" spans="1:7">
      <c r="A794" s="3">
        <v>12</v>
      </c>
      <c r="B794" s="3">
        <v>4</v>
      </c>
      <c r="C794" s="3">
        <v>96</v>
      </c>
      <c r="D794" s="3">
        <v>9</v>
      </c>
      <c r="E794" s="3">
        <v>-54.279</v>
      </c>
      <c r="F794" s="4" t="str">
        <f>HYPERLINK("http://141.218.60.56/~jnz1568/getInfo.php?workbook=12_04.xlsx&amp;sheet=A0&amp;row=794&amp;col=6&amp;number=4510000&amp;sourceID=14","4510000")</f>
        <v>4510000</v>
      </c>
      <c r="G794" s="4" t="str">
        <f>HYPERLINK("http://141.218.60.56/~jnz1568/getInfo.php?workbook=12_04.xlsx&amp;sheet=A0&amp;row=794&amp;col=7&amp;number=0&amp;sourceID=14","0")</f>
        <v>0</v>
      </c>
    </row>
    <row r="795" spans="1:7">
      <c r="A795" s="3">
        <v>12</v>
      </c>
      <c r="B795" s="3">
        <v>4</v>
      </c>
      <c r="C795" s="3">
        <v>97</v>
      </c>
      <c r="D795" s="3">
        <v>9</v>
      </c>
      <c r="E795" s="3">
        <v>54.011</v>
      </c>
      <c r="F795" s="4" t="str">
        <f>HYPERLINK("http://141.218.60.56/~jnz1568/getInfo.php?workbook=12_04.xlsx&amp;sheet=A0&amp;row=795&amp;col=6&amp;number=408000000000&amp;sourceID=14","408000000000")</f>
        <v>408000000000</v>
      </c>
      <c r="G795" s="4" t="str">
        <f>HYPERLINK("http://141.218.60.56/~jnz1568/getInfo.php?workbook=12_04.xlsx&amp;sheet=A0&amp;row=795&amp;col=7&amp;number=0&amp;sourceID=14","0")</f>
        <v>0</v>
      </c>
    </row>
    <row r="796" spans="1:7">
      <c r="A796" s="3">
        <v>12</v>
      </c>
      <c r="B796" s="3">
        <v>4</v>
      </c>
      <c r="C796" s="3">
        <v>98</v>
      </c>
      <c r="D796" s="3">
        <v>9</v>
      </c>
      <c r="E796" s="3">
        <v>53.961</v>
      </c>
      <c r="F796" s="4" t="str">
        <f>HYPERLINK("http://141.218.60.56/~jnz1568/getInfo.php?workbook=12_04.xlsx&amp;sheet=A0&amp;row=796&amp;col=6&amp;number=16600000000&amp;sourceID=14","16600000000")</f>
        <v>16600000000</v>
      </c>
      <c r="G796" s="4" t="str">
        <f>HYPERLINK("http://141.218.60.56/~jnz1568/getInfo.php?workbook=12_04.xlsx&amp;sheet=A0&amp;row=796&amp;col=7&amp;number=0&amp;sourceID=14","0")</f>
        <v>0</v>
      </c>
    </row>
    <row r="797" spans="1:7">
      <c r="A797" s="3">
        <v>12</v>
      </c>
      <c r="B797" s="3">
        <v>4</v>
      </c>
      <c r="C797" s="3">
        <v>11</v>
      </c>
      <c r="D797" s="3">
        <v>10</v>
      </c>
      <c r="E797" s="3">
        <v>96.823</v>
      </c>
      <c r="F797" s="4" t="str">
        <f>HYPERLINK("http://141.218.60.56/~jnz1568/getInfo.php?workbook=12_04.xlsx&amp;sheet=A0&amp;row=797&amp;col=6&amp;number=0.0527&amp;sourceID=14","0.0527")</f>
        <v>0.0527</v>
      </c>
      <c r="G797" s="4" t="str">
        <f>HYPERLINK("http://141.218.60.56/~jnz1568/getInfo.php?workbook=12_04.xlsx&amp;sheet=A0&amp;row=797&amp;col=7&amp;number=0&amp;sourceID=14","0")</f>
        <v>0</v>
      </c>
    </row>
    <row r="798" spans="1:7">
      <c r="A798" s="3">
        <v>12</v>
      </c>
      <c r="B798" s="3">
        <v>4</v>
      </c>
      <c r="C798" s="3">
        <v>13</v>
      </c>
      <c r="D798" s="3">
        <v>10</v>
      </c>
      <c r="E798" s="3">
        <v>91.411</v>
      </c>
      <c r="F798" s="4" t="str">
        <f>HYPERLINK("http://141.218.60.56/~jnz1568/getInfo.php?workbook=12_04.xlsx&amp;sheet=A0&amp;row=798&amp;col=6&amp;number=628000000&amp;sourceID=14","628000000")</f>
        <v>628000000</v>
      </c>
      <c r="G798" s="4" t="str">
        <f>HYPERLINK("http://141.218.60.56/~jnz1568/getInfo.php?workbook=12_04.xlsx&amp;sheet=A0&amp;row=798&amp;col=7&amp;number=0&amp;sourceID=14","0")</f>
        <v>0</v>
      </c>
    </row>
    <row r="799" spans="1:7">
      <c r="A799" s="3">
        <v>12</v>
      </c>
      <c r="B799" s="3">
        <v>4</v>
      </c>
      <c r="C799" s="3">
        <v>15</v>
      </c>
      <c r="D799" s="3">
        <v>10</v>
      </c>
      <c r="E799" s="3">
        <v>91.086</v>
      </c>
      <c r="F799" s="4" t="str">
        <f>HYPERLINK("http://141.218.60.56/~jnz1568/getInfo.php?workbook=12_04.xlsx&amp;sheet=A0&amp;row=799&amp;col=6&amp;number=11300000&amp;sourceID=14","11300000")</f>
        <v>11300000</v>
      </c>
      <c r="G799" s="4" t="str">
        <f>HYPERLINK("http://141.218.60.56/~jnz1568/getInfo.php?workbook=12_04.xlsx&amp;sheet=A0&amp;row=799&amp;col=7&amp;number=0&amp;sourceID=14","0")</f>
        <v>0</v>
      </c>
    </row>
    <row r="800" spans="1:7">
      <c r="A800" s="3">
        <v>12</v>
      </c>
      <c r="B800" s="3">
        <v>4</v>
      </c>
      <c r="C800" s="3">
        <v>16</v>
      </c>
      <c r="D800" s="3">
        <v>10</v>
      </c>
      <c r="E800" s="3">
        <v>91.086</v>
      </c>
      <c r="F800" s="4" t="str">
        <f>HYPERLINK("http://141.218.60.56/~jnz1568/getInfo.php?workbook=12_04.xlsx&amp;sheet=A0&amp;row=800&amp;col=6&amp;number=10.5&amp;sourceID=14","10.5")</f>
        <v>10.5</v>
      </c>
      <c r="G800" s="4" t="str">
        <f>HYPERLINK("http://141.218.60.56/~jnz1568/getInfo.php?workbook=12_04.xlsx&amp;sheet=A0&amp;row=800&amp;col=7&amp;number=0&amp;sourceID=14","0")</f>
        <v>0</v>
      </c>
    </row>
    <row r="801" spans="1:7">
      <c r="A801" s="3">
        <v>12</v>
      </c>
      <c r="B801" s="3">
        <v>4</v>
      </c>
      <c r="C801" s="3">
        <v>17</v>
      </c>
      <c r="D801" s="3">
        <v>10</v>
      </c>
      <c r="E801" s="3">
        <v>88.386</v>
      </c>
      <c r="F801" s="4" t="str">
        <f>HYPERLINK("http://141.218.60.56/~jnz1568/getInfo.php?workbook=12_04.xlsx&amp;sheet=A0&amp;row=801&amp;col=6&amp;number=0.0522&amp;sourceID=14","0.0522")</f>
        <v>0.0522</v>
      </c>
      <c r="G801" s="4" t="str">
        <f>HYPERLINK("http://141.218.60.56/~jnz1568/getInfo.php?workbook=12_04.xlsx&amp;sheet=A0&amp;row=801&amp;col=7&amp;number=0&amp;sourceID=14","0")</f>
        <v>0</v>
      </c>
    </row>
    <row r="802" spans="1:7">
      <c r="A802" s="3">
        <v>12</v>
      </c>
      <c r="B802" s="3">
        <v>4</v>
      </c>
      <c r="C802" s="3">
        <v>18</v>
      </c>
      <c r="D802" s="3">
        <v>10</v>
      </c>
      <c r="E802" s="3">
        <v>88.376</v>
      </c>
      <c r="F802" s="4" t="str">
        <f>HYPERLINK("http://141.218.60.56/~jnz1568/getInfo.php?workbook=12_04.xlsx&amp;sheet=A0&amp;row=802&amp;col=6&amp;number=5.78&amp;sourceID=14","5.78")</f>
        <v>5.78</v>
      </c>
      <c r="G802" s="4" t="str">
        <f>HYPERLINK("http://141.218.60.56/~jnz1568/getInfo.php?workbook=12_04.xlsx&amp;sheet=A0&amp;row=802&amp;col=7&amp;number=0&amp;sourceID=14","0")</f>
        <v>0</v>
      </c>
    </row>
    <row r="803" spans="1:7">
      <c r="A803" s="3">
        <v>12</v>
      </c>
      <c r="B803" s="3">
        <v>4</v>
      </c>
      <c r="C803" s="3">
        <v>19</v>
      </c>
      <c r="D803" s="3">
        <v>10</v>
      </c>
      <c r="E803" s="3">
        <v>88.364</v>
      </c>
      <c r="F803" s="4" t="str">
        <f>HYPERLINK("http://141.218.60.56/~jnz1568/getInfo.php?workbook=12_04.xlsx&amp;sheet=A0&amp;row=803&amp;col=6&amp;number=0.00781&amp;sourceID=14","0.00781")</f>
        <v>0.00781</v>
      </c>
      <c r="G803" s="4" t="str">
        <f>HYPERLINK("http://141.218.60.56/~jnz1568/getInfo.php?workbook=12_04.xlsx&amp;sheet=A0&amp;row=803&amp;col=7&amp;number=0&amp;sourceID=14","0")</f>
        <v>0</v>
      </c>
    </row>
    <row r="804" spans="1:7">
      <c r="A804" s="3">
        <v>12</v>
      </c>
      <c r="B804" s="3">
        <v>4</v>
      </c>
      <c r="C804" s="3">
        <v>20</v>
      </c>
      <c r="D804" s="3">
        <v>10</v>
      </c>
      <c r="E804" s="3">
        <v>86.584</v>
      </c>
      <c r="F804" s="4" t="str">
        <f>HYPERLINK("http://141.218.60.56/~jnz1568/getInfo.php?workbook=12_04.xlsx&amp;sheet=A0&amp;row=804&amp;col=6&amp;number=1460000&amp;sourceID=14","1460000")</f>
        <v>1460000</v>
      </c>
      <c r="G804" s="4" t="str">
        <f>HYPERLINK("http://141.218.60.56/~jnz1568/getInfo.php?workbook=12_04.xlsx&amp;sheet=A0&amp;row=804&amp;col=7&amp;number=0&amp;sourceID=14","0")</f>
        <v>0</v>
      </c>
    </row>
    <row r="805" spans="1:7">
      <c r="A805" s="3">
        <v>12</v>
      </c>
      <c r="B805" s="3">
        <v>4</v>
      </c>
      <c r="C805" s="3">
        <v>22</v>
      </c>
      <c r="D805" s="3">
        <v>10</v>
      </c>
      <c r="E805" s="3">
        <v>82.534</v>
      </c>
      <c r="F805" s="4" t="str">
        <f>HYPERLINK("http://141.218.60.56/~jnz1568/getInfo.php?workbook=12_04.xlsx&amp;sheet=A0&amp;row=805&amp;col=6&amp;number=43200000&amp;sourceID=14","43200000")</f>
        <v>43200000</v>
      </c>
      <c r="G805" s="4" t="str">
        <f>HYPERLINK("http://141.218.60.56/~jnz1568/getInfo.php?workbook=12_04.xlsx&amp;sheet=A0&amp;row=805&amp;col=7&amp;number=0&amp;sourceID=14","0")</f>
        <v>0</v>
      </c>
    </row>
    <row r="806" spans="1:7">
      <c r="A806" s="3">
        <v>12</v>
      </c>
      <c r="B806" s="3">
        <v>4</v>
      </c>
      <c r="C806" s="3">
        <v>23</v>
      </c>
      <c r="D806" s="3">
        <v>10</v>
      </c>
      <c r="E806" s="3">
        <v>82.354</v>
      </c>
      <c r="F806" s="4" t="str">
        <f>HYPERLINK("http://141.218.60.56/~jnz1568/getInfo.php?workbook=12_04.xlsx&amp;sheet=A0&amp;row=806&amp;col=6&amp;number=26.3&amp;sourceID=14","26.3")</f>
        <v>26.3</v>
      </c>
      <c r="G806" s="4" t="str">
        <f>HYPERLINK("http://141.218.60.56/~jnz1568/getInfo.php?workbook=12_04.xlsx&amp;sheet=A0&amp;row=806&amp;col=7&amp;number=0&amp;sourceID=14","0")</f>
        <v>0</v>
      </c>
    </row>
    <row r="807" spans="1:7">
      <c r="A807" s="3">
        <v>12</v>
      </c>
      <c r="B807" s="3">
        <v>4</v>
      </c>
      <c r="C807" s="3">
        <v>24</v>
      </c>
      <c r="D807" s="3">
        <v>10</v>
      </c>
      <c r="E807" s="3">
        <v>80.424</v>
      </c>
      <c r="F807" s="4" t="str">
        <f>HYPERLINK("http://141.218.60.56/~jnz1568/getInfo.php?workbook=12_04.xlsx&amp;sheet=A0&amp;row=807&amp;col=6&amp;number=32300000000&amp;sourceID=14","32300000000")</f>
        <v>32300000000</v>
      </c>
      <c r="G807" s="4" t="str">
        <f>HYPERLINK("http://141.218.60.56/~jnz1568/getInfo.php?workbook=12_04.xlsx&amp;sheet=A0&amp;row=807&amp;col=7&amp;number=0&amp;sourceID=14","0")</f>
        <v>0</v>
      </c>
    </row>
    <row r="808" spans="1:7">
      <c r="A808" s="3">
        <v>12</v>
      </c>
      <c r="B808" s="3">
        <v>4</v>
      </c>
      <c r="C808" s="3">
        <v>25</v>
      </c>
      <c r="D808" s="3">
        <v>10</v>
      </c>
      <c r="E808" s="3">
        <v>80.097</v>
      </c>
      <c r="F808" s="4" t="str">
        <f>HYPERLINK("http://141.218.60.56/~jnz1568/getInfo.php?workbook=12_04.xlsx&amp;sheet=A0&amp;row=808&amp;col=6&amp;number=5.3&amp;sourceID=14","5.3")</f>
        <v>5.3</v>
      </c>
      <c r="G808" s="4" t="str">
        <f>HYPERLINK("http://141.218.60.56/~jnz1568/getInfo.php?workbook=12_04.xlsx&amp;sheet=A0&amp;row=808&amp;col=7&amp;number=0&amp;sourceID=14","0")</f>
        <v>0</v>
      </c>
    </row>
    <row r="809" spans="1:7">
      <c r="A809" s="3">
        <v>12</v>
      </c>
      <c r="B809" s="3">
        <v>4</v>
      </c>
      <c r="C809" s="3">
        <v>26</v>
      </c>
      <c r="D809" s="3">
        <v>10</v>
      </c>
      <c r="E809" s="3">
        <v>79.628</v>
      </c>
      <c r="F809" s="4" t="str">
        <f>HYPERLINK("http://141.218.60.56/~jnz1568/getInfo.php?workbook=12_04.xlsx&amp;sheet=A0&amp;row=809&amp;col=6&amp;number=0.189&amp;sourceID=14","0.189")</f>
        <v>0.189</v>
      </c>
      <c r="G809" s="4" t="str">
        <f>HYPERLINK("http://141.218.60.56/~jnz1568/getInfo.php?workbook=12_04.xlsx&amp;sheet=A0&amp;row=809&amp;col=7&amp;number=0&amp;sourceID=14","0")</f>
        <v>0</v>
      </c>
    </row>
    <row r="810" spans="1:7">
      <c r="A810" s="3">
        <v>12</v>
      </c>
      <c r="B810" s="3">
        <v>4</v>
      </c>
      <c r="C810" s="3">
        <v>27</v>
      </c>
      <c r="D810" s="3">
        <v>10</v>
      </c>
      <c r="E810" s="3">
        <v>79.565</v>
      </c>
      <c r="F810" s="4" t="str">
        <f>HYPERLINK("http://141.218.60.56/~jnz1568/getInfo.php?workbook=12_04.xlsx&amp;sheet=A0&amp;row=810&amp;col=6&amp;number=332&amp;sourceID=14","332")</f>
        <v>332</v>
      </c>
      <c r="G810" s="4" t="str">
        <f>HYPERLINK("http://141.218.60.56/~jnz1568/getInfo.php?workbook=12_04.xlsx&amp;sheet=A0&amp;row=810&amp;col=7&amp;number=0&amp;sourceID=14","0")</f>
        <v>0</v>
      </c>
    </row>
    <row r="811" spans="1:7">
      <c r="A811" s="3">
        <v>12</v>
      </c>
      <c r="B811" s="3">
        <v>4</v>
      </c>
      <c r="C811" s="3">
        <v>28</v>
      </c>
      <c r="D811" s="3">
        <v>10</v>
      </c>
      <c r="E811" s="3">
        <v>79.407</v>
      </c>
      <c r="F811" s="4" t="str">
        <f>HYPERLINK("http://141.218.60.56/~jnz1568/getInfo.php?workbook=12_04.xlsx&amp;sheet=A0&amp;row=811&amp;col=6&amp;number=0.0519&amp;sourceID=14","0.0519")</f>
        <v>0.0519</v>
      </c>
      <c r="G811" s="4" t="str">
        <f>HYPERLINK("http://141.218.60.56/~jnz1568/getInfo.php?workbook=12_04.xlsx&amp;sheet=A0&amp;row=811&amp;col=7&amp;number=0&amp;sourceID=14","0")</f>
        <v>0</v>
      </c>
    </row>
    <row r="812" spans="1:7">
      <c r="A812" s="3">
        <v>12</v>
      </c>
      <c r="B812" s="3">
        <v>4</v>
      </c>
      <c r="C812" s="3">
        <v>29</v>
      </c>
      <c r="D812" s="3">
        <v>10</v>
      </c>
      <c r="E812" s="3">
        <v>78.694</v>
      </c>
      <c r="F812" s="4" t="str">
        <f>HYPERLINK("http://141.218.60.56/~jnz1568/getInfo.php?workbook=12_04.xlsx&amp;sheet=A0&amp;row=812&amp;col=6&amp;number=4.66&amp;sourceID=14","4.66")</f>
        <v>4.66</v>
      </c>
      <c r="G812" s="4" t="str">
        <f>HYPERLINK("http://141.218.60.56/~jnz1568/getInfo.php?workbook=12_04.xlsx&amp;sheet=A0&amp;row=812&amp;col=7&amp;number=0&amp;sourceID=14","0")</f>
        <v>0</v>
      </c>
    </row>
    <row r="813" spans="1:7">
      <c r="A813" s="3">
        <v>12</v>
      </c>
      <c r="B813" s="3">
        <v>4</v>
      </c>
      <c r="C813" s="3">
        <v>31</v>
      </c>
      <c r="D813" s="3">
        <v>10</v>
      </c>
      <c r="E813" s="3">
        <v>78.183</v>
      </c>
      <c r="F813" s="4" t="str">
        <f>HYPERLINK("http://141.218.60.56/~jnz1568/getInfo.php?workbook=12_04.xlsx&amp;sheet=A0&amp;row=813&amp;col=6&amp;number=29.3&amp;sourceID=14","29.3")</f>
        <v>29.3</v>
      </c>
      <c r="G813" s="4" t="str">
        <f>HYPERLINK("http://141.218.60.56/~jnz1568/getInfo.php?workbook=12_04.xlsx&amp;sheet=A0&amp;row=813&amp;col=7&amp;number=0&amp;sourceID=14","0")</f>
        <v>0</v>
      </c>
    </row>
    <row r="814" spans="1:7">
      <c r="A814" s="3">
        <v>12</v>
      </c>
      <c r="B814" s="3">
        <v>4</v>
      </c>
      <c r="C814" s="3">
        <v>32</v>
      </c>
      <c r="D814" s="3">
        <v>10</v>
      </c>
      <c r="E814" s="3">
        <v>78.103</v>
      </c>
      <c r="F814" s="4" t="str">
        <f>HYPERLINK("http://141.218.60.56/~jnz1568/getInfo.php?workbook=12_04.xlsx&amp;sheet=A0&amp;row=814&amp;col=6&amp;number=15000&amp;sourceID=14","15000")</f>
        <v>15000</v>
      </c>
      <c r="G814" s="4" t="str">
        <f>HYPERLINK("http://141.218.60.56/~jnz1568/getInfo.php?workbook=12_04.xlsx&amp;sheet=A0&amp;row=814&amp;col=7&amp;number=0&amp;sourceID=14","0")</f>
        <v>0</v>
      </c>
    </row>
    <row r="815" spans="1:7">
      <c r="A815" s="3">
        <v>12</v>
      </c>
      <c r="B815" s="3">
        <v>4</v>
      </c>
      <c r="C815" s="3">
        <v>33</v>
      </c>
      <c r="D815" s="3">
        <v>10</v>
      </c>
      <c r="E815" s="3">
        <v>-78.635</v>
      </c>
      <c r="F815" s="4" t="str">
        <f>HYPERLINK("http://141.218.60.56/~jnz1568/getInfo.php?workbook=12_04.xlsx&amp;sheet=A0&amp;row=815&amp;col=6&amp;number=230&amp;sourceID=14","230")</f>
        <v>230</v>
      </c>
      <c r="G815" s="4" t="str">
        <f>HYPERLINK("http://141.218.60.56/~jnz1568/getInfo.php?workbook=12_04.xlsx&amp;sheet=A0&amp;row=815&amp;col=7&amp;number=0&amp;sourceID=14","0")</f>
        <v>0</v>
      </c>
    </row>
    <row r="816" spans="1:7">
      <c r="A816" s="3">
        <v>12</v>
      </c>
      <c r="B816" s="3">
        <v>4</v>
      </c>
      <c r="C816" s="3">
        <v>34</v>
      </c>
      <c r="D816" s="3">
        <v>10</v>
      </c>
      <c r="E816" s="3">
        <v>-78.509</v>
      </c>
      <c r="F816" s="4" t="str">
        <f>HYPERLINK("http://141.218.60.56/~jnz1568/getInfo.php?workbook=12_04.xlsx&amp;sheet=A0&amp;row=816&amp;col=6&amp;number=0.0135&amp;sourceID=14","0.0135")</f>
        <v>0.0135</v>
      </c>
      <c r="G816" s="4" t="str">
        <f>HYPERLINK("http://141.218.60.56/~jnz1568/getInfo.php?workbook=12_04.xlsx&amp;sheet=A0&amp;row=816&amp;col=7&amp;number=0&amp;sourceID=14","0")</f>
        <v>0</v>
      </c>
    </row>
    <row r="817" spans="1:7">
      <c r="A817" s="3">
        <v>12</v>
      </c>
      <c r="B817" s="3">
        <v>4</v>
      </c>
      <c r="C817" s="3">
        <v>35</v>
      </c>
      <c r="D817" s="3">
        <v>10</v>
      </c>
      <c r="E817" s="3">
        <v>77.519</v>
      </c>
      <c r="F817" s="4" t="str">
        <f>HYPERLINK("http://141.218.60.56/~jnz1568/getInfo.php?workbook=12_04.xlsx&amp;sheet=A0&amp;row=817&amp;col=6&amp;number=892&amp;sourceID=14","892")</f>
        <v>892</v>
      </c>
      <c r="G817" s="4" t="str">
        <f>HYPERLINK("http://141.218.60.56/~jnz1568/getInfo.php?workbook=12_04.xlsx&amp;sheet=A0&amp;row=817&amp;col=7&amp;number=0&amp;sourceID=14","0")</f>
        <v>0</v>
      </c>
    </row>
    <row r="818" spans="1:7">
      <c r="A818" s="3">
        <v>12</v>
      </c>
      <c r="B818" s="3">
        <v>4</v>
      </c>
      <c r="C818" s="3">
        <v>36</v>
      </c>
      <c r="D818" s="3">
        <v>10</v>
      </c>
      <c r="E818" s="3">
        <v>-78.385</v>
      </c>
      <c r="F818" s="4" t="str">
        <f>HYPERLINK("http://141.218.60.56/~jnz1568/getInfo.php?workbook=12_04.xlsx&amp;sheet=A0&amp;row=818&amp;col=6&amp;number=4.68e-06&amp;sourceID=14","4.68e-06")</f>
        <v>4.68e-06</v>
      </c>
      <c r="G818" s="4" t="str">
        <f>HYPERLINK("http://141.218.60.56/~jnz1568/getInfo.php?workbook=12_04.xlsx&amp;sheet=A0&amp;row=818&amp;col=7&amp;number=0&amp;sourceID=14","0")</f>
        <v>0</v>
      </c>
    </row>
    <row r="819" spans="1:7">
      <c r="A819" s="3">
        <v>12</v>
      </c>
      <c r="B819" s="3">
        <v>4</v>
      </c>
      <c r="C819" s="3">
        <v>37</v>
      </c>
      <c r="D819" s="3">
        <v>10</v>
      </c>
      <c r="E819" s="3">
        <v>77.147</v>
      </c>
      <c r="F819" s="4" t="str">
        <f>HYPERLINK("http://141.218.60.56/~jnz1568/getInfo.php?workbook=12_04.xlsx&amp;sheet=A0&amp;row=819&amp;col=6&amp;number=6420000&amp;sourceID=14","6420000")</f>
        <v>6420000</v>
      </c>
      <c r="G819" s="4" t="str">
        <f>HYPERLINK("http://141.218.60.56/~jnz1568/getInfo.php?workbook=12_04.xlsx&amp;sheet=A0&amp;row=819&amp;col=7&amp;number=0&amp;sourceID=14","0")</f>
        <v>0</v>
      </c>
    </row>
    <row r="820" spans="1:7">
      <c r="A820" s="3">
        <v>12</v>
      </c>
      <c r="B820" s="3">
        <v>4</v>
      </c>
      <c r="C820" s="3">
        <v>38</v>
      </c>
      <c r="D820" s="3">
        <v>10</v>
      </c>
      <c r="E820" s="3">
        <v>76.471</v>
      </c>
      <c r="F820" s="4" t="str">
        <f>HYPERLINK("http://141.218.60.56/~jnz1568/getInfo.php?workbook=12_04.xlsx&amp;sheet=A0&amp;row=820&amp;col=6&amp;number=327000000&amp;sourceID=14","327000000")</f>
        <v>327000000</v>
      </c>
      <c r="G820" s="4" t="str">
        <f>HYPERLINK("http://141.218.60.56/~jnz1568/getInfo.php?workbook=12_04.xlsx&amp;sheet=A0&amp;row=820&amp;col=7&amp;number=0&amp;sourceID=14","0")</f>
        <v>0</v>
      </c>
    </row>
    <row r="821" spans="1:7">
      <c r="A821" s="3">
        <v>12</v>
      </c>
      <c r="B821" s="3">
        <v>4</v>
      </c>
      <c r="C821" s="3">
        <v>39</v>
      </c>
      <c r="D821" s="3">
        <v>10</v>
      </c>
      <c r="E821" s="3">
        <v>76.439</v>
      </c>
      <c r="F821" s="4" t="str">
        <f>HYPERLINK("http://141.218.60.56/~jnz1568/getInfo.php?workbook=12_04.xlsx&amp;sheet=A0&amp;row=821&amp;col=6&amp;number=171&amp;sourceID=14","171")</f>
        <v>171</v>
      </c>
      <c r="G821" s="4" t="str">
        <f>HYPERLINK("http://141.218.60.56/~jnz1568/getInfo.php?workbook=12_04.xlsx&amp;sheet=A0&amp;row=821&amp;col=7&amp;number=0&amp;sourceID=14","0")</f>
        <v>0</v>
      </c>
    </row>
    <row r="822" spans="1:7">
      <c r="A822" s="3">
        <v>12</v>
      </c>
      <c r="B822" s="3">
        <v>4</v>
      </c>
      <c r="C822" s="3">
        <v>40</v>
      </c>
      <c r="D822" s="3">
        <v>10</v>
      </c>
      <c r="E822" s="3">
        <v>76.381</v>
      </c>
      <c r="F822" s="4" t="str">
        <f>HYPERLINK("http://141.218.60.56/~jnz1568/getInfo.php?workbook=12_04.xlsx&amp;sheet=A0&amp;row=822&amp;col=6&amp;number=0.182&amp;sourceID=14","0.182")</f>
        <v>0.182</v>
      </c>
      <c r="G822" s="4" t="str">
        <f>HYPERLINK("http://141.218.60.56/~jnz1568/getInfo.php?workbook=12_04.xlsx&amp;sheet=A0&amp;row=822&amp;col=7&amp;number=0&amp;sourceID=14","0")</f>
        <v>0</v>
      </c>
    </row>
    <row r="823" spans="1:7">
      <c r="A823" s="3">
        <v>12</v>
      </c>
      <c r="B823" s="3">
        <v>4</v>
      </c>
      <c r="C823" s="3">
        <v>41</v>
      </c>
      <c r="D823" s="3">
        <v>10</v>
      </c>
      <c r="E823" s="3">
        <v>76.012</v>
      </c>
      <c r="F823" s="4" t="str">
        <f>HYPERLINK("http://141.218.60.56/~jnz1568/getInfo.php?workbook=12_04.xlsx&amp;sheet=A0&amp;row=823&amp;col=6&amp;number=3650&amp;sourceID=14","3650")</f>
        <v>3650</v>
      </c>
      <c r="G823" s="4" t="str">
        <f>HYPERLINK("http://141.218.60.56/~jnz1568/getInfo.php?workbook=12_04.xlsx&amp;sheet=A0&amp;row=823&amp;col=7&amp;number=0&amp;sourceID=14","0")</f>
        <v>0</v>
      </c>
    </row>
    <row r="824" spans="1:7">
      <c r="A824" s="3">
        <v>12</v>
      </c>
      <c r="B824" s="3">
        <v>4</v>
      </c>
      <c r="C824" s="3">
        <v>42</v>
      </c>
      <c r="D824" s="3">
        <v>10</v>
      </c>
      <c r="E824" s="3">
        <v>75.955</v>
      </c>
      <c r="F824" s="4" t="str">
        <f>HYPERLINK("http://141.218.60.56/~jnz1568/getInfo.php?workbook=12_04.xlsx&amp;sheet=A0&amp;row=824&amp;col=6&amp;number=218000000&amp;sourceID=14","218000000")</f>
        <v>218000000</v>
      </c>
      <c r="G824" s="4" t="str">
        <f>HYPERLINK("http://141.218.60.56/~jnz1568/getInfo.php?workbook=12_04.xlsx&amp;sheet=A0&amp;row=824&amp;col=7&amp;number=0&amp;sourceID=14","0")</f>
        <v>0</v>
      </c>
    </row>
    <row r="825" spans="1:7">
      <c r="A825" s="3">
        <v>12</v>
      </c>
      <c r="B825" s="3">
        <v>4</v>
      </c>
      <c r="C825" s="3">
        <v>45</v>
      </c>
      <c r="D825" s="3">
        <v>10</v>
      </c>
      <c r="E825" s="3">
        <v>74.903</v>
      </c>
      <c r="F825" s="4" t="str">
        <f>HYPERLINK("http://141.218.60.56/~jnz1568/getInfo.php?workbook=12_04.xlsx&amp;sheet=A0&amp;row=825&amp;col=6&amp;number=519&amp;sourceID=14","519")</f>
        <v>519</v>
      </c>
      <c r="G825" s="4" t="str">
        <f>HYPERLINK("http://141.218.60.56/~jnz1568/getInfo.php?workbook=12_04.xlsx&amp;sheet=A0&amp;row=825&amp;col=7&amp;number=0&amp;sourceID=14","0")</f>
        <v>0</v>
      </c>
    </row>
    <row r="826" spans="1:7">
      <c r="A826" s="3">
        <v>12</v>
      </c>
      <c r="B826" s="3">
        <v>4</v>
      </c>
      <c r="C826" s="3">
        <v>46</v>
      </c>
      <c r="D826" s="3">
        <v>10</v>
      </c>
      <c r="E826" s="3">
        <v>74.52</v>
      </c>
      <c r="F826" s="4" t="str">
        <f>HYPERLINK("http://141.218.60.56/~jnz1568/getInfo.php?workbook=12_04.xlsx&amp;sheet=A0&amp;row=826&amp;col=6&amp;number=519000000000&amp;sourceID=14","519000000000")</f>
        <v>519000000000</v>
      </c>
      <c r="G826" s="4" t="str">
        <f>HYPERLINK("http://141.218.60.56/~jnz1568/getInfo.php?workbook=12_04.xlsx&amp;sheet=A0&amp;row=826&amp;col=7&amp;number=0&amp;sourceID=14","0")</f>
        <v>0</v>
      </c>
    </row>
    <row r="827" spans="1:7">
      <c r="A827" s="3">
        <v>12</v>
      </c>
      <c r="B827" s="3">
        <v>4</v>
      </c>
      <c r="C827" s="3">
        <v>47</v>
      </c>
      <c r="D827" s="3">
        <v>10</v>
      </c>
      <c r="E827" s="3">
        <v>-65.537</v>
      </c>
      <c r="F827" s="4" t="str">
        <f>HYPERLINK("http://141.218.60.56/~jnz1568/getInfo.php?workbook=12_04.xlsx&amp;sheet=A0&amp;row=827&amp;col=6&amp;number=0.245&amp;sourceID=14","0.245")</f>
        <v>0.245</v>
      </c>
      <c r="G827" s="4" t="str">
        <f>HYPERLINK("http://141.218.60.56/~jnz1568/getInfo.php?workbook=12_04.xlsx&amp;sheet=A0&amp;row=827&amp;col=7&amp;number=0&amp;sourceID=14","0")</f>
        <v>0</v>
      </c>
    </row>
    <row r="828" spans="1:7">
      <c r="A828" s="3">
        <v>12</v>
      </c>
      <c r="B828" s="3">
        <v>4</v>
      </c>
      <c r="C828" s="3">
        <v>50</v>
      </c>
      <c r="D828" s="3">
        <v>10</v>
      </c>
      <c r="E828" s="3">
        <v>-64.493</v>
      </c>
      <c r="F828" s="4" t="str">
        <f>HYPERLINK("http://141.218.60.56/~jnz1568/getInfo.php?workbook=12_04.xlsx&amp;sheet=A0&amp;row=828&amp;col=6&amp;number=33700000&amp;sourceID=14","33700000")</f>
        <v>33700000</v>
      </c>
      <c r="G828" s="4" t="str">
        <f>HYPERLINK("http://141.218.60.56/~jnz1568/getInfo.php?workbook=12_04.xlsx&amp;sheet=A0&amp;row=828&amp;col=7&amp;number=0&amp;sourceID=14","0")</f>
        <v>0</v>
      </c>
    </row>
    <row r="829" spans="1:7">
      <c r="A829" s="3">
        <v>12</v>
      </c>
      <c r="B829" s="3">
        <v>4</v>
      </c>
      <c r="C829" s="3">
        <v>51</v>
      </c>
      <c r="D829" s="3">
        <v>10</v>
      </c>
      <c r="E829" s="3">
        <v>-64.482</v>
      </c>
      <c r="F829" s="4" t="str">
        <f>HYPERLINK("http://141.218.60.56/~jnz1568/getInfo.php?workbook=12_04.xlsx&amp;sheet=A0&amp;row=829&amp;col=6&amp;number=75.8&amp;sourceID=14","75.8")</f>
        <v>75.8</v>
      </c>
      <c r="G829" s="4" t="str">
        <f>HYPERLINK("http://141.218.60.56/~jnz1568/getInfo.php?workbook=12_04.xlsx&amp;sheet=A0&amp;row=829&amp;col=7&amp;number=0&amp;sourceID=14","0")</f>
        <v>0</v>
      </c>
    </row>
    <row r="830" spans="1:7">
      <c r="A830" s="3">
        <v>12</v>
      </c>
      <c r="B830" s="3">
        <v>4</v>
      </c>
      <c r="C830" s="3">
        <v>52</v>
      </c>
      <c r="D830" s="3">
        <v>10</v>
      </c>
      <c r="E830" s="3">
        <v>63.733</v>
      </c>
      <c r="F830" s="4" t="str">
        <f>HYPERLINK("http://141.218.60.56/~jnz1568/getInfo.php?workbook=12_04.xlsx&amp;sheet=A0&amp;row=830&amp;col=6&amp;number=11300000000&amp;sourceID=14","11300000000")</f>
        <v>11300000000</v>
      </c>
      <c r="G830" s="4" t="str">
        <f>HYPERLINK("http://141.218.60.56/~jnz1568/getInfo.php?workbook=12_04.xlsx&amp;sheet=A0&amp;row=830&amp;col=7&amp;number=0&amp;sourceID=14","0")</f>
        <v>0</v>
      </c>
    </row>
    <row r="831" spans="1:7">
      <c r="A831" s="3">
        <v>12</v>
      </c>
      <c r="B831" s="3">
        <v>4</v>
      </c>
      <c r="C831" s="3">
        <v>53</v>
      </c>
      <c r="D831" s="3">
        <v>10</v>
      </c>
      <c r="E831" s="3">
        <v>63.278</v>
      </c>
      <c r="F831" s="4" t="str">
        <f>HYPERLINK("http://141.218.60.56/~jnz1568/getInfo.php?workbook=12_04.xlsx&amp;sheet=A0&amp;row=831&amp;col=6&amp;number=0.0355&amp;sourceID=14","0.0355")</f>
        <v>0.0355</v>
      </c>
      <c r="G831" s="4" t="str">
        <f>HYPERLINK("http://141.218.60.56/~jnz1568/getInfo.php?workbook=12_04.xlsx&amp;sheet=A0&amp;row=831&amp;col=7&amp;number=0&amp;sourceID=14","0")</f>
        <v>0</v>
      </c>
    </row>
    <row r="832" spans="1:7">
      <c r="A832" s="3">
        <v>12</v>
      </c>
      <c r="B832" s="3">
        <v>4</v>
      </c>
      <c r="C832" s="3">
        <v>54</v>
      </c>
      <c r="D832" s="3">
        <v>10</v>
      </c>
      <c r="E832" s="3">
        <v>63.278</v>
      </c>
      <c r="F832" s="4" t="str">
        <f>HYPERLINK("http://141.218.60.56/~jnz1568/getInfo.php?workbook=12_04.xlsx&amp;sheet=A0&amp;row=832&amp;col=6&amp;number=9.56&amp;sourceID=14","9.56")</f>
        <v>9.56</v>
      </c>
      <c r="G832" s="4" t="str">
        <f>HYPERLINK("http://141.218.60.56/~jnz1568/getInfo.php?workbook=12_04.xlsx&amp;sheet=A0&amp;row=832&amp;col=7&amp;number=0&amp;sourceID=14","0")</f>
        <v>0</v>
      </c>
    </row>
    <row r="833" spans="1:7">
      <c r="A833" s="3">
        <v>12</v>
      </c>
      <c r="B833" s="3">
        <v>4</v>
      </c>
      <c r="C833" s="3">
        <v>55</v>
      </c>
      <c r="D833" s="3">
        <v>10</v>
      </c>
      <c r="E833" s="3">
        <v>63.275</v>
      </c>
      <c r="F833" s="4" t="str">
        <f>HYPERLINK("http://141.218.60.56/~jnz1568/getInfo.php?workbook=12_04.xlsx&amp;sheet=A0&amp;row=833&amp;col=6&amp;number=0.00912&amp;sourceID=14","0.00912")</f>
        <v>0.00912</v>
      </c>
      <c r="G833" s="4" t="str">
        <f>HYPERLINK("http://141.218.60.56/~jnz1568/getInfo.php?workbook=12_04.xlsx&amp;sheet=A0&amp;row=833&amp;col=7&amp;number=0&amp;sourceID=14","0")</f>
        <v>0</v>
      </c>
    </row>
    <row r="834" spans="1:7">
      <c r="A834" s="3">
        <v>12</v>
      </c>
      <c r="B834" s="3">
        <v>4</v>
      </c>
      <c r="C834" s="3">
        <v>56</v>
      </c>
      <c r="D834" s="3">
        <v>10</v>
      </c>
      <c r="E834" s="3">
        <v>62.962</v>
      </c>
      <c r="F834" s="4" t="str">
        <f>HYPERLINK("http://141.218.60.56/~jnz1568/getInfo.php?workbook=12_04.xlsx&amp;sheet=A0&amp;row=834&amp;col=6&amp;number=866000&amp;sourceID=14","866000")</f>
        <v>866000</v>
      </c>
      <c r="G834" s="4" t="str">
        <f>HYPERLINK("http://141.218.60.56/~jnz1568/getInfo.php?workbook=12_04.xlsx&amp;sheet=A0&amp;row=834&amp;col=7&amp;number=0&amp;sourceID=14","0")</f>
        <v>0</v>
      </c>
    </row>
    <row r="835" spans="1:7">
      <c r="A835" s="3">
        <v>12</v>
      </c>
      <c r="B835" s="3">
        <v>4</v>
      </c>
      <c r="C835" s="3">
        <v>57</v>
      </c>
      <c r="D835" s="3">
        <v>10</v>
      </c>
      <c r="E835" s="3">
        <v>-63.553</v>
      </c>
      <c r="F835" s="4" t="str">
        <f>HYPERLINK("http://141.218.60.56/~jnz1568/getInfo.php?workbook=12_04.xlsx&amp;sheet=A0&amp;row=835&amp;col=6&amp;number=0.00568&amp;sourceID=14","0.00568")</f>
        <v>0.00568</v>
      </c>
      <c r="G835" s="4" t="str">
        <f>HYPERLINK("http://141.218.60.56/~jnz1568/getInfo.php?workbook=12_04.xlsx&amp;sheet=A0&amp;row=835&amp;col=7&amp;number=0&amp;sourceID=14","0")</f>
        <v>0</v>
      </c>
    </row>
    <row r="836" spans="1:7">
      <c r="A836" s="3">
        <v>12</v>
      </c>
      <c r="B836" s="3">
        <v>4</v>
      </c>
      <c r="C836" s="3">
        <v>58</v>
      </c>
      <c r="D836" s="3">
        <v>10</v>
      </c>
      <c r="E836" s="3">
        <v>-63.552</v>
      </c>
      <c r="F836" s="4" t="str">
        <f>HYPERLINK("http://141.218.60.56/~jnz1568/getInfo.php?workbook=12_04.xlsx&amp;sheet=A0&amp;row=836&amp;col=6&amp;number=0.0393&amp;sourceID=14","0.0393")</f>
        <v>0.0393</v>
      </c>
      <c r="G836" s="4" t="str">
        <f>HYPERLINK("http://141.218.60.56/~jnz1568/getInfo.php?workbook=12_04.xlsx&amp;sheet=A0&amp;row=836&amp;col=7&amp;number=0&amp;sourceID=14","0")</f>
        <v>0</v>
      </c>
    </row>
    <row r="837" spans="1:7">
      <c r="A837" s="3">
        <v>12</v>
      </c>
      <c r="B837" s="3">
        <v>4</v>
      </c>
      <c r="C837" s="3">
        <v>59</v>
      </c>
      <c r="D837" s="3">
        <v>10</v>
      </c>
      <c r="E837" s="3">
        <v>-63.55</v>
      </c>
      <c r="F837" s="4" t="str">
        <f>HYPERLINK("http://141.218.60.56/~jnz1568/getInfo.php?workbook=12_04.xlsx&amp;sheet=A0&amp;row=837&amp;col=6&amp;number=3.31e-06&amp;sourceID=14","3.31e-06")</f>
        <v>3.31e-06</v>
      </c>
      <c r="G837" s="4" t="str">
        <f>HYPERLINK("http://141.218.60.56/~jnz1568/getInfo.php?workbook=12_04.xlsx&amp;sheet=A0&amp;row=837&amp;col=7&amp;number=0&amp;sourceID=14","0")</f>
        <v>0</v>
      </c>
    </row>
    <row r="838" spans="1:7">
      <c r="A838" s="3">
        <v>12</v>
      </c>
      <c r="B838" s="3">
        <v>4</v>
      </c>
      <c r="C838" s="3">
        <v>60</v>
      </c>
      <c r="D838" s="3">
        <v>10</v>
      </c>
      <c r="E838" s="3">
        <v>-63.449</v>
      </c>
      <c r="F838" s="4" t="str">
        <f>HYPERLINK("http://141.218.60.56/~jnz1568/getInfo.php?workbook=12_04.xlsx&amp;sheet=A0&amp;row=838&amp;col=6&amp;number=247&amp;sourceID=14","247")</f>
        <v>247</v>
      </c>
      <c r="G838" s="4" t="str">
        <f>HYPERLINK("http://141.218.60.56/~jnz1568/getInfo.php?workbook=12_04.xlsx&amp;sheet=A0&amp;row=838&amp;col=7&amp;number=0&amp;sourceID=14","0")</f>
        <v>0</v>
      </c>
    </row>
    <row r="839" spans="1:7">
      <c r="A839" s="3">
        <v>12</v>
      </c>
      <c r="B839" s="3">
        <v>4</v>
      </c>
      <c r="C839" s="3">
        <v>62</v>
      </c>
      <c r="D839" s="3">
        <v>10</v>
      </c>
      <c r="E839" s="3">
        <v>-59.077</v>
      </c>
      <c r="F839" s="4" t="str">
        <f>HYPERLINK("http://141.218.60.56/~jnz1568/getInfo.php?workbook=12_04.xlsx&amp;sheet=A0&amp;row=839&amp;col=6&amp;number=670000000&amp;sourceID=14","670000000")</f>
        <v>670000000</v>
      </c>
      <c r="G839" s="4" t="str">
        <f>HYPERLINK("http://141.218.60.56/~jnz1568/getInfo.php?workbook=12_04.xlsx&amp;sheet=A0&amp;row=839&amp;col=7&amp;number=0&amp;sourceID=14","0")</f>
        <v>0</v>
      </c>
    </row>
    <row r="840" spans="1:7">
      <c r="A840" s="3">
        <v>12</v>
      </c>
      <c r="B840" s="3">
        <v>4</v>
      </c>
      <c r="C840" s="3">
        <v>63</v>
      </c>
      <c r="D840" s="3">
        <v>10</v>
      </c>
      <c r="E840" s="3">
        <v>-58.973</v>
      </c>
      <c r="F840" s="4" t="str">
        <f>HYPERLINK("http://141.218.60.56/~jnz1568/getInfo.php?workbook=12_04.xlsx&amp;sheet=A0&amp;row=840&amp;col=6&amp;number=67.4&amp;sourceID=14","67.4")</f>
        <v>67.4</v>
      </c>
      <c r="G840" s="4" t="str">
        <f>HYPERLINK("http://141.218.60.56/~jnz1568/getInfo.php?workbook=12_04.xlsx&amp;sheet=A0&amp;row=840&amp;col=7&amp;number=0&amp;sourceID=14","0")</f>
        <v>0</v>
      </c>
    </row>
    <row r="841" spans="1:7">
      <c r="A841" s="3">
        <v>12</v>
      </c>
      <c r="B841" s="3">
        <v>4</v>
      </c>
      <c r="C841" s="3">
        <v>64</v>
      </c>
      <c r="D841" s="3">
        <v>10</v>
      </c>
      <c r="E841" s="3">
        <v>-58.757</v>
      </c>
      <c r="F841" s="4" t="str">
        <f>HYPERLINK("http://141.218.60.56/~jnz1568/getInfo.php?workbook=12_04.xlsx&amp;sheet=A0&amp;row=841&amp;col=6&amp;number=19400000000&amp;sourceID=14","19400000000")</f>
        <v>19400000000</v>
      </c>
      <c r="G841" s="4" t="str">
        <f>HYPERLINK("http://141.218.60.56/~jnz1568/getInfo.php?workbook=12_04.xlsx&amp;sheet=A0&amp;row=841&amp;col=7&amp;number=0&amp;sourceID=14","0")</f>
        <v>0</v>
      </c>
    </row>
    <row r="842" spans="1:7">
      <c r="A842" s="3">
        <v>12</v>
      </c>
      <c r="B842" s="3">
        <v>4</v>
      </c>
      <c r="C842" s="3">
        <v>65</v>
      </c>
      <c r="D842" s="3">
        <v>10</v>
      </c>
      <c r="E842" s="3">
        <v>-58.498</v>
      </c>
      <c r="F842" s="4" t="str">
        <f>HYPERLINK("http://141.218.60.56/~jnz1568/getInfo.php?workbook=12_04.xlsx&amp;sheet=A0&amp;row=842&amp;col=6&amp;number=2.78&amp;sourceID=14","2.78")</f>
        <v>2.78</v>
      </c>
      <c r="G842" s="4" t="str">
        <f>HYPERLINK("http://141.218.60.56/~jnz1568/getInfo.php?workbook=12_04.xlsx&amp;sheet=A0&amp;row=842&amp;col=7&amp;number=0&amp;sourceID=14","0")</f>
        <v>0</v>
      </c>
    </row>
    <row r="843" spans="1:7">
      <c r="A843" s="3">
        <v>12</v>
      </c>
      <c r="B843" s="3">
        <v>4</v>
      </c>
      <c r="C843" s="3">
        <v>66</v>
      </c>
      <c r="D843" s="3">
        <v>10</v>
      </c>
      <c r="E843" s="3">
        <v>-58.411</v>
      </c>
      <c r="F843" s="4" t="str">
        <f>HYPERLINK("http://141.218.60.56/~jnz1568/getInfo.php?workbook=12_04.xlsx&amp;sheet=A0&amp;row=843&amp;col=6&amp;number=1.75&amp;sourceID=14","1.75")</f>
        <v>1.75</v>
      </c>
      <c r="G843" s="4" t="str">
        <f>HYPERLINK("http://141.218.60.56/~jnz1568/getInfo.php?workbook=12_04.xlsx&amp;sheet=A0&amp;row=843&amp;col=7&amp;number=0&amp;sourceID=14","0")</f>
        <v>0</v>
      </c>
    </row>
    <row r="844" spans="1:7">
      <c r="A844" s="3">
        <v>12</v>
      </c>
      <c r="B844" s="3">
        <v>4</v>
      </c>
      <c r="C844" s="3">
        <v>67</v>
      </c>
      <c r="D844" s="3">
        <v>10</v>
      </c>
      <c r="E844" s="3">
        <v>-58.396</v>
      </c>
      <c r="F844" s="4" t="str">
        <f>HYPERLINK("http://141.218.60.56/~jnz1568/getInfo.php?workbook=12_04.xlsx&amp;sheet=A0&amp;row=844&amp;col=6&amp;number=28200&amp;sourceID=14","28200")</f>
        <v>28200</v>
      </c>
      <c r="G844" s="4" t="str">
        <f>HYPERLINK("http://141.218.60.56/~jnz1568/getInfo.php?workbook=12_04.xlsx&amp;sheet=A0&amp;row=844&amp;col=7&amp;number=0&amp;sourceID=14","0")</f>
        <v>0</v>
      </c>
    </row>
    <row r="845" spans="1:7">
      <c r="A845" s="3">
        <v>12</v>
      </c>
      <c r="B845" s="3">
        <v>4</v>
      </c>
      <c r="C845" s="3">
        <v>68</v>
      </c>
      <c r="D845" s="3">
        <v>10</v>
      </c>
      <c r="E845" s="3">
        <v>57.8</v>
      </c>
      <c r="F845" s="4" t="str">
        <f>HYPERLINK("http://141.218.60.56/~jnz1568/getInfo.php?workbook=12_04.xlsx&amp;sheet=A0&amp;row=845&amp;col=6&amp;number=0.0751&amp;sourceID=14","0.0751")</f>
        <v>0.0751</v>
      </c>
      <c r="G845" s="4" t="str">
        <f>HYPERLINK("http://141.218.60.56/~jnz1568/getInfo.php?workbook=12_04.xlsx&amp;sheet=A0&amp;row=845&amp;col=7&amp;number=0&amp;sourceID=14","0")</f>
        <v>0</v>
      </c>
    </row>
    <row r="846" spans="1:7">
      <c r="A846" s="3">
        <v>12</v>
      </c>
      <c r="B846" s="3">
        <v>4</v>
      </c>
      <c r="C846" s="3">
        <v>69</v>
      </c>
      <c r="D846" s="3">
        <v>10</v>
      </c>
      <c r="E846" s="3">
        <v>-58.214</v>
      </c>
      <c r="F846" s="4" t="str">
        <f>HYPERLINK("http://141.218.60.56/~jnz1568/getInfo.php?workbook=12_04.xlsx&amp;sheet=A0&amp;row=846&amp;col=6&amp;number=0.0235&amp;sourceID=14","0.0235")</f>
        <v>0.0235</v>
      </c>
      <c r="G846" s="4" t="str">
        <f>HYPERLINK("http://141.218.60.56/~jnz1568/getInfo.php?workbook=12_04.xlsx&amp;sheet=A0&amp;row=846&amp;col=7&amp;number=0&amp;sourceID=14","0")</f>
        <v>0</v>
      </c>
    </row>
    <row r="847" spans="1:7">
      <c r="A847" s="3">
        <v>12</v>
      </c>
      <c r="B847" s="3">
        <v>4</v>
      </c>
      <c r="C847" s="3">
        <v>71</v>
      </c>
      <c r="D847" s="3">
        <v>10</v>
      </c>
      <c r="E847" s="3">
        <v>-58.127</v>
      </c>
      <c r="F847" s="4" t="str">
        <f>HYPERLINK("http://141.218.60.56/~jnz1568/getInfo.php?workbook=12_04.xlsx&amp;sheet=A0&amp;row=847&amp;col=6&amp;number=20.1&amp;sourceID=14","20.1")</f>
        <v>20.1</v>
      </c>
      <c r="G847" s="4" t="str">
        <f>HYPERLINK("http://141.218.60.56/~jnz1568/getInfo.php?workbook=12_04.xlsx&amp;sheet=A0&amp;row=847&amp;col=7&amp;number=0&amp;sourceID=14","0")</f>
        <v>0</v>
      </c>
    </row>
    <row r="848" spans="1:7">
      <c r="A848" s="3">
        <v>12</v>
      </c>
      <c r="B848" s="3">
        <v>4</v>
      </c>
      <c r="C848" s="3">
        <v>72</v>
      </c>
      <c r="D848" s="3">
        <v>10</v>
      </c>
      <c r="E848" s="3">
        <v>57.613</v>
      </c>
      <c r="F848" s="4" t="str">
        <f>HYPERLINK("http://141.218.60.56/~jnz1568/getInfo.php?workbook=12_04.xlsx&amp;sheet=A0&amp;row=848&amp;col=6&amp;number=50200&amp;sourceID=14","50200")</f>
        <v>50200</v>
      </c>
      <c r="G848" s="4" t="str">
        <f>HYPERLINK("http://141.218.60.56/~jnz1568/getInfo.php?workbook=12_04.xlsx&amp;sheet=A0&amp;row=848&amp;col=7&amp;number=0&amp;sourceID=14","0")</f>
        <v>0</v>
      </c>
    </row>
    <row r="849" spans="1:7">
      <c r="A849" s="3">
        <v>12</v>
      </c>
      <c r="B849" s="3">
        <v>4</v>
      </c>
      <c r="C849" s="3">
        <v>73</v>
      </c>
      <c r="D849" s="3">
        <v>10</v>
      </c>
      <c r="E849" s="3">
        <v>-58.009</v>
      </c>
      <c r="F849" s="4" t="str">
        <f>HYPERLINK("http://141.218.60.56/~jnz1568/getInfo.php?workbook=12_04.xlsx&amp;sheet=A0&amp;row=849&amp;col=6&amp;number=143&amp;sourceID=14","143")</f>
        <v>143</v>
      </c>
      <c r="G849" s="4" t="str">
        <f>HYPERLINK("http://141.218.60.56/~jnz1568/getInfo.php?workbook=12_04.xlsx&amp;sheet=A0&amp;row=849&amp;col=7&amp;number=0&amp;sourceID=14","0")</f>
        <v>0</v>
      </c>
    </row>
    <row r="850" spans="1:7">
      <c r="A850" s="3">
        <v>12</v>
      </c>
      <c r="B850" s="3">
        <v>4</v>
      </c>
      <c r="C850" s="3">
        <v>74</v>
      </c>
      <c r="D850" s="3">
        <v>10</v>
      </c>
      <c r="E850" s="3">
        <v>-57.945</v>
      </c>
      <c r="F850" s="4" t="str">
        <f>HYPERLINK("http://141.218.60.56/~jnz1568/getInfo.php?workbook=12_04.xlsx&amp;sheet=A0&amp;row=850&amp;col=6&amp;number=1.91&amp;sourceID=14","1.91")</f>
        <v>1.91</v>
      </c>
      <c r="G850" s="4" t="str">
        <f>HYPERLINK("http://141.218.60.56/~jnz1568/getInfo.php?workbook=12_04.xlsx&amp;sheet=A0&amp;row=850&amp;col=7&amp;number=0&amp;sourceID=14","0")</f>
        <v>0</v>
      </c>
    </row>
    <row r="851" spans="1:7">
      <c r="A851" s="3">
        <v>12</v>
      </c>
      <c r="B851" s="3">
        <v>4</v>
      </c>
      <c r="C851" s="3">
        <v>75</v>
      </c>
      <c r="D851" s="3">
        <v>10</v>
      </c>
      <c r="E851" s="3">
        <v>57.419</v>
      </c>
      <c r="F851" s="4" t="str">
        <f>HYPERLINK("http://141.218.60.56/~jnz1568/getInfo.php?workbook=12_04.xlsx&amp;sheet=A0&amp;row=851&amp;col=6&amp;number=211&amp;sourceID=14","211")</f>
        <v>211</v>
      </c>
      <c r="G851" s="4" t="str">
        <f>HYPERLINK("http://141.218.60.56/~jnz1568/getInfo.php?workbook=12_04.xlsx&amp;sheet=A0&amp;row=851&amp;col=7&amp;number=0&amp;sourceID=14","0")</f>
        <v>0</v>
      </c>
    </row>
    <row r="852" spans="1:7">
      <c r="A852" s="3">
        <v>12</v>
      </c>
      <c r="B852" s="3">
        <v>4</v>
      </c>
      <c r="C852" s="3">
        <v>76</v>
      </c>
      <c r="D852" s="3">
        <v>10</v>
      </c>
      <c r="E852" s="3">
        <v>57.424</v>
      </c>
      <c r="F852" s="4" t="str">
        <f>HYPERLINK("http://141.218.60.56/~jnz1568/getInfo.php?workbook=12_04.xlsx&amp;sheet=A0&amp;row=852&amp;col=6&amp;number=3030000&amp;sourceID=14","3030000")</f>
        <v>3030000</v>
      </c>
      <c r="G852" s="4" t="str">
        <f>HYPERLINK("http://141.218.60.56/~jnz1568/getInfo.php?workbook=12_04.xlsx&amp;sheet=A0&amp;row=852&amp;col=7&amp;number=0&amp;sourceID=14","0")</f>
        <v>0</v>
      </c>
    </row>
    <row r="853" spans="1:7">
      <c r="A853" s="3">
        <v>12</v>
      </c>
      <c r="B853" s="3">
        <v>4</v>
      </c>
      <c r="C853" s="3">
        <v>77</v>
      </c>
      <c r="D853" s="3">
        <v>10</v>
      </c>
      <c r="E853" s="3">
        <v>-57.872</v>
      </c>
      <c r="F853" s="4" t="str">
        <f>HYPERLINK("http://141.218.60.56/~jnz1568/getInfo.php?workbook=12_04.xlsx&amp;sheet=A0&amp;row=853&amp;col=6&amp;number=7.21e-06&amp;sourceID=14","7.21e-06")</f>
        <v>7.21e-06</v>
      </c>
      <c r="G853" s="4" t="str">
        <f>HYPERLINK("http://141.218.60.56/~jnz1568/getInfo.php?workbook=12_04.xlsx&amp;sheet=A0&amp;row=853&amp;col=7&amp;number=0&amp;sourceID=14","0")</f>
        <v>0</v>
      </c>
    </row>
    <row r="854" spans="1:7">
      <c r="A854" s="3">
        <v>12</v>
      </c>
      <c r="B854" s="3">
        <v>4</v>
      </c>
      <c r="C854" s="3">
        <v>78</v>
      </c>
      <c r="D854" s="3">
        <v>10</v>
      </c>
      <c r="E854" s="3">
        <v>-57.772</v>
      </c>
      <c r="F854" s="4" t="str">
        <f>HYPERLINK("http://141.218.60.56/~jnz1568/getInfo.php?workbook=12_04.xlsx&amp;sheet=A0&amp;row=854&amp;col=6&amp;number=2170000000&amp;sourceID=14","2170000000")</f>
        <v>2170000000</v>
      </c>
      <c r="G854" s="4" t="str">
        <f>HYPERLINK("http://141.218.60.56/~jnz1568/getInfo.php?workbook=12_04.xlsx&amp;sheet=A0&amp;row=854&amp;col=7&amp;number=0&amp;sourceID=14","0")</f>
        <v>0</v>
      </c>
    </row>
    <row r="855" spans="1:7">
      <c r="A855" s="3">
        <v>12</v>
      </c>
      <c r="B855" s="3">
        <v>4</v>
      </c>
      <c r="C855" s="3">
        <v>79</v>
      </c>
      <c r="D855" s="3">
        <v>10</v>
      </c>
      <c r="E855" s="3">
        <v>-57.751</v>
      </c>
      <c r="F855" s="4" t="str">
        <f>HYPERLINK("http://141.218.60.56/~jnz1568/getInfo.php?workbook=12_04.xlsx&amp;sheet=A0&amp;row=855&amp;col=6&amp;number=677&amp;sourceID=14","677")</f>
        <v>677</v>
      </c>
      <c r="G855" s="4" t="str">
        <f>HYPERLINK("http://141.218.60.56/~jnz1568/getInfo.php?workbook=12_04.xlsx&amp;sheet=A0&amp;row=855&amp;col=7&amp;number=0&amp;sourceID=14","0")</f>
        <v>0</v>
      </c>
    </row>
    <row r="856" spans="1:7">
      <c r="A856" s="3">
        <v>12</v>
      </c>
      <c r="B856" s="3">
        <v>4</v>
      </c>
      <c r="C856" s="3">
        <v>80</v>
      </c>
      <c r="D856" s="3">
        <v>10</v>
      </c>
      <c r="E856" s="3">
        <v>-57.71</v>
      </c>
      <c r="F856" s="4" t="str">
        <f>HYPERLINK("http://141.218.60.56/~jnz1568/getInfo.php?workbook=12_04.xlsx&amp;sheet=A0&amp;row=856&amp;col=6&amp;number=0.0142&amp;sourceID=14","0.0142")</f>
        <v>0.0142</v>
      </c>
      <c r="G856" s="4" t="str">
        <f>HYPERLINK("http://141.218.60.56/~jnz1568/getInfo.php?workbook=12_04.xlsx&amp;sheet=A0&amp;row=856&amp;col=7&amp;number=0&amp;sourceID=14","0")</f>
        <v>0</v>
      </c>
    </row>
    <row r="857" spans="1:7">
      <c r="A857" s="3">
        <v>12</v>
      </c>
      <c r="B857" s="3">
        <v>4</v>
      </c>
      <c r="C857" s="3">
        <v>81</v>
      </c>
      <c r="D857" s="3">
        <v>10</v>
      </c>
      <c r="E857" s="3">
        <v>57.188</v>
      </c>
      <c r="F857" s="4" t="str">
        <f>HYPERLINK("http://141.218.60.56/~jnz1568/getInfo.php?workbook=12_04.xlsx&amp;sheet=A0&amp;row=857&amp;col=6&amp;number=1.58&amp;sourceID=14","1.58")</f>
        <v>1.58</v>
      </c>
      <c r="G857" s="4" t="str">
        <f>HYPERLINK("http://141.218.60.56/~jnz1568/getInfo.php?workbook=12_04.xlsx&amp;sheet=A0&amp;row=857&amp;col=7&amp;number=0&amp;sourceID=14","0")</f>
        <v>0</v>
      </c>
    </row>
    <row r="858" spans="1:7">
      <c r="A858" s="3">
        <v>12</v>
      </c>
      <c r="B858" s="3">
        <v>4</v>
      </c>
      <c r="C858" s="3">
        <v>82</v>
      </c>
      <c r="D858" s="3">
        <v>10</v>
      </c>
      <c r="E858" s="3">
        <v>-57.698</v>
      </c>
      <c r="F858" s="4" t="str">
        <f>HYPERLINK("http://141.218.60.56/~jnz1568/getInfo.php?workbook=12_04.xlsx&amp;sheet=A0&amp;row=858&amp;col=6&amp;number=1000000&amp;sourceID=14","1000000")</f>
        <v>1000000</v>
      </c>
      <c r="G858" s="4" t="str">
        <f>HYPERLINK("http://141.218.60.56/~jnz1568/getInfo.php?workbook=12_04.xlsx&amp;sheet=A0&amp;row=858&amp;col=7&amp;number=0&amp;sourceID=14","0")</f>
        <v>0</v>
      </c>
    </row>
    <row r="859" spans="1:7">
      <c r="A859" s="3">
        <v>12</v>
      </c>
      <c r="B859" s="3">
        <v>4</v>
      </c>
      <c r="C859" s="3">
        <v>83</v>
      </c>
      <c r="D859" s="3">
        <v>10</v>
      </c>
      <c r="E859" s="3">
        <v>-57.698</v>
      </c>
      <c r="F859" s="4" t="str">
        <f>HYPERLINK("http://141.218.60.56/~jnz1568/getInfo.php?workbook=12_04.xlsx&amp;sheet=A0&amp;row=859&amp;col=6&amp;number=0.0267&amp;sourceID=14","0.0267")</f>
        <v>0.0267</v>
      </c>
      <c r="G859" s="4" t="str">
        <f>HYPERLINK("http://141.218.60.56/~jnz1568/getInfo.php?workbook=12_04.xlsx&amp;sheet=A0&amp;row=859&amp;col=7&amp;number=0&amp;sourceID=14","0")</f>
        <v>0</v>
      </c>
    </row>
    <row r="860" spans="1:7">
      <c r="A860" s="3">
        <v>12</v>
      </c>
      <c r="B860" s="3">
        <v>4</v>
      </c>
      <c r="C860" s="3">
        <v>84</v>
      </c>
      <c r="D860" s="3">
        <v>10</v>
      </c>
      <c r="E860" s="3">
        <v>-57.687</v>
      </c>
      <c r="F860" s="4" t="str">
        <f>HYPERLINK("http://141.218.60.56/~jnz1568/getInfo.php?workbook=12_04.xlsx&amp;sheet=A0&amp;row=860&amp;col=6&amp;number=0.00141&amp;sourceID=14","0.00141")</f>
        <v>0.00141</v>
      </c>
      <c r="G860" s="4" t="str">
        <f>HYPERLINK("http://141.218.60.56/~jnz1568/getInfo.php?workbook=12_04.xlsx&amp;sheet=A0&amp;row=860&amp;col=7&amp;number=0&amp;sourceID=14","0")</f>
        <v>0</v>
      </c>
    </row>
    <row r="861" spans="1:7">
      <c r="A861" s="3">
        <v>12</v>
      </c>
      <c r="B861" s="3">
        <v>4</v>
      </c>
      <c r="C861" s="3">
        <v>85</v>
      </c>
      <c r="D861" s="3">
        <v>10</v>
      </c>
      <c r="E861" s="3">
        <v>57.149</v>
      </c>
      <c r="F861" s="4" t="str">
        <f>HYPERLINK("http://141.218.60.56/~jnz1568/getInfo.php?workbook=12_04.xlsx&amp;sheet=A0&amp;row=861&amp;col=6&amp;number=2020&amp;sourceID=14","2020")</f>
        <v>2020</v>
      </c>
      <c r="G861" s="4" t="str">
        <f>HYPERLINK("http://141.218.60.56/~jnz1568/getInfo.php?workbook=12_04.xlsx&amp;sheet=A0&amp;row=861&amp;col=7&amp;number=0&amp;sourceID=14","0")</f>
        <v>0</v>
      </c>
    </row>
    <row r="862" spans="1:7">
      <c r="A862" s="3">
        <v>12</v>
      </c>
      <c r="B862" s="3">
        <v>4</v>
      </c>
      <c r="C862" s="3">
        <v>86</v>
      </c>
      <c r="D862" s="3">
        <v>10</v>
      </c>
      <c r="E862" s="3">
        <v>57.132</v>
      </c>
      <c r="F862" s="4" t="str">
        <f>HYPERLINK("http://141.218.60.56/~jnz1568/getInfo.php?workbook=12_04.xlsx&amp;sheet=A0&amp;row=862&amp;col=6&amp;number=400000000&amp;sourceID=14","400000000")</f>
        <v>400000000</v>
      </c>
      <c r="G862" s="4" t="str">
        <f>HYPERLINK("http://141.218.60.56/~jnz1568/getInfo.php?workbook=12_04.xlsx&amp;sheet=A0&amp;row=862&amp;col=7&amp;number=0&amp;sourceID=14","0")</f>
        <v>0</v>
      </c>
    </row>
    <row r="863" spans="1:7">
      <c r="A863" s="3">
        <v>12</v>
      </c>
      <c r="B863" s="3">
        <v>4</v>
      </c>
      <c r="C863" s="3">
        <v>88</v>
      </c>
      <c r="D863" s="3">
        <v>10</v>
      </c>
      <c r="E863" s="3">
        <v>-57.58</v>
      </c>
      <c r="F863" s="4" t="str">
        <f>HYPERLINK("http://141.218.60.56/~jnz1568/getInfo.php?workbook=12_04.xlsx&amp;sheet=A0&amp;row=863&amp;col=6&amp;number=0.0225&amp;sourceID=14","0.0225")</f>
        <v>0.0225</v>
      </c>
      <c r="G863" s="4" t="str">
        <f>HYPERLINK("http://141.218.60.56/~jnz1568/getInfo.php?workbook=12_04.xlsx&amp;sheet=A0&amp;row=863&amp;col=7&amp;number=0&amp;sourceID=14","0")</f>
        <v>0</v>
      </c>
    </row>
    <row r="864" spans="1:7">
      <c r="A864" s="3">
        <v>12</v>
      </c>
      <c r="B864" s="3">
        <v>4</v>
      </c>
      <c r="C864" s="3">
        <v>89</v>
      </c>
      <c r="D864" s="3">
        <v>10</v>
      </c>
      <c r="E864" s="3">
        <v>-57.565</v>
      </c>
      <c r="F864" s="4" t="str">
        <f>HYPERLINK("http://141.218.60.56/~jnz1568/getInfo.php?workbook=12_04.xlsx&amp;sheet=A0&amp;row=864&amp;col=6&amp;number=0.00141&amp;sourceID=14","0.00141")</f>
        <v>0.00141</v>
      </c>
      <c r="G864" s="4" t="str">
        <f>HYPERLINK("http://141.218.60.56/~jnz1568/getInfo.php?workbook=12_04.xlsx&amp;sheet=A0&amp;row=864&amp;col=7&amp;number=0&amp;sourceID=14","0")</f>
        <v>0</v>
      </c>
    </row>
    <row r="865" spans="1:7">
      <c r="A865" s="3">
        <v>12</v>
      </c>
      <c r="B865" s="3">
        <v>4</v>
      </c>
      <c r="C865" s="3">
        <v>90</v>
      </c>
      <c r="D865" s="3">
        <v>10</v>
      </c>
      <c r="E865" s="3">
        <v>-57.519</v>
      </c>
      <c r="F865" s="4" t="str">
        <f>HYPERLINK("http://141.218.60.56/~jnz1568/getInfo.php?workbook=12_04.xlsx&amp;sheet=A0&amp;row=865&amp;col=6&amp;number=2.53e-07&amp;sourceID=14","2.53e-07")</f>
        <v>2.53e-07</v>
      </c>
      <c r="G865" s="4" t="str">
        <f>HYPERLINK("http://141.218.60.56/~jnz1568/getInfo.php?workbook=12_04.xlsx&amp;sheet=A0&amp;row=865&amp;col=7&amp;number=0&amp;sourceID=14","0")</f>
        <v>0</v>
      </c>
    </row>
    <row r="866" spans="1:7">
      <c r="A866" s="3">
        <v>12</v>
      </c>
      <c r="B866" s="3">
        <v>4</v>
      </c>
      <c r="C866" s="3">
        <v>91</v>
      </c>
      <c r="D866" s="3">
        <v>10</v>
      </c>
      <c r="E866" s="3">
        <v>-57.479</v>
      </c>
      <c r="F866" s="4" t="str">
        <f>HYPERLINK("http://141.218.60.56/~jnz1568/getInfo.php?workbook=12_04.xlsx&amp;sheet=A0&amp;row=866&amp;col=6&amp;number=0.467&amp;sourceID=14","0.467")</f>
        <v>0.467</v>
      </c>
      <c r="G866" s="4" t="str">
        <f>HYPERLINK("http://141.218.60.56/~jnz1568/getInfo.php?workbook=12_04.xlsx&amp;sheet=A0&amp;row=866&amp;col=7&amp;number=0&amp;sourceID=14","0")</f>
        <v>0</v>
      </c>
    </row>
    <row r="867" spans="1:7">
      <c r="A867" s="3">
        <v>12</v>
      </c>
      <c r="B867" s="3">
        <v>4</v>
      </c>
      <c r="C867" s="3">
        <v>92</v>
      </c>
      <c r="D867" s="3">
        <v>10</v>
      </c>
      <c r="E867" s="3">
        <v>-57.469</v>
      </c>
      <c r="F867" s="4" t="str">
        <f>HYPERLINK("http://141.218.60.56/~jnz1568/getInfo.php?workbook=12_04.xlsx&amp;sheet=A0&amp;row=867&amp;col=6&amp;number=0.0159&amp;sourceID=14","0.0159")</f>
        <v>0.0159</v>
      </c>
      <c r="G867" s="4" t="str">
        <f>HYPERLINK("http://141.218.60.56/~jnz1568/getInfo.php?workbook=12_04.xlsx&amp;sheet=A0&amp;row=867&amp;col=7&amp;number=0&amp;sourceID=14","0")</f>
        <v>0</v>
      </c>
    </row>
    <row r="868" spans="1:7">
      <c r="A868" s="3">
        <v>12</v>
      </c>
      <c r="B868" s="3">
        <v>4</v>
      </c>
      <c r="C868" s="3">
        <v>93</v>
      </c>
      <c r="D868" s="3">
        <v>10</v>
      </c>
      <c r="E868" s="3">
        <v>-57.461</v>
      </c>
      <c r="F868" s="4" t="str">
        <f>HYPERLINK("http://141.218.60.56/~jnz1568/getInfo.php?workbook=12_04.xlsx&amp;sheet=A0&amp;row=868&amp;col=6&amp;number=4150000&amp;sourceID=14","4150000")</f>
        <v>4150000</v>
      </c>
      <c r="G868" s="4" t="str">
        <f>HYPERLINK("http://141.218.60.56/~jnz1568/getInfo.php?workbook=12_04.xlsx&amp;sheet=A0&amp;row=868&amp;col=7&amp;number=0&amp;sourceID=14","0")</f>
        <v>0</v>
      </c>
    </row>
    <row r="869" spans="1:7">
      <c r="A869" s="3">
        <v>12</v>
      </c>
      <c r="B869" s="3">
        <v>4</v>
      </c>
      <c r="C869" s="3">
        <v>94</v>
      </c>
      <c r="D869" s="3">
        <v>10</v>
      </c>
      <c r="E869" s="3">
        <v>-57.429</v>
      </c>
      <c r="F869" s="4" t="str">
        <f>HYPERLINK("http://141.218.60.56/~jnz1568/getInfo.php?workbook=12_04.xlsx&amp;sheet=A0&amp;row=869&amp;col=6&amp;number=0.226&amp;sourceID=14","0.226")</f>
        <v>0.226</v>
      </c>
      <c r="G869" s="4" t="str">
        <f>HYPERLINK("http://141.218.60.56/~jnz1568/getInfo.php?workbook=12_04.xlsx&amp;sheet=A0&amp;row=869&amp;col=7&amp;number=0&amp;sourceID=14","0")</f>
        <v>0</v>
      </c>
    </row>
    <row r="870" spans="1:7">
      <c r="A870" s="3">
        <v>12</v>
      </c>
      <c r="B870" s="3">
        <v>4</v>
      </c>
      <c r="C870" s="3">
        <v>96</v>
      </c>
      <c r="D870" s="3">
        <v>10</v>
      </c>
      <c r="E870" s="3">
        <v>-57.389</v>
      </c>
      <c r="F870" s="4" t="str">
        <f>HYPERLINK("http://141.218.60.56/~jnz1568/getInfo.php?workbook=12_04.xlsx&amp;sheet=A0&amp;row=870&amp;col=6&amp;number=24200000&amp;sourceID=14","24200000")</f>
        <v>24200000</v>
      </c>
      <c r="G870" s="4" t="str">
        <f>HYPERLINK("http://141.218.60.56/~jnz1568/getInfo.php?workbook=12_04.xlsx&amp;sheet=A0&amp;row=870&amp;col=7&amp;number=0&amp;sourceID=14","0")</f>
        <v>0</v>
      </c>
    </row>
    <row r="871" spans="1:7">
      <c r="A871" s="3">
        <v>12</v>
      </c>
      <c r="B871" s="3">
        <v>4</v>
      </c>
      <c r="C871" s="3">
        <v>97</v>
      </c>
      <c r="D871" s="3">
        <v>10</v>
      </c>
      <c r="E871" s="3">
        <v>56.917</v>
      </c>
      <c r="F871" s="4" t="str">
        <f>HYPERLINK("http://141.218.60.56/~jnz1568/getInfo.php?workbook=12_04.xlsx&amp;sheet=A0&amp;row=871&amp;col=6&amp;number=604&amp;sourceID=14","604")</f>
        <v>604</v>
      </c>
      <c r="G871" s="4" t="str">
        <f>HYPERLINK("http://141.218.60.56/~jnz1568/getInfo.php?workbook=12_04.xlsx&amp;sheet=A0&amp;row=871&amp;col=7&amp;number=0&amp;sourceID=14","0")</f>
        <v>0</v>
      </c>
    </row>
    <row r="872" spans="1:7">
      <c r="A872" s="3">
        <v>12</v>
      </c>
      <c r="B872" s="3">
        <v>4</v>
      </c>
      <c r="C872" s="3">
        <v>98</v>
      </c>
      <c r="D872" s="3">
        <v>10</v>
      </c>
      <c r="E872" s="3">
        <v>56.861</v>
      </c>
      <c r="F872" s="4" t="str">
        <f>HYPERLINK("http://141.218.60.56/~jnz1568/getInfo.php?workbook=12_04.xlsx&amp;sheet=A0&amp;row=872&amp;col=6&amp;number=217000000000&amp;sourceID=14","217000000000")</f>
        <v>217000000000</v>
      </c>
      <c r="G872" s="4" t="str">
        <f>HYPERLINK("http://141.218.60.56/~jnz1568/getInfo.php?workbook=12_04.xlsx&amp;sheet=A0&amp;row=872&amp;col=7&amp;number=0&amp;sourceID=14","0")</f>
        <v>0</v>
      </c>
    </row>
    <row r="873" spans="1:7">
      <c r="A873" s="3">
        <v>12</v>
      </c>
      <c r="B873" s="3">
        <v>4</v>
      </c>
      <c r="C873" s="3">
        <v>12</v>
      </c>
      <c r="D873" s="3">
        <v>11</v>
      </c>
      <c r="E873" s="3">
        <v>3901.685</v>
      </c>
      <c r="F873" s="4" t="str">
        <f>HYPERLINK("http://141.218.60.56/~jnz1568/getInfo.php?workbook=12_04.xlsx&amp;sheet=A0&amp;row=873&amp;col=6&amp;number=0.000137&amp;sourceID=14","0.000137")</f>
        <v>0.000137</v>
      </c>
      <c r="G873" s="4" t="str">
        <f>HYPERLINK("http://141.218.60.56/~jnz1568/getInfo.php?workbook=12_04.xlsx&amp;sheet=A0&amp;row=873&amp;col=7&amp;number=0&amp;sourceID=14","0")</f>
        <v>0</v>
      </c>
    </row>
    <row r="874" spans="1:7">
      <c r="A874" s="3">
        <v>12</v>
      </c>
      <c r="B874" s="3">
        <v>4</v>
      </c>
      <c r="C874" s="3">
        <v>13</v>
      </c>
      <c r="D874" s="3">
        <v>11</v>
      </c>
      <c r="E874" s="3">
        <v>1635.326</v>
      </c>
      <c r="F874" s="4" t="str">
        <f>HYPERLINK("http://141.218.60.56/~jnz1568/getInfo.php?workbook=12_04.xlsx&amp;sheet=A0&amp;row=874&amp;col=6&amp;number=5810000&amp;sourceID=14","5810000")</f>
        <v>5810000</v>
      </c>
      <c r="G874" s="4" t="str">
        <f>HYPERLINK("http://141.218.60.56/~jnz1568/getInfo.php?workbook=12_04.xlsx&amp;sheet=A0&amp;row=874&amp;col=7&amp;number=0&amp;sourceID=14","0")</f>
        <v>0</v>
      </c>
    </row>
    <row r="875" spans="1:7">
      <c r="A875" s="3">
        <v>12</v>
      </c>
      <c r="B875" s="3">
        <v>4</v>
      </c>
      <c r="C875" s="3">
        <v>14</v>
      </c>
      <c r="D875" s="3">
        <v>11</v>
      </c>
      <c r="E875" s="3">
        <v>1537.282</v>
      </c>
      <c r="F875" s="4" t="str">
        <f>HYPERLINK("http://141.218.60.56/~jnz1568/getInfo.php?workbook=12_04.xlsx&amp;sheet=A0&amp;row=875&amp;col=6&amp;number=287000000&amp;sourceID=14","287000000")</f>
        <v>287000000</v>
      </c>
      <c r="G875" s="4" t="str">
        <f>HYPERLINK("http://141.218.60.56/~jnz1568/getInfo.php?workbook=12_04.xlsx&amp;sheet=A0&amp;row=875&amp;col=7&amp;number=0&amp;sourceID=14","0")</f>
        <v>0</v>
      </c>
    </row>
    <row r="876" spans="1:7">
      <c r="A876" s="3">
        <v>12</v>
      </c>
      <c r="B876" s="3">
        <v>4</v>
      </c>
      <c r="C876" s="3">
        <v>15</v>
      </c>
      <c r="D876" s="3">
        <v>11</v>
      </c>
      <c r="E876" s="3">
        <v>1537.282</v>
      </c>
      <c r="F876" s="4" t="str">
        <f>HYPERLINK("http://141.218.60.56/~jnz1568/getInfo.php?workbook=12_04.xlsx&amp;sheet=A0&amp;row=876&amp;col=6&amp;number=280000000&amp;sourceID=14","280000000")</f>
        <v>280000000</v>
      </c>
      <c r="G876" s="4" t="str">
        <f>HYPERLINK("http://141.218.60.56/~jnz1568/getInfo.php?workbook=12_04.xlsx&amp;sheet=A0&amp;row=876&amp;col=7&amp;number=0&amp;sourceID=14","0")</f>
        <v>0</v>
      </c>
    </row>
    <row r="877" spans="1:7">
      <c r="A877" s="3">
        <v>12</v>
      </c>
      <c r="B877" s="3">
        <v>4</v>
      </c>
      <c r="C877" s="3">
        <v>16</v>
      </c>
      <c r="D877" s="3">
        <v>11</v>
      </c>
      <c r="E877" s="3">
        <v>1537.282</v>
      </c>
      <c r="F877" s="4" t="str">
        <f>HYPERLINK("http://141.218.60.56/~jnz1568/getInfo.php?workbook=12_04.xlsx&amp;sheet=A0&amp;row=877&amp;col=6&amp;number=287000000&amp;sourceID=14","287000000")</f>
        <v>287000000</v>
      </c>
      <c r="G877" s="4" t="str">
        <f>HYPERLINK("http://141.218.60.56/~jnz1568/getInfo.php?workbook=12_04.xlsx&amp;sheet=A0&amp;row=877&amp;col=7&amp;number=0&amp;sourceID=14","0")</f>
        <v>0</v>
      </c>
    </row>
    <row r="878" spans="1:7">
      <c r="A878" s="3">
        <v>12</v>
      </c>
      <c r="B878" s="3">
        <v>4</v>
      </c>
      <c r="C878" s="3">
        <v>17</v>
      </c>
      <c r="D878" s="3">
        <v>11</v>
      </c>
      <c r="E878" s="3">
        <v>1014.303</v>
      </c>
      <c r="F878" s="4" t="str">
        <f>HYPERLINK("http://141.218.60.56/~jnz1568/getInfo.php?workbook=12_04.xlsx&amp;sheet=A0&amp;row=878&amp;col=6&amp;number=558&amp;sourceID=14","558")</f>
        <v>558</v>
      </c>
      <c r="G878" s="4" t="str">
        <f>HYPERLINK("http://141.218.60.56/~jnz1568/getInfo.php?workbook=12_04.xlsx&amp;sheet=A0&amp;row=878&amp;col=7&amp;number=0&amp;sourceID=14","0")</f>
        <v>0</v>
      </c>
    </row>
    <row r="879" spans="1:7">
      <c r="A879" s="3">
        <v>12</v>
      </c>
      <c r="B879" s="3">
        <v>4</v>
      </c>
      <c r="C879" s="3">
        <v>18</v>
      </c>
      <c r="D879" s="3">
        <v>11</v>
      </c>
      <c r="E879" s="3">
        <v>1012.968</v>
      </c>
      <c r="F879" s="4" t="str">
        <f>HYPERLINK("http://141.218.60.56/~jnz1568/getInfo.php?workbook=12_04.xlsx&amp;sheet=A0&amp;row=879&amp;col=6&amp;number=562&amp;sourceID=14","562")</f>
        <v>562</v>
      </c>
      <c r="G879" s="4" t="str">
        <f>HYPERLINK("http://141.218.60.56/~jnz1568/getInfo.php?workbook=12_04.xlsx&amp;sheet=A0&amp;row=879&amp;col=7&amp;number=0&amp;sourceID=14","0")</f>
        <v>0</v>
      </c>
    </row>
    <row r="880" spans="1:7">
      <c r="A880" s="3">
        <v>12</v>
      </c>
      <c r="B880" s="3">
        <v>4</v>
      </c>
      <c r="C880" s="3">
        <v>19</v>
      </c>
      <c r="D880" s="3">
        <v>11</v>
      </c>
      <c r="E880" s="3">
        <v>1011.431</v>
      </c>
      <c r="F880" s="4" t="str">
        <f>HYPERLINK("http://141.218.60.56/~jnz1568/getInfo.php?workbook=12_04.xlsx&amp;sheet=A0&amp;row=880&amp;col=6&amp;number=567&amp;sourceID=14","567")</f>
        <v>567</v>
      </c>
      <c r="G880" s="4" t="str">
        <f>HYPERLINK("http://141.218.60.56/~jnz1568/getInfo.php?workbook=12_04.xlsx&amp;sheet=A0&amp;row=880&amp;col=7&amp;number=0&amp;sourceID=14","0")</f>
        <v>0</v>
      </c>
    </row>
    <row r="881" spans="1:7">
      <c r="A881" s="3">
        <v>12</v>
      </c>
      <c r="B881" s="3">
        <v>4</v>
      </c>
      <c r="C881" s="3">
        <v>20</v>
      </c>
      <c r="D881" s="3">
        <v>11</v>
      </c>
      <c r="E881" s="3">
        <v>818.801</v>
      </c>
      <c r="F881" s="4" t="str">
        <f>HYPERLINK("http://141.218.60.56/~jnz1568/getInfo.php?workbook=12_04.xlsx&amp;sheet=A0&amp;row=881&amp;col=6&amp;number=0.0388&amp;sourceID=14","0.0388")</f>
        <v>0.0388</v>
      </c>
      <c r="G881" s="4" t="str">
        <f>HYPERLINK("http://141.218.60.56/~jnz1568/getInfo.php?workbook=12_04.xlsx&amp;sheet=A0&amp;row=881&amp;col=7&amp;number=0&amp;sourceID=14","0")</f>
        <v>0</v>
      </c>
    </row>
    <row r="882" spans="1:7">
      <c r="A882" s="3">
        <v>12</v>
      </c>
      <c r="B882" s="3">
        <v>4</v>
      </c>
      <c r="C882" s="3">
        <v>21</v>
      </c>
      <c r="D882" s="3">
        <v>11</v>
      </c>
      <c r="E882" s="3">
        <v>562.779</v>
      </c>
      <c r="F882" s="4" t="str">
        <f>HYPERLINK("http://141.218.60.56/~jnz1568/getInfo.php?workbook=12_04.xlsx&amp;sheet=A0&amp;row=882&amp;col=6&amp;number=858000000&amp;sourceID=14","858000000")</f>
        <v>858000000</v>
      </c>
      <c r="G882" s="4" t="str">
        <f>HYPERLINK("http://141.218.60.56/~jnz1568/getInfo.php?workbook=12_04.xlsx&amp;sheet=A0&amp;row=882&amp;col=7&amp;number=0&amp;sourceID=14","0")</f>
        <v>0</v>
      </c>
    </row>
    <row r="883" spans="1:7">
      <c r="A883" s="3">
        <v>12</v>
      </c>
      <c r="B883" s="3">
        <v>4</v>
      </c>
      <c r="C883" s="3">
        <v>22</v>
      </c>
      <c r="D883" s="3">
        <v>11</v>
      </c>
      <c r="E883" s="3">
        <v>559.285</v>
      </c>
      <c r="F883" s="4" t="str">
        <f>HYPERLINK("http://141.218.60.56/~jnz1568/getInfo.php?workbook=12_04.xlsx&amp;sheet=A0&amp;row=883&amp;col=6&amp;number=870000000&amp;sourceID=14","870000000")</f>
        <v>870000000</v>
      </c>
      <c r="G883" s="4" t="str">
        <f>HYPERLINK("http://141.218.60.56/~jnz1568/getInfo.php?workbook=12_04.xlsx&amp;sheet=A0&amp;row=883&amp;col=7&amp;number=0&amp;sourceID=14","0")</f>
        <v>0</v>
      </c>
    </row>
    <row r="884" spans="1:7">
      <c r="A884" s="3">
        <v>12</v>
      </c>
      <c r="B884" s="3">
        <v>4</v>
      </c>
      <c r="C884" s="3">
        <v>23</v>
      </c>
      <c r="D884" s="3">
        <v>11</v>
      </c>
      <c r="E884" s="3">
        <v>551.117</v>
      </c>
      <c r="F884" s="4" t="str">
        <f>HYPERLINK("http://141.218.60.56/~jnz1568/getInfo.php?workbook=12_04.xlsx&amp;sheet=A0&amp;row=884&amp;col=6&amp;number=908000000&amp;sourceID=14","908000000")</f>
        <v>908000000</v>
      </c>
      <c r="G884" s="4" t="str">
        <f>HYPERLINK("http://141.218.60.56/~jnz1568/getInfo.php?workbook=12_04.xlsx&amp;sheet=A0&amp;row=884&amp;col=7&amp;number=0&amp;sourceID=14","0")</f>
        <v>0</v>
      </c>
    </row>
    <row r="885" spans="1:7">
      <c r="A885" s="3">
        <v>12</v>
      </c>
      <c r="B885" s="3">
        <v>4</v>
      </c>
      <c r="C885" s="3">
        <v>24</v>
      </c>
      <c r="D885" s="3">
        <v>11</v>
      </c>
      <c r="E885" s="3">
        <v>474.857</v>
      </c>
      <c r="F885" s="4" t="str">
        <f>HYPERLINK("http://141.218.60.56/~jnz1568/getInfo.php?workbook=12_04.xlsx&amp;sheet=A0&amp;row=885&amp;col=6&amp;number=4750000&amp;sourceID=14","4750000")</f>
        <v>4750000</v>
      </c>
      <c r="G885" s="4" t="str">
        <f>HYPERLINK("http://141.218.60.56/~jnz1568/getInfo.php?workbook=12_04.xlsx&amp;sheet=A0&amp;row=885&amp;col=7&amp;number=0&amp;sourceID=14","0")</f>
        <v>0</v>
      </c>
    </row>
    <row r="886" spans="1:7">
      <c r="A886" s="3">
        <v>12</v>
      </c>
      <c r="B886" s="3">
        <v>4</v>
      </c>
      <c r="C886" s="3">
        <v>25</v>
      </c>
      <c r="D886" s="3">
        <v>11</v>
      </c>
      <c r="E886" s="3">
        <v>463.672</v>
      </c>
      <c r="F886" s="4" t="str">
        <f>HYPERLINK("http://141.218.60.56/~jnz1568/getInfo.php?workbook=12_04.xlsx&amp;sheet=A0&amp;row=886&amp;col=6&amp;number=0.613&amp;sourceID=14","0.613")</f>
        <v>0.613</v>
      </c>
      <c r="G886" s="4" t="str">
        <f>HYPERLINK("http://141.218.60.56/~jnz1568/getInfo.php?workbook=12_04.xlsx&amp;sheet=A0&amp;row=886&amp;col=7&amp;number=0&amp;sourceID=14","0")</f>
        <v>0</v>
      </c>
    </row>
    <row r="887" spans="1:7">
      <c r="A887" s="3">
        <v>12</v>
      </c>
      <c r="B887" s="3">
        <v>4</v>
      </c>
      <c r="C887" s="3">
        <v>26</v>
      </c>
      <c r="D887" s="3">
        <v>11</v>
      </c>
      <c r="E887" s="3">
        <v>448.391</v>
      </c>
      <c r="F887" s="4" t="str">
        <f>HYPERLINK("http://141.218.60.56/~jnz1568/getInfo.php?workbook=12_04.xlsx&amp;sheet=A0&amp;row=887&amp;col=6&amp;number=1.46&amp;sourceID=14","1.46")</f>
        <v>1.46</v>
      </c>
      <c r="G887" s="4" t="str">
        <f>HYPERLINK("http://141.218.60.56/~jnz1568/getInfo.php?workbook=12_04.xlsx&amp;sheet=A0&amp;row=887&amp;col=7&amp;number=0&amp;sourceID=14","0")</f>
        <v>0</v>
      </c>
    </row>
    <row r="888" spans="1:7">
      <c r="A888" s="3">
        <v>12</v>
      </c>
      <c r="B888" s="3">
        <v>4</v>
      </c>
      <c r="C888" s="3">
        <v>27</v>
      </c>
      <c r="D888" s="3">
        <v>11</v>
      </c>
      <c r="E888" s="3">
        <v>446.389</v>
      </c>
      <c r="F888" s="4" t="str">
        <f>HYPERLINK("http://141.218.60.56/~jnz1568/getInfo.php?workbook=12_04.xlsx&amp;sheet=A0&amp;row=888&amp;col=6&amp;number=1.06&amp;sourceID=14","1.06")</f>
        <v>1.06</v>
      </c>
      <c r="G888" s="4" t="str">
        <f>HYPERLINK("http://141.218.60.56/~jnz1568/getInfo.php?workbook=12_04.xlsx&amp;sheet=A0&amp;row=888&amp;col=7&amp;number=0&amp;sourceID=14","0")</f>
        <v>0</v>
      </c>
    </row>
    <row r="889" spans="1:7">
      <c r="A889" s="3">
        <v>12</v>
      </c>
      <c r="B889" s="3">
        <v>4</v>
      </c>
      <c r="C889" s="3">
        <v>28</v>
      </c>
      <c r="D889" s="3">
        <v>11</v>
      </c>
      <c r="E889" s="3">
        <v>441.463</v>
      </c>
      <c r="F889" s="4" t="str">
        <f>HYPERLINK("http://141.218.60.56/~jnz1568/getInfo.php?workbook=12_04.xlsx&amp;sheet=A0&amp;row=889&amp;col=6&amp;number=0.489&amp;sourceID=14","0.489")</f>
        <v>0.489</v>
      </c>
      <c r="G889" s="4" t="str">
        <f>HYPERLINK("http://141.218.60.56/~jnz1568/getInfo.php?workbook=12_04.xlsx&amp;sheet=A0&amp;row=889&amp;col=7&amp;number=0&amp;sourceID=14","0")</f>
        <v>0</v>
      </c>
    </row>
    <row r="890" spans="1:7">
      <c r="A890" s="3">
        <v>12</v>
      </c>
      <c r="B890" s="3">
        <v>4</v>
      </c>
      <c r="C890" s="3">
        <v>29</v>
      </c>
      <c r="D890" s="3">
        <v>11</v>
      </c>
      <c r="E890" s="3">
        <v>420.292</v>
      </c>
      <c r="F890" s="4" t="str">
        <f>HYPERLINK("http://141.218.60.56/~jnz1568/getInfo.php?workbook=12_04.xlsx&amp;sheet=A0&amp;row=890&amp;col=6&amp;number=0.000363&amp;sourceID=14","0.000363")</f>
        <v>0.000363</v>
      </c>
      <c r="G890" s="4" t="str">
        <f>HYPERLINK("http://141.218.60.56/~jnz1568/getInfo.php?workbook=12_04.xlsx&amp;sheet=A0&amp;row=890&amp;col=7&amp;number=0&amp;sourceID=14","0")</f>
        <v>0</v>
      </c>
    </row>
    <row r="891" spans="1:7">
      <c r="A891" s="3">
        <v>12</v>
      </c>
      <c r="B891" s="3">
        <v>4</v>
      </c>
      <c r="C891" s="3">
        <v>30</v>
      </c>
      <c r="D891" s="3">
        <v>11</v>
      </c>
      <c r="E891" s="3">
        <v>-404.713</v>
      </c>
      <c r="F891" s="4" t="str">
        <f>HYPERLINK("http://141.218.60.56/~jnz1568/getInfo.php?workbook=12_04.xlsx&amp;sheet=A0&amp;row=891&amp;col=6&amp;number=0.348&amp;sourceID=14","0.348")</f>
        <v>0.348</v>
      </c>
      <c r="G891" s="4" t="str">
        <f>HYPERLINK("http://141.218.60.56/~jnz1568/getInfo.php?workbook=12_04.xlsx&amp;sheet=A0&amp;row=891&amp;col=7&amp;number=0&amp;sourceID=14","0")</f>
        <v>0</v>
      </c>
    </row>
    <row r="892" spans="1:7">
      <c r="A892" s="3">
        <v>12</v>
      </c>
      <c r="B892" s="3">
        <v>4</v>
      </c>
      <c r="C892" s="3">
        <v>31</v>
      </c>
      <c r="D892" s="3">
        <v>11</v>
      </c>
      <c r="E892" s="3">
        <v>406.109</v>
      </c>
      <c r="F892" s="4" t="str">
        <f>HYPERLINK("http://141.218.60.56/~jnz1568/getInfo.php?workbook=12_04.xlsx&amp;sheet=A0&amp;row=892&amp;col=6&amp;number=0.0678&amp;sourceID=14","0.0678")</f>
        <v>0.0678</v>
      </c>
      <c r="G892" s="4" t="str">
        <f>HYPERLINK("http://141.218.60.56/~jnz1568/getInfo.php?workbook=12_04.xlsx&amp;sheet=A0&amp;row=892&amp;col=7&amp;number=0&amp;sourceID=14","0")</f>
        <v>0</v>
      </c>
    </row>
    <row r="893" spans="1:7">
      <c r="A893" s="3">
        <v>12</v>
      </c>
      <c r="B893" s="3">
        <v>4</v>
      </c>
      <c r="C893" s="3">
        <v>32</v>
      </c>
      <c r="D893" s="3">
        <v>11</v>
      </c>
      <c r="E893" s="3">
        <v>403.976</v>
      </c>
      <c r="F893" s="4" t="str">
        <f>HYPERLINK("http://141.218.60.56/~jnz1568/getInfo.php?workbook=12_04.xlsx&amp;sheet=A0&amp;row=893&amp;col=6&amp;number=0.12&amp;sourceID=14","0.12")</f>
        <v>0.12</v>
      </c>
      <c r="G893" s="4" t="str">
        <f>HYPERLINK("http://141.218.60.56/~jnz1568/getInfo.php?workbook=12_04.xlsx&amp;sheet=A0&amp;row=893&amp;col=7&amp;number=0&amp;sourceID=14","0")</f>
        <v>0</v>
      </c>
    </row>
    <row r="894" spans="1:7">
      <c r="A894" s="3">
        <v>12</v>
      </c>
      <c r="B894" s="3">
        <v>4</v>
      </c>
      <c r="C894" s="3">
        <v>33</v>
      </c>
      <c r="D894" s="3">
        <v>11</v>
      </c>
      <c r="E894" s="3">
        <v>-391.674</v>
      </c>
      <c r="F894" s="4" t="str">
        <f>HYPERLINK("http://141.218.60.56/~jnz1568/getInfo.php?workbook=12_04.xlsx&amp;sheet=A0&amp;row=894&amp;col=6&amp;number=27500&amp;sourceID=14","27500")</f>
        <v>27500</v>
      </c>
      <c r="G894" s="4" t="str">
        <f>HYPERLINK("http://141.218.60.56/~jnz1568/getInfo.php?workbook=12_04.xlsx&amp;sheet=A0&amp;row=894&amp;col=7&amp;number=0&amp;sourceID=14","0")</f>
        <v>0</v>
      </c>
    </row>
    <row r="895" spans="1:7">
      <c r="A895" s="3">
        <v>12</v>
      </c>
      <c r="B895" s="3">
        <v>4</v>
      </c>
      <c r="C895" s="3">
        <v>34</v>
      </c>
      <c r="D895" s="3">
        <v>11</v>
      </c>
      <c r="E895" s="3">
        <v>-388.56</v>
      </c>
      <c r="F895" s="4" t="str">
        <f>HYPERLINK("http://141.218.60.56/~jnz1568/getInfo.php?workbook=12_04.xlsx&amp;sheet=A0&amp;row=895&amp;col=6&amp;number=0.00738&amp;sourceID=14","0.00738")</f>
        <v>0.00738</v>
      </c>
      <c r="G895" s="4" t="str">
        <f>HYPERLINK("http://141.218.60.56/~jnz1568/getInfo.php?workbook=12_04.xlsx&amp;sheet=A0&amp;row=895&amp;col=7&amp;number=0&amp;sourceID=14","0")</f>
        <v>0</v>
      </c>
    </row>
    <row r="896" spans="1:7">
      <c r="A896" s="3">
        <v>12</v>
      </c>
      <c r="B896" s="3">
        <v>4</v>
      </c>
      <c r="C896" s="3">
        <v>35</v>
      </c>
      <c r="D896" s="3">
        <v>11</v>
      </c>
      <c r="E896" s="3">
        <v>388.818</v>
      </c>
      <c r="F896" s="4" t="str">
        <f>HYPERLINK("http://141.218.60.56/~jnz1568/getInfo.php?workbook=12_04.xlsx&amp;sheet=A0&amp;row=896&amp;col=6&amp;number=166000&amp;sourceID=14","166000")</f>
        <v>166000</v>
      </c>
      <c r="G896" s="4" t="str">
        <f>HYPERLINK("http://141.218.60.56/~jnz1568/getInfo.php?workbook=12_04.xlsx&amp;sheet=A0&amp;row=896&amp;col=7&amp;number=0&amp;sourceID=14","0")</f>
        <v>0</v>
      </c>
    </row>
    <row r="897" spans="1:7">
      <c r="A897" s="3">
        <v>12</v>
      </c>
      <c r="B897" s="3">
        <v>4</v>
      </c>
      <c r="C897" s="3">
        <v>36</v>
      </c>
      <c r="D897" s="3">
        <v>11</v>
      </c>
      <c r="E897" s="3">
        <v>-385.541</v>
      </c>
      <c r="F897" s="4" t="str">
        <f>HYPERLINK("http://141.218.60.56/~jnz1568/getInfo.php?workbook=12_04.xlsx&amp;sheet=A0&amp;row=897&amp;col=6&amp;number=0.00773&amp;sourceID=14","0.00773")</f>
        <v>0.00773</v>
      </c>
      <c r="G897" s="4" t="str">
        <f>HYPERLINK("http://141.218.60.56/~jnz1568/getInfo.php?workbook=12_04.xlsx&amp;sheet=A0&amp;row=897&amp;col=7&amp;number=0&amp;sourceID=14","0")</f>
        <v>0</v>
      </c>
    </row>
    <row r="898" spans="1:7">
      <c r="A898" s="3">
        <v>12</v>
      </c>
      <c r="B898" s="3">
        <v>4</v>
      </c>
      <c r="C898" s="3">
        <v>37</v>
      </c>
      <c r="D898" s="3">
        <v>11</v>
      </c>
      <c r="E898" s="3">
        <v>379.623</v>
      </c>
      <c r="F898" s="4" t="str">
        <f>HYPERLINK("http://141.218.60.56/~jnz1568/getInfo.php?workbook=12_04.xlsx&amp;sheet=A0&amp;row=898&amp;col=6&amp;number=0.0002&amp;sourceID=14","0.0002")</f>
        <v>0.0002</v>
      </c>
      <c r="G898" s="4" t="str">
        <f>HYPERLINK("http://141.218.60.56/~jnz1568/getInfo.php?workbook=12_04.xlsx&amp;sheet=A0&amp;row=898&amp;col=7&amp;number=0&amp;sourceID=14","0")</f>
        <v>0</v>
      </c>
    </row>
    <row r="899" spans="1:7">
      <c r="A899" s="3">
        <v>12</v>
      </c>
      <c r="B899" s="3">
        <v>4</v>
      </c>
      <c r="C899" s="3">
        <v>38</v>
      </c>
      <c r="D899" s="3">
        <v>11</v>
      </c>
      <c r="E899" s="3">
        <v>363.809</v>
      </c>
      <c r="F899" s="4" t="str">
        <f>HYPERLINK("http://141.218.60.56/~jnz1568/getInfo.php?workbook=12_04.xlsx&amp;sheet=A0&amp;row=899&amp;col=6&amp;number=995000&amp;sourceID=14","995000")</f>
        <v>995000</v>
      </c>
      <c r="G899" s="4" t="str">
        <f>HYPERLINK("http://141.218.60.56/~jnz1568/getInfo.php?workbook=12_04.xlsx&amp;sheet=A0&amp;row=899&amp;col=7&amp;number=0&amp;sourceID=14","0")</f>
        <v>0</v>
      </c>
    </row>
    <row r="900" spans="1:7">
      <c r="A900" s="3">
        <v>12</v>
      </c>
      <c r="B900" s="3">
        <v>4</v>
      </c>
      <c r="C900" s="3">
        <v>39</v>
      </c>
      <c r="D900" s="3">
        <v>11</v>
      </c>
      <c r="E900" s="3">
        <v>363.096</v>
      </c>
      <c r="F900" s="4" t="str">
        <f>HYPERLINK("http://141.218.60.56/~jnz1568/getInfo.php?workbook=12_04.xlsx&amp;sheet=A0&amp;row=900&amp;col=6&amp;number=2320000&amp;sourceID=14","2320000")</f>
        <v>2320000</v>
      </c>
      <c r="G900" s="4" t="str">
        <f>HYPERLINK("http://141.218.60.56/~jnz1568/getInfo.php?workbook=12_04.xlsx&amp;sheet=A0&amp;row=900&amp;col=7&amp;number=0&amp;sourceID=14","0")</f>
        <v>0</v>
      </c>
    </row>
    <row r="901" spans="1:7">
      <c r="A901" s="3">
        <v>12</v>
      </c>
      <c r="B901" s="3">
        <v>4</v>
      </c>
      <c r="C901" s="3">
        <v>40</v>
      </c>
      <c r="D901" s="3">
        <v>11</v>
      </c>
      <c r="E901" s="3">
        <v>361.782</v>
      </c>
      <c r="F901" s="4" t="str">
        <f>HYPERLINK("http://141.218.60.56/~jnz1568/getInfo.php?workbook=12_04.xlsx&amp;sheet=A0&amp;row=901&amp;col=6&amp;number=0.0359&amp;sourceID=14","0.0359")</f>
        <v>0.0359</v>
      </c>
      <c r="G901" s="4" t="str">
        <f>HYPERLINK("http://141.218.60.56/~jnz1568/getInfo.php?workbook=12_04.xlsx&amp;sheet=A0&amp;row=901&amp;col=7&amp;number=0&amp;sourceID=14","0")</f>
        <v>0</v>
      </c>
    </row>
    <row r="902" spans="1:7">
      <c r="A902" s="3">
        <v>12</v>
      </c>
      <c r="B902" s="3">
        <v>4</v>
      </c>
      <c r="C902" s="3">
        <v>41</v>
      </c>
      <c r="D902" s="3">
        <v>11</v>
      </c>
      <c r="E902" s="3">
        <v>353.645</v>
      </c>
      <c r="F902" s="4" t="str">
        <f>HYPERLINK("http://141.218.60.56/~jnz1568/getInfo.php?workbook=12_04.xlsx&amp;sheet=A0&amp;row=902&amp;col=6&amp;number=61500000&amp;sourceID=14","61500000")</f>
        <v>61500000</v>
      </c>
      <c r="G902" s="4" t="str">
        <f>HYPERLINK("http://141.218.60.56/~jnz1568/getInfo.php?workbook=12_04.xlsx&amp;sheet=A0&amp;row=902&amp;col=7&amp;number=0&amp;sourceID=14","0")</f>
        <v>0</v>
      </c>
    </row>
    <row r="903" spans="1:7">
      <c r="A903" s="3">
        <v>12</v>
      </c>
      <c r="B903" s="3">
        <v>4</v>
      </c>
      <c r="C903" s="3">
        <v>42</v>
      </c>
      <c r="D903" s="3">
        <v>11</v>
      </c>
      <c r="E903" s="3">
        <v>352.411</v>
      </c>
      <c r="F903" s="4" t="str">
        <f>HYPERLINK("http://141.218.60.56/~jnz1568/getInfo.php?workbook=12_04.xlsx&amp;sheet=A0&amp;row=903&amp;col=6&amp;number=59400000&amp;sourceID=14","59400000")</f>
        <v>59400000</v>
      </c>
      <c r="G903" s="4" t="str">
        <f>HYPERLINK("http://141.218.60.56/~jnz1568/getInfo.php?workbook=12_04.xlsx&amp;sheet=A0&amp;row=903&amp;col=7&amp;number=0&amp;sourceID=14","0")</f>
        <v>0</v>
      </c>
    </row>
    <row r="904" spans="1:7">
      <c r="A904" s="3">
        <v>12</v>
      </c>
      <c r="B904" s="3">
        <v>4</v>
      </c>
      <c r="C904" s="3">
        <v>43</v>
      </c>
      <c r="D904" s="3">
        <v>11</v>
      </c>
      <c r="E904" s="3">
        <v>351.767</v>
      </c>
      <c r="F904" s="4" t="str">
        <f>HYPERLINK("http://141.218.60.56/~jnz1568/getInfo.php?workbook=12_04.xlsx&amp;sheet=A0&amp;row=904&amp;col=6&amp;number=58700000&amp;sourceID=14","58700000")</f>
        <v>58700000</v>
      </c>
      <c r="G904" s="4" t="str">
        <f>HYPERLINK("http://141.218.60.56/~jnz1568/getInfo.php?workbook=12_04.xlsx&amp;sheet=A0&amp;row=904&amp;col=7&amp;number=0&amp;sourceID=14","0")</f>
        <v>0</v>
      </c>
    </row>
    <row r="905" spans="1:7">
      <c r="A905" s="3">
        <v>12</v>
      </c>
      <c r="B905" s="3">
        <v>4</v>
      </c>
      <c r="C905" s="3">
        <v>44</v>
      </c>
      <c r="D905" s="3">
        <v>11</v>
      </c>
      <c r="E905" s="3">
        <v>-332.146</v>
      </c>
      <c r="F905" s="4" t="str">
        <f>HYPERLINK("http://141.218.60.56/~jnz1568/getInfo.php?workbook=12_04.xlsx&amp;sheet=A0&amp;row=905&amp;col=6&amp;number=0.005&amp;sourceID=14","0.005")</f>
        <v>0.005</v>
      </c>
      <c r="G905" s="4" t="str">
        <f>HYPERLINK("http://141.218.60.56/~jnz1568/getInfo.php?workbook=12_04.xlsx&amp;sheet=A0&amp;row=905&amp;col=7&amp;number=0&amp;sourceID=14","0")</f>
        <v>0</v>
      </c>
    </row>
    <row r="906" spans="1:7">
      <c r="A906" s="3">
        <v>12</v>
      </c>
      <c r="B906" s="3">
        <v>4</v>
      </c>
      <c r="C906" s="3">
        <v>45</v>
      </c>
      <c r="D906" s="3">
        <v>11</v>
      </c>
      <c r="E906" s="3">
        <v>330.863</v>
      </c>
      <c r="F906" s="4" t="str">
        <f>HYPERLINK("http://141.218.60.56/~jnz1568/getInfo.php?workbook=12_04.xlsx&amp;sheet=A0&amp;row=906&amp;col=6&amp;number=6.14e-05&amp;sourceID=14","6.14e-05")</f>
        <v>6.14e-05</v>
      </c>
      <c r="G906" s="4" t="str">
        <f>HYPERLINK("http://141.218.60.56/~jnz1568/getInfo.php?workbook=12_04.xlsx&amp;sheet=A0&amp;row=906&amp;col=7&amp;number=0&amp;sourceID=14","0")</f>
        <v>0</v>
      </c>
    </row>
    <row r="907" spans="1:7">
      <c r="A907" s="3">
        <v>12</v>
      </c>
      <c r="B907" s="3">
        <v>4</v>
      </c>
      <c r="C907" s="3">
        <v>46</v>
      </c>
      <c r="D907" s="3">
        <v>11</v>
      </c>
      <c r="E907" s="3">
        <v>323.51</v>
      </c>
      <c r="F907" s="4" t="str">
        <f>HYPERLINK("http://141.218.60.56/~jnz1568/getInfo.php?workbook=12_04.xlsx&amp;sheet=A0&amp;row=907&amp;col=6&amp;number=89300&amp;sourceID=14","89300")</f>
        <v>89300</v>
      </c>
      <c r="G907" s="4" t="str">
        <f>HYPERLINK("http://141.218.60.56/~jnz1568/getInfo.php?workbook=12_04.xlsx&amp;sheet=A0&amp;row=907&amp;col=7&amp;number=0&amp;sourceID=14","0")</f>
        <v>0</v>
      </c>
    </row>
    <row r="908" spans="1:7">
      <c r="A908" s="3">
        <v>12</v>
      </c>
      <c r="B908" s="3">
        <v>4</v>
      </c>
      <c r="C908" s="3">
        <v>47</v>
      </c>
      <c r="D908" s="3">
        <v>11</v>
      </c>
      <c r="E908" s="3">
        <v>-196.28</v>
      </c>
      <c r="F908" s="4" t="str">
        <f>HYPERLINK("http://141.218.60.56/~jnz1568/getInfo.php?workbook=12_04.xlsx&amp;sheet=A0&amp;row=908&amp;col=6&amp;number=0.0845&amp;sourceID=14","0.0845")</f>
        <v>0.0845</v>
      </c>
      <c r="G908" s="4" t="str">
        <f>HYPERLINK("http://141.218.60.56/~jnz1568/getInfo.php?workbook=12_04.xlsx&amp;sheet=A0&amp;row=908&amp;col=7&amp;number=0&amp;sourceID=14","0")</f>
        <v>0</v>
      </c>
    </row>
    <row r="909" spans="1:7">
      <c r="A909" s="3">
        <v>12</v>
      </c>
      <c r="B909" s="3">
        <v>4</v>
      </c>
      <c r="C909" s="3">
        <v>48</v>
      </c>
      <c r="D909" s="3">
        <v>11</v>
      </c>
      <c r="E909" s="3">
        <v>-192.476</v>
      </c>
      <c r="F909" s="4" t="str">
        <f>HYPERLINK("http://141.218.60.56/~jnz1568/getInfo.php?workbook=12_04.xlsx&amp;sheet=A0&amp;row=909&amp;col=6&amp;number=0.097&amp;sourceID=14","0.097")</f>
        <v>0.097</v>
      </c>
      <c r="G909" s="4" t="str">
        <f>HYPERLINK("http://141.218.60.56/~jnz1568/getInfo.php?workbook=12_04.xlsx&amp;sheet=A0&amp;row=909&amp;col=7&amp;number=0&amp;sourceID=14","0")</f>
        <v>0</v>
      </c>
    </row>
    <row r="910" spans="1:7">
      <c r="A910" s="3">
        <v>12</v>
      </c>
      <c r="B910" s="3">
        <v>4</v>
      </c>
      <c r="C910" s="3">
        <v>49</v>
      </c>
      <c r="D910" s="3">
        <v>11</v>
      </c>
      <c r="E910" s="3">
        <v>-187.24</v>
      </c>
      <c r="F910" s="4" t="str">
        <f>HYPERLINK("http://141.218.60.56/~jnz1568/getInfo.php?workbook=12_04.xlsx&amp;sheet=A0&amp;row=910&amp;col=6&amp;number=15500000000&amp;sourceID=14","15500000000")</f>
        <v>15500000000</v>
      </c>
      <c r="G910" s="4" t="str">
        <f>HYPERLINK("http://141.218.60.56/~jnz1568/getInfo.php?workbook=12_04.xlsx&amp;sheet=A0&amp;row=910&amp;col=7&amp;number=0&amp;sourceID=14","0")</f>
        <v>0</v>
      </c>
    </row>
    <row r="911" spans="1:7">
      <c r="A911" s="3">
        <v>12</v>
      </c>
      <c r="B911" s="3">
        <v>4</v>
      </c>
      <c r="C911" s="3">
        <v>50</v>
      </c>
      <c r="D911" s="3">
        <v>11</v>
      </c>
      <c r="E911" s="3">
        <v>-187.2</v>
      </c>
      <c r="F911" s="4" t="str">
        <f>HYPERLINK("http://141.218.60.56/~jnz1568/getInfo.php?workbook=12_04.xlsx&amp;sheet=A0&amp;row=911&amp;col=6&amp;number=15400000000&amp;sourceID=14","15400000000")</f>
        <v>15400000000</v>
      </c>
      <c r="G911" s="4" t="str">
        <f>HYPERLINK("http://141.218.60.56/~jnz1568/getInfo.php?workbook=12_04.xlsx&amp;sheet=A0&amp;row=911&amp;col=7&amp;number=0&amp;sourceID=14","0")</f>
        <v>0</v>
      </c>
    </row>
    <row r="912" spans="1:7">
      <c r="A912" s="3">
        <v>12</v>
      </c>
      <c r="B912" s="3">
        <v>4</v>
      </c>
      <c r="C912" s="3">
        <v>51</v>
      </c>
      <c r="D912" s="3">
        <v>11</v>
      </c>
      <c r="E912" s="3">
        <v>-187.108</v>
      </c>
      <c r="F912" s="4" t="str">
        <f>HYPERLINK("http://141.218.60.56/~jnz1568/getInfo.php?workbook=12_04.xlsx&amp;sheet=A0&amp;row=912&amp;col=6&amp;number=15400000000&amp;sourceID=14","15400000000")</f>
        <v>15400000000</v>
      </c>
      <c r="G912" s="4" t="str">
        <f>HYPERLINK("http://141.218.60.56/~jnz1568/getInfo.php?workbook=12_04.xlsx&amp;sheet=A0&amp;row=912&amp;col=7&amp;number=0&amp;sourceID=14","0")</f>
        <v>0</v>
      </c>
    </row>
    <row r="913" spans="1:7">
      <c r="A913" s="3">
        <v>12</v>
      </c>
      <c r="B913" s="3">
        <v>4</v>
      </c>
      <c r="C913" s="3">
        <v>52</v>
      </c>
      <c r="D913" s="3">
        <v>11</v>
      </c>
      <c r="E913" s="3">
        <v>186.488</v>
      </c>
      <c r="F913" s="4" t="str">
        <f>HYPERLINK("http://141.218.60.56/~jnz1568/getInfo.php?workbook=12_04.xlsx&amp;sheet=A0&amp;row=913&amp;col=6&amp;number=51400000&amp;sourceID=14","51400000")</f>
        <v>51400000</v>
      </c>
      <c r="G913" s="4" t="str">
        <f>HYPERLINK("http://141.218.60.56/~jnz1568/getInfo.php?workbook=12_04.xlsx&amp;sheet=A0&amp;row=913&amp;col=7&amp;number=0&amp;sourceID=14","0")</f>
        <v>0</v>
      </c>
    </row>
    <row r="914" spans="1:7">
      <c r="A914" s="3">
        <v>12</v>
      </c>
      <c r="B914" s="3">
        <v>4</v>
      </c>
      <c r="C914" s="3">
        <v>53</v>
      </c>
      <c r="D914" s="3">
        <v>11</v>
      </c>
      <c r="E914" s="3">
        <v>182.642</v>
      </c>
      <c r="F914" s="4" t="str">
        <f>HYPERLINK("http://141.218.60.56/~jnz1568/getInfo.php?workbook=12_04.xlsx&amp;sheet=A0&amp;row=914&amp;col=6&amp;number=2960000&amp;sourceID=14","2960000")</f>
        <v>2960000</v>
      </c>
      <c r="G914" s="4" t="str">
        <f>HYPERLINK("http://141.218.60.56/~jnz1568/getInfo.php?workbook=12_04.xlsx&amp;sheet=A0&amp;row=914&amp;col=7&amp;number=0&amp;sourceID=14","0")</f>
        <v>0</v>
      </c>
    </row>
    <row r="915" spans="1:7">
      <c r="A915" s="3">
        <v>12</v>
      </c>
      <c r="B915" s="3">
        <v>4</v>
      </c>
      <c r="C915" s="3">
        <v>54</v>
      </c>
      <c r="D915" s="3">
        <v>11</v>
      </c>
      <c r="E915" s="3">
        <v>182.642</v>
      </c>
      <c r="F915" s="4" t="str">
        <f>HYPERLINK("http://141.218.60.56/~jnz1568/getInfo.php?workbook=12_04.xlsx&amp;sheet=A0&amp;row=915&amp;col=6&amp;number=2960000&amp;sourceID=14","2960000")</f>
        <v>2960000</v>
      </c>
      <c r="G915" s="4" t="str">
        <f>HYPERLINK("http://141.218.60.56/~jnz1568/getInfo.php?workbook=12_04.xlsx&amp;sheet=A0&amp;row=915&amp;col=7&amp;number=0&amp;sourceID=14","0")</f>
        <v>0</v>
      </c>
    </row>
    <row r="916" spans="1:7">
      <c r="A916" s="3">
        <v>12</v>
      </c>
      <c r="B916" s="3">
        <v>4</v>
      </c>
      <c r="C916" s="3">
        <v>55</v>
      </c>
      <c r="D916" s="3">
        <v>11</v>
      </c>
      <c r="E916" s="3">
        <v>182.615</v>
      </c>
      <c r="F916" s="4" t="str">
        <f>HYPERLINK("http://141.218.60.56/~jnz1568/getInfo.php?workbook=12_04.xlsx&amp;sheet=A0&amp;row=916&amp;col=6&amp;number=2960000&amp;sourceID=14","2960000")</f>
        <v>2960000</v>
      </c>
      <c r="G916" s="4" t="str">
        <f>HYPERLINK("http://141.218.60.56/~jnz1568/getInfo.php?workbook=12_04.xlsx&amp;sheet=A0&amp;row=916&amp;col=7&amp;number=0&amp;sourceID=14","0")</f>
        <v>0</v>
      </c>
    </row>
    <row r="917" spans="1:7">
      <c r="A917" s="3">
        <v>12</v>
      </c>
      <c r="B917" s="3">
        <v>4</v>
      </c>
      <c r="C917" s="3">
        <v>56</v>
      </c>
      <c r="D917" s="3">
        <v>11</v>
      </c>
      <c r="E917" s="3">
        <v>180.038</v>
      </c>
      <c r="F917" s="4" t="str">
        <f>HYPERLINK("http://141.218.60.56/~jnz1568/getInfo.php?workbook=12_04.xlsx&amp;sheet=A0&amp;row=917&amp;col=6&amp;number=117&amp;sourceID=14","117")</f>
        <v>117</v>
      </c>
      <c r="G917" s="4" t="str">
        <f>HYPERLINK("http://141.218.60.56/~jnz1568/getInfo.php?workbook=12_04.xlsx&amp;sheet=A0&amp;row=917&amp;col=7&amp;number=0&amp;sourceID=14","0")</f>
        <v>0</v>
      </c>
    </row>
    <row r="918" spans="1:7">
      <c r="A918" s="3">
        <v>12</v>
      </c>
      <c r="B918" s="3">
        <v>4</v>
      </c>
      <c r="C918" s="3">
        <v>57</v>
      </c>
      <c r="D918" s="3">
        <v>11</v>
      </c>
      <c r="E918" s="3">
        <v>-179.498</v>
      </c>
      <c r="F918" s="4" t="str">
        <f>HYPERLINK("http://141.218.60.56/~jnz1568/getInfo.php?workbook=12_04.xlsx&amp;sheet=A0&amp;row=918&amp;col=6&amp;number=148&amp;sourceID=14","148")</f>
        <v>148</v>
      </c>
      <c r="G918" s="4" t="str">
        <f>HYPERLINK("http://141.218.60.56/~jnz1568/getInfo.php?workbook=12_04.xlsx&amp;sheet=A0&amp;row=918&amp;col=7&amp;number=0&amp;sourceID=14","0")</f>
        <v>0</v>
      </c>
    </row>
    <row r="919" spans="1:7">
      <c r="A919" s="3">
        <v>12</v>
      </c>
      <c r="B919" s="3">
        <v>4</v>
      </c>
      <c r="C919" s="3">
        <v>58</v>
      </c>
      <c r="D919" s="3">
        <v>11</v>
      </c>
      <c r="E919" s="3">
        <v>-179.488</v>
      </c>
      <c r="F919" s="4" t="str">
        <f>HYPERLINK("http://141.218.60.56/~jnz1568/getInfo.php?workbook=12_04.xlsx&amp;sheet=A0&amp;row=919&amp;col=6&amp;number=148&amp;sourceID=14","148")</f>
        <v>148</v>
      </c>
      <c r="G919" s="4" t="str">
        <f>HYPERLINK("http://141.218.60.56/~jnz1568/getInfo.php?workbook=12_04.xlsx&amp;sheet=A0&amp;row=919&amp;col=7&amp;number=0&amp;sourceID=14","0")</f>
        <v>0</v>
      </c>
    </row>
    <row r="920" spans="1:7">
      <c r="A920" s="3">
        <v>12</v>
      </c>
      <c r="B920" s="3">
        <v>4</v>
      </c>
      <c r="C920" s="3">
        <v>59</v>
      </c>
      <c r="D920" s="3">
        <v>11</v>
      </c>
      <c r="E920" s="3">
        <v>-179.476</v>
      </c>
      <c r="F920" s="4" t="str">
        <f>HYPERLINK("http://141.218.60.56/~jnz1568/getInfo.php?workbook=12_04.xlsx&amp;sheet=A0&amp;row=920&amp;col=6&amp;number=148&amp;sourceID=14","148")</f>
        <v>148</v>
      </c>
      <c r="G920" s="4" t="str">
        <f>HYPERLINK("http://141.218.60.56/~jnz1568/getInfo.php?workbook=12_04.xlsx&amp;sheet=A0&amp;row=920&amp;col=7&amp;number=0&amp;sourceID=14","0")</f>
        <v>0</v>
      </c>
    </row>
    <row r="921" spans="1:7">
      <c r="A921" s="3">
        <v>12</v>
      </c>
      <c r="B921" s="3">
        <v>4</v>
      </c>
      <c r="C921" s="3">
        <v>60</v>
      </c>
      <c r="D921" s="3">
        <v>11</v>
      </c>
      <c r="E921" s="3">
        <v>-178.666</v>
      </c>
      <c r="F921" s="4" t="str">
        <f>HYPERLINK("http://141.218.60.56/~jnz1568/getInfo.php?workbook=12_04.xlsx&amp;sheet=A0&amp;row=921&amp;col=6&amp;number=0.0108&amp;sourceID=14","0.0108")</f>
        <v>0.0108</v>
      </c>
      <c r="G921" s="4" t="str">
        <f>HYPERLINK("http://141.218.60.56/~jnz1568/getInfo.php?workbook=12_04.xlsx&amp;sheet=A0&amp;row=921&amp;col=7&amp;number=0&amp;sourceID=14","0")</f>
        <v>0</v>
      </c>
    </row>
    <row r="922" spans="1:7">
      <c r="A922" s="3">
        <v>12</v>
      </c>
      <c r="B922" s="3">
        <v>4</v>
      </c>
      <c r="C922" s="3">
        <v>61</v>
      </c>
      <c r="D922" s="3">
        <v>11</v>
      </c>
      <c r="E922" s="3">
        <v>-148.058</v>
      </c>
      <c r="F922" s="4" t="str">
        <f>HYPERLINK("http://141.218.60.56/~jnz1568/getInfo.php?workbook=12_04.xlsx&amp;sheet=A0&amp;row=922&amp;col=6&amp;number=19400&amp;sourceID=14","19400")</f>
        <v>19400</v>
      </c>
      <c r="G922" s="4" t="str">
        <f>HYPERLINK("http://141.218.60.56/~jnz1568/getInfo.php?workbook=12_04.xlsx&amp;sheet=A0&amp;row=922&amp;col=7&amp;number=0&amp;sourceID=14","0")</f>
        <v>0</v>
      </c>
    </row>
    <row r="923" spans="1:7">
      <c r="A923" s="3">
        <v>12</v>
      </c>
      <c r="B923" s="3">
        <v>4</v>
      </c>
      <c r="C923" s="3">
        <v>62</v>
      </c>
      <c r="D923" s="3">
        <v>11</v>
      </c>
      <c r="E923" s="3">
        <v>-147.857</v>
      </c>
      <c r="F923" s="4" t="str">
        <f>HYPERLINK("http://141.218.60.56/~jnz1568/getInfo.php?workbook=12_04.xlsx&amp;sheet=A0&amp;row=923&amp;col=6&amp;number=3300&amp;sourceID=14","3300")</f>
        <v>3300</v>
      </c>
      <c r="G923" s="4" t="str">
        <f>HYPERLINK("http://141.218.60.56/~jnz1568/getInfo.php?workbook=12_04.xlsx&amp;sheet=A0&amp;row=923&amp;col=7&amp;number=0&amp;sourceID=14","0")</f>
        <v>0</v>
      </c>
    </row>
    <row r="924" spans="1:7">
      <c r="A924" s="3">
        <v>12</v>
      </c>
      <c r="B924" s="3">
        <v>4</v>
      </c>
      <c r="C924" s="3">
        <v>63</v>
      </c>
      <c r="D924" s="3">
        <v>11</v>
      </c>
      <c r="E924" s="3">
        <v>-147.208</v>
      </c>
      <c r="F924" s="4" t="str">
        <f>HYPERLINK("http://141.218.60.56/~jnz1568/getInfo.php?workbook=12_04.xlsx&amp;sheet=A0&amp;row=924&amp;col=6&amp;number=19500&amp;sourceID=14","19500")</f>
        <v>19500</v>
      </c>
      <c r="G924" s="4" t="str">
        <f>HYPERLINK("http://141.218.60.56/~jnz1568/getInfo.php?workbook=12_04.xlsx&amp;sheet=A0&amp;row=924&amp;col=7&amp;number=0&amp;sourceID=14","0")</f>
        <v>0</v>
      </c>
    </row>
    <row r="925" spans="1:7">
      <c r="A925" s="3">
        <v>12</v>
      </c>
      <c r="B925" s="3">
        <v>4</v>
      </c>
      <c r="C925" s="3">
        <v>64</v>
      </c>
      <c r="D925" s="3">
        <v>11</v>
      </c>
      <c r="E925" s="3">
        <v>-145.869</v>
      </c>
      <c r="F925" s="4" t="str">
        <f>HYPERLINK("http://141.218.60.56/~jnz1568/getInfo.php?workbook=12_04.xlsx&amp;sheet=A0&amp;row=925&amp;col=6&amp;number=658&amp;sourceID=14","658")</f>
        <v>658</v>
      </c>
      <c r="G925" s="4" t="str">
        <f>HYPERLINK("http://141.218.60.56/~jnz1568/getInfo.php?workbook=12_04.xlsx&amp;sheet=A0&amp;row=925&amp;col=7&amp;number=0&amp;sourceID=14","0")</f>
        <v>0</v>
      </c>
    </row>
    <row r="926" spans="1:7">
      <c r="A926" s="3">
        <v>12</v>
      </c>
      <c r="B926" s="3">
        <v>4</v>
      </c>
      <c r="C926" s="3">
        <v>65</v>
      </c>
      <c r="D926" s="3">
        <v>11</v>
      </c>
      <c r="E926" s="3">
        <v>-144.284</v>
      </c>
      <c r="F926" s="4" t="str">
        <f>HYPERLINK("http://141.218.60.56/~jnz1568/getInfo.php?workbook=12_04.xlsx&amp;sheet=A0&amp;row=926&amp;col=6&amp;number=83.7&amp;sourceID=14","83.7")</f>
        <v>83.7</v>
      </c>
      <c r="G926" s="4" t="str">
        <f>HYPERLINK("http://141.218.60.56/~jnz1568/getInfo.php?workbook=12_04.xlsx&amp;sheet=A0&amp;row=926&amp;col=7&amp;number=0&amp;sourceID=14","0")</f>
        <v>0</v>
      </c>
    </row>
    <row r="927" spans="1:7">
      <c r="A927" s="3">
        <v>12</v>
      </c>
      <c r="B927" s="3">
        <v>4</v>
      </c>
      <c r="C927" s="3">
        <v>66</v>
      </c>
      <c r="D927" s="3">
        <v>11</v>
      </c>
      <c r="E927" s="3">
        <v>-143.755</v>
      </c>
      <c r="F927" s="4" t="str">
        <f>HYPERLINK("http://141.218.60.56/~jnz1568/getInfo.php?workbook=12_04.xlsx&amp;sheet=A0&amp;row=927&amp;col=6&amp;number=159&amp;sourceID=14","159")</f>
        <v>159</v>
      </c>
      <c r="G927" s="4" t="str">
        <f>HYPERLINK("http://141.218.60.56/~jnz1568/getInfo.php?workbook=12_04.xlsx&amp;sheet=A0&amp;row=927&amp;col=7&amp;number=0&amp;sourceID=14","0")</f>
        <v>0</v>
      </c>
    </row>
    <row r="928" spans="1:7">
      <c r="A928" s="3">
        <v>12</v>
      </c>
      <c r="B928" s="3">
        <v>4</v>
      </c>
      <c r="C928" s="3">
        <v>67</v>
      </c>
      <c r="D928" s="3">
        <v>11</v>
      </c>
      <c r="E928" s="3">
        <v>-143.662</v>
      </c>
      <c r="F928" s="4" t="str">
        <f>HYPERLINK("http://141.218.60.56/~jnz1568/getInfo.php?workbook=12_04.xlsx&amp;sheet=A0&amp;row=928&amp;col=6&amp;number=228&amp;sourceID=14","228")</f>
        <v>228</v>
      </c>
      <c r="G928" s="4" t="str">
        <f>HYPERLINK("http://141.218.60.56/~jnz1568/getInfo.php?workbook=12_04.xlsx&amp;sheet=A0&amp;row=928&amp;col=7&amp;number=0&amp;sourceID=14","0")</f>
        <v>0</v>
      </c>
    </row>
    <row r="929" spans="1:7">
      <c r="A929" s="3">
        <v>12</v>
      </c>
      <c r="B929" s="3">
        <v>4</v>
      </c>
      <c r="C929" s="3">
        <v>68</v>
      </c>
      <c r="D929" s="3">
        <v>11</v>
      </c>
      <c r="E929" s="3">
        <v>143.415</v>
      </c>
      <c r="F929" s="4" t="str">
        <f>HYPERLINK("http://141.218.60.56/~jnz1568/getInfo.php?workbook=12_04.xlsx&amp;sheet=A0&amp;row=929&amp;col=6&amp;number=200&amp;sourceID=14","200")</f>
        <v>200</v>
      </c>
      <c r="G929" s="4" t="str">
        <f>HYPERLINK("http://141.218.60.56/~jnz1568/getInfo.php?workbook=12_04.xlsx&amp;sheet=A0&amp;row=929&amp;col=7&amp;number=0&amp;sourceID=14","0")</f>
        <v>0</v>
      </c>
    </row>
    <row r="930" spans="1:7">
      <c r="A930" s="3">
        <v>12</v>
      </c>
      <c r="B930" s="3">
        <v>4</v>
      </c>
      <c r="C930" s="3">
        <v>69</v>
      </c>
      <c r="D930" s="3">
        <v>11</v>
      </c>
      <c r="E930" s="3">
        <v>-142.569</v>
      </c>
      <c r="F930" s="4" t="str">
        <f>HYPERLINK("http://141.218.60.56/~jnz1568/getInfo.php?workbook=12_04.xlsx&amp;sheet=A0&amp;row=930&amp;col=6&amp;number=2.13&amp;sourceID=14","2.13")</f>
        <v>2.13</v>
      </c>
      <c r="G930" s="4" t="str">
        <f>HYPERLINK("http://141.218.60.56/~jnz1568/getInfo.php?workbook=12_04.xlsx&amp;sheet=A0&amp;row=930&amp;col=7&amp;number=0&amp;sourceID=14","0")</f>
        <v>0</v>
      </c>
    </row>
    <row r="931" spans="1:7">
      <c r="A931" s="3">
        <v>12</v>
      </c>
      <c r="B931" s="3">
        <v>4</v>
      </c>
      <c r="C931" s="3">
        <v>70</v>
      </c>
      <c r="D931" s="3">
        <v>11</v>
      </c>
      <c r="E931" s="3">
        <v>-142.441</v>
      </c>
      <c r="F931" s="4" t="str">
        <f>HYPERLINK("http://141.218.60.56/~jnz1568/getInfo.php?workbook=12_04.xlsx&amp;sheet=A0&amp;row=931&amp;col=6&amp;number=0.018&amp;sourceID=14","0.018")</f>
        <v>0.018</v>
      </c>
      <c r="G931" s="4" t="str">
        <f>HYPERLINK("http://141.218.60.56/~jnz1568/getInfo.php?workbook=12_04.xlsx&amp;sheet=A0&amp;row=931&amp;col=7&amp;number=0&amp;sourceID=14","0")</f>
        <v>0</v>
      </c>
    </row>
    <row r="932" spans="1:7">
      <c r="A932" s="3">
        <v>12</v>
      </c>
      <c r="B932" s="3">
        <v>4</v>
      </c>
      <c r="C932" s="3">
        <v>71</v>
      </c>
      <c r="D932" s="3">
        <v>11</v>
      </c>
      <c r="E932" s="3">
        <v>-142.05</v>
      </c>
      <c r="F932" s="4" t="str">
        <f>HYPERLINK("http://141.218.60.56/~jnz1568/getInfo.php?workbook=12_04.xlsx&amp;sheet=A0&amp;row=932&amp;col=6&amp;number=0.882&amp;sourceID=14","0.882")</f>
        <v>0.882</v>
      </c>
      <c r="G932" s="4" t="str">
        <f>HYPERLINK("http://141.218.60.56/~jnz1568/getInfo.php?workbook=12_04.xlsx&amp;sheet=A0&amp;row=932&amp;col=7&amp;number=0&amp;sourceID=14","0")</f>
        <v>0</v>
      </c>
    </row>
    <row r="933" spans="1:7">
      <c r="A933" s="3">
        <v>12</v>
      </c>
      <c r="B933" s="3">
        <v>4</v>
      </c>
      <c r="C933" s="3">
        <v>72</v>
      </c>
      <c r="D933" s="3">
        <v>11</v>
      </c>
      <c r="E933" s="3">
        <v>142.268</v>
      </c>
      <c r="F933" s="4" t="str">
        <f>HYPERLINK("http://141.218.60.56/~jnz1568/getInfo.php?workbook=12_04.xlsx&amp;sheet=A0&amp;row=933&amp;col=6&amp;number=2.36&amp;sourceID=14","2.36")</f>
        <v>2.36</v>
      </c>
      <c r="G933" s="4" t="str">
        <f>HYPERLINK("http://141.218.60.56/~jnz1568/getInfo.php?workbook=12_04.xlsx&amp;sheet=A0&amp;row=933&amp;col=7&amp;number=0&amp;sourceID=14","0")</f>
        <v>0</v>
      </c>
    </row>
    <row r="934" spans="1:7">
      <c r="A934" s="3">
        <v>12</v>
      </c>
      <c r="B934" s="3">
        <v>4</v>
      </c>
      <c r="C934" s="3">
        <v>73</v>
      </c>
      <c r="D934" s="3">
        <v>11</v>
      </c>
      <c r="E934" s="3">
        <v>-141.347</v>
      </c>
      <c r="F934" s="4" t="str">
        <f>HYPERLINK("http://141.218.60.56/~jnz1568/getInfo.php?workbook=12_04.xlsx&amp;sheet=A0&amp;row=934&amp;col=6&amp;number=1460000&amp;sourceID=14","1460000")</f>
        <v>1460000</v>
      </c>
      <c r="G934" s="4" t="str">
        <f>HYPERLINK("http://141.218.60.56/~jnz1568/getInfo.php?workbook=12_04.xlsx&amp;sheet=A0&amp;row=934&amp;col=7&amp;number=0&amp;sourceID=14","0")</f>
        <v>0</v>
      </c>
    </row>
    <row r="935" spans="1:7">
      <c r="A935" s="3">
        <v>12</v>
      </c>
      <c r="B935" s="3">
        <v>4</v>
      </c>
      <c r="C935" s="3">
        <v>74</v>
      </c>
      <c r="D935" s="3">
        <v>11</v>
      </c>
      <c r="E935" s="3">
        <v>-140.966</v>
      </c>
      <c r="F935" s="4" t="str">
        <f>HYPERLINK("http://141.218.60.56/~jnz1568/getInfo.php?workbook=12_04.xlsx&amp;sheet=A0&amp;row=935&amp;col=6&amp;number=0.592&amp;sourceID=14","0.592")</f>
        <v>0.592</v>
      </c>
      <c r="G935" s="4" t="str">
        <f>HYPERLINK("http://141.218.60.56/~jnz1568/getInfo.php?workbook=12_04.xlsx&amp;sheet=A0&amp;row=935&amp;col=7&amp;number=0&amp;sourceID=14","0")</f>
        <v>0</v>
      </c>
    </row>
    <row r="936" spans="1:7">
      <c r="A936" s="3">
        <v>12</v>
      </c>
      <c r="B936" s="3">
        <v>4</v>
      </c>
      <c r="C936" s="3">
        <v>75</v>
      </c>
      <c r="D936" s="3">
        <v>11</v>
      </c>
      <c r="E936" s="3">
        <v>141.092</v>
      </c>
      <c r="F936" s="4" t="str">
        <f>HYPERLINK("http://141.218.60.56/~jnz1568/getInfo.php?workbook=12_04.xlsx&amp;sheet=A0&amp;row=936&amp;col=6&amp;number=12800000&amp;sourceID=14","12800000")</f>
        <v>12800000</v>
      </c>
      <c r="G936" s="4" t="str">
        <f>HYPERLINK("http://141.218.60.56/~jnz1568/getInfo.php?workbook=12_04.xlsx&amp;sheet=A0&amp;row=936&amp;col=7&amp;number=0&amp;sourceID=14","0")</f>
        <v>0</v>
      </c>
    </row>
    <row r="937" spans="1:7">
      <c r="A937" s="3">
        <v>12</v>
      </c>
      <c r="B937" s="3">
        <v>4</v>
      </c>
      <c r="C937" s="3">
        <v>76</v>
      </c>
      <c r="D937" s="3">
        <v>11</v>
      </c>
      <c r="E937" s="3">
        <v>141.118</v>
      </c>
      <c r="F937" s="4" t="str">
        <f>HYPERLINK("http://141.218.60.56/~jnz1568/getInfo.php?workbook=12_04.xlsx&amp;sheet=A0&amp;row=937&amp;col=6&amp;number=24.8&amp;sourceID=14","24.8")</f>
        <v>24.8</v>
      </c>
      <c r="G937" s="4" t="str">
        <f>HYPERLINK("http://141.218.60.56/~jnz1568/getInfo.php?workbook=12_04.xlsx&amp;sheet=A0&amp;row=937&amp;col=7&amp;number=0&amp;sourceID=14","0")</f>
        <v>0</v>
      </c>
    </row>
    <row r="938" spans="1:7">
      <c r="A938" s="3">
        <v>12</v>
      </c>
      <c r="B938" s="3">
        <v>4</v>
      </c>
      <c r="C938" s="3">
        <v>77</v>
      </c>
      <c r="D938" s="3">
        <v>11</v>
      </c>
      <c r="E938" s="3">
        <v>-140.535</v>
      </c>
      <c r="F938" s="4" t="str">
        <f>HYPERLINK("http://141.218.60.56/~jnz1568/getInfo.php?workbook=12_04.xlsx&amp;sheet=A0&amp;row=938&amp;col=6&amp;number=0.587&amp;sourceID=14","0.587")</f>
        <v>0.587</v>
      </c>
      <c r="G938" s="4" t="str">
        <f>HYPERLINK("http://141.218.60.56/~jnz1568/getInfo.php?workbook=12_04.xlsx&amp;sheet=A0&amp;row=938&amp;col=7&amp;number=0&amp;sourceID=14","0")</f>
        <v>0</v>
      </c>
    </row>
    <row r="939" spans="1:7">
      <c r="A939" s="3">
        <v>12</v>
      </c>
      <c r="B939" s="3">
        <v>4</v>
      </c>
      <c r="C939" s="3">
        <v>78</v>
      </c>
      <c r="D939" s="3">
        <v>11</v>
      </c>
      <c r="E939" s="3">
        <v>-139.944</v>
      </c>
      <c r="F939" s="4" t="str">
        <f>HYPERLINK("http://141.218.60.56/~jnz1568/getInfo.php?workbook=12_04.xlsx&amp;sheet=A0&amp;row=939&amp;col=6&amp;number=29900000&amp;sourceID=14","29900000")</f>
        <v>29900000</v>
      </c>
      <c r="G939" s="4" t="str">
        <f>HYPERLINK("http://141.218.60.56/~jnz1568/getInfo.php?workbook=12_04.xlsx&amp;sheet=A0&amp;row=939&amp;col=7&amp;number=0&amp;sourceID=14","0")</f>
        <v>0</v>
      </c>
    </row>
    <row r="940" spans="1:7">
      <c r="A940" s="3">
        <v>12</v>
      </c>
      <c r="B940" s="3">
        <v>4</v>
      </c>
      <c r="C940" s="3">
        <v>79</v>
      </c>
      <c r="D940" s="3">
        <v>11</v>
      </c>
      <c r="E940" s="3">
        <v>-139.823</v>
      </c>
      <c r="F940" s="4" t="str">
        <f>HYPERLINK("http://141.218.60.56/~jnz1568/getInfo.php?workbook=12_04.xlsx&amp;sheet=A0&amp;row=940&amp;col=6&amp;number=68000000&amp;sourceID=14","68000000")</f>
        <v>68000000</v>
      </c>
      <c r="G940" s="4" t="str">
        <f>HYPERLINK("http://141.218.60.56/~jnz1568/getInfo.php?workbook=12_04.xlsx&amp;sheet=A0&amp;row=940&amp;col=7&amp;number=0&amp;sourceID=14","0")</f>
        <v>0</v>
      </c>
    </row>
    <row r="941" spans="1:7">
      <c r="A941" s="3">
        <v>12</v>
      </c>
      <c r="B941" s="3">
        <v>4</v>
      </c>
      <c r="C941" s="3">
        <v>80</v>
      </c>
      <c r="D941" s="3">
        <v>11</v>
      </c>
      <c r="E941" s="3">
        <v>-139.581</v>
      </c>
      <c r="F941" s="4" t="str">
        <f>HYPERLINK("http://141.218.60.56/~jnz1568/getInfo.php?workbook=12_04.xlsx&amp;sheet=A0&amp;row=941&amp;col=6&amp;number=5930&amp;sourceID=14","5930")</f>
        <v>5930</v>
      </c>
      <c r="G941" s="4" t="str">
        <f>HYPERLINK("http://141.218.60.56/~jnz1568/getInfo.php?workbook=12_04.xlsx&amp;sheet=A0&amp;row=941&amp;col=7&amp;number=0&amp;sourceID=14","0")</f>
        <v>0</v>
      </c>
    </row>
    <row r="942" spans="1:7">
      <c r="A942" s="3">
        <v>12</v>
      </c>
      <c r="B942" s="3">
        <v>4</v>
      </c>
      <c r="C942" s="3">
        <v>81</v>
      </c>
      <c r="D942" s="3">
        <v>11</v>
      </c>
      <c r="E942" s="3">
        <v>139.704</v>
      </c>
      <c r="F942" s="4" t="str">
        <f>HYPERLINK("http://141.218.60.56/~jnz1568/getInfo.php?workbook=12_04.xlsx&amp;sheet=A0&amp;row=942&amp;col=6&amp;number=0.757&amp;sourceID=14","0.757")</f>
        <v>0.757</v>
      </c>
      <c r="G942" s="4" t="str">
        <f>HYPERLINK("http://141.218.60.56/~jnz1568/getInfo.php?workbook=12_04.xlsx&amp;sheet=A0&amp;row=942&amp;col=7&amp;number=0&amp;sourceID=14","0")</f>
        <v>0</v>
      </c>
    </row>
    <row r="943" spans="1:7">
      <c r="A943" s="3">
        <v>12</v>
      </c>
      <c r="B943" s="3">
        <v>4</v>
      </c>
      <c r="C943" s="3">
        <v>82</v>
      </c>
      <c r="D943" s="3">
        <v>11</v>
      </c>
      <c r="E943" s="3">
        <v>-139.511</v>
      </c>
      <c r="F943" s="4" t="str">
        <f>HYPERLINK("http://141.218.60.56/~jnz1568/getInfo.php?workbook=12_04.xlsx&amp;sheet=A0&amp;row=943&amp;col=6&amp;number=3780&amp;sourceID=14","3780")</f>
        <v>3780</v>
      </c>
      <c r="G943" s="4" t="str">
        <f>HYPERLINK("http://141.218.60.56/~jnz1568/getInfo.php?workbook=12_04.xlsx&amp;sheet=A0&amp;row=943&amp;col=7&amp;number=0&amp;sourceID=14","0")</f>
        <v>0</v>
      </c>
    </row>
    <row r="944" spans="1:7">
      <c r="A944" s="3">
        <v>12</v>
      </c>
      <c r="B944" s="3">
        <v>4</v>
      </c>
      <c r="C944" s="3">
        <v>83</v>
      </c>
      <c r="D944" s="3">
        <v>11</v>
      </c>
      <c r="E944" s="3">
        <v>-139.51</v>
      </c>
      <c r="F944" s="4" t="str">
        <f>HYPERLINK("http://141.218.60.56/~jnz1568/getInfo.php?workbook=12_04.xlsx&amp;sheet=A0&amp;row=944&amp;col=6&amp;number=3580&amp;sourceID=14","3580")</f>
        <v>3580</v>
      </c>
      <c r="G944" s="4" t="str">
        <f>HYPERLINK("http://141.218.60.56/~jnz1568/getInfo.php?workbook=12_04.xlsx&amp;sheet=A0&amp;row=944&amp;col=7&amp;number=0&amp;sourceID=14","0")</f>
        <v>0</v>
      </c>
    </row>
    <row r="945" spans="1:7">
      <c r="A945" s="3">
        <v>12</v>
      </c>
      <c r="B945" s="3">
        <v>4</v>
      </c>
      <c r="C945" s="3">
        <v>84</v>
      </c>
      <c r="D945" s="3">
        <v>11</v>
      </c>
      <c r="E945" s="3">
        <v>-139.446</v>
      </c>
      <c r="F945" s="4" t="str">
        <f>HYPERLINK("http://141.218.60.56/~jnz1568/getInfo.php?workbook=12_04.xlsx&amp;sheet=A0&amp;row=945&amp;col=6&amp;number=0.000131&amp;sourceID=14","0.000131")</f>
        <v>0.000131</v>
      </c>
      <c r="G945" s="4" t="str">
        <f>HYPERLINK("http://141.218.60.56/~jnz1568/getInfo.php?workbook=12_04.xlsx&amp;sheet=A0&amp;row=945&amp;col=7&amp;number=0&amp;sourceID=14","0")</f>
        <v>0</v>
      </c>
    </row>
    <row r="946" spans="1:7">
      <c r="A946" s="3">
        <v>12</v>
      </c>
      <c r="B946" s="3">
        <v>4</v>
      </c>
      <c r="C946" s="3">
        <v>85</v>
      </c>
      <c r="D946" s="3">
        <v>11</v>
      </c>
      <c r="E946" s="3">
        <v>139.47</v>
      </c>
      <c r="F946" s="4" t="str">
        <f>HYPERLINK("http://141.218.60.56/~jnz1568/getInfo.php?workbook=12_04.xlsx&amp;sheet=A0&amp;row=946&amp;col=6&amp;number=319000000&amp;sourceID=14","319000000")</f>
        <v>319000000</v>
      </c>
      <c r="G946" s="4" t="str">
        <f>HYPERLINK("http://141.218.60.56/~jnz1568/getInfo.php?workbook=12_04.xlsx&amp;sheet=A0&amp;row=946&amp;col=7&amp;number=0&amp;sourceID=14","0")</f>
        <v>0</v>
      </c>
    </row>
    <row r="947" spans="1:7">
      <c r="A947" s="3">
        <v>12</v>
      </c>
      <c r="B947" s="3">
        <v>4</v>
      </c>
      <c r="C947" s="3">
        <v>86</v>
      </c>
      <c r="D947" s="3">
        <v>11</v>
      </c>
      <c r="E947" s="3">
        <v>139.369</v>
      </c>
      <c r="F947" s="4" t="str">
        <f>HYPERLINK("http://141.218.60.56/~jnz1568/getInfo.php?workbook=12_04.xlsx&amp;sheet=A0&amp;row=947&amp;col=6&amp;number=365000000&amp;sourceID=14","365000000")</f>
        <v>365000000</v>
      </c>
      <c r="G947" s="4" t="str">
        <f>HYPERLINK("http://141.218.60.56/~jnz1568/getInfo.php?workbook=12_04.xlsx&amp;sheet=A0&amp;row=947&amp;col=7&amp;number=0&amp;sourceID=14","0")</f>
        <v>0</v>
      </c>
    </row>
    <row r="948" spans="1:7">
      <c r="A948" s="3">
        <v>12</v>
      </c>
      <c r="B948" s="3">
        <v>4</v>
      </c>
      <c r="C948" s="3">
        <v>87</v>
      </c>
      <c r="D948" s="3">
        <v>11</v>
      </c>
      <c r="E948" s="3">
        <v>-138.975</v>
      </c>
      <c r="F948" s="4" t="str">
        <f>HYPERLINK("http://141.218.60.56/~jnz1568/getInfo.php?workbook=12_04.xlsx&amp;sheet=A0&amp;row=948&amp;col=6&amp;number=396000000&amp;sourceID=14","396000000")</f>
        <v>396000000</v>
      </c>
      <c r="G948" s="4" t="str">
        <f>HYPERLINK("http://141.218.60.56/~jnz1568/getInfo.php?workbook=12_04.xlsx&amp;sheet=A0&amp;row=948&amp;col=7&amp;number=0&amp;sourceID=14","0")</f>
        <v>0</v>
      </c>
    </row>
    <row r="949" spans="1:7">
      <c r="A949" s="3">
        <v>12</v>
      </c>
      <c r="B949" s="3">
        <v>4</v>
      </c>
      <c r="C949" s="3">
        <v>88</v>
      </c>
      <c r="D949" s="3">
        <v>11</v>
      </c>
      <c r="E949" s="3">
        <v>-138.824</v>
      </c>
      <c r="F949" s="4" t="str">
        <f>HYPERLINK("http://141.218.60.56/~jnz1568/getInfo.php?workbook=12_04.xlsx&amp;sheet=A0&amp;row=949&amp;col=6&amp;number=25.4&amp;sourceID=14","25.4")</f>
        <v>25.4</v>
      </c>
      <c r="G949" s="4" t="str">
        <f>HYPERLINK("http://141.218.60.56/~jnz1568/getInfo.php?workbook=12_04.xlsx&amp;sheet=A0&amp;row=949&amp;col=7&amp;number=0&amp;sourceID=14","0")</f>
        <v>0</v>
      </c>
    </row>
    <row r="950" spans="1:7">
      <c r="A950" s="3">
        <v>12</v>
      </c>
      <c r="B950" s="3">
        <v>4</v>
      </c>
      <c r="C950" s="3">
        <v>89</v>
      </c>
      <c r="D950" s="3">
        <v>11</v>
      </c>
      <c r="E950" s="3">
        <v>-138.735</v>
      </c>
      <c r="F950" s="4" t="str">
        <f>HYPERLINK("http://141.218.60.56/~jnz1568/getInfo.php?workbook=12_04.xlsx&amp;sheet=A0&amp;row=950&amp;col=6&amp;number=0.000114&amp;sourceID=14","0.000114")</f>
        <v>0.000114</v>
      </c>
      <c r="G950" s="4" t="str">
        <f>HYPERLINK("http://141.218.60.56/~jnz1568/getInfo.php?workbook=12_04.xlsx&amp;sheet=A0&amp;row=950&amp;col=7&amp;number=0&amp;sourceID=14","0")</f>
        <v>0</v>
      </c>
    </row>
    <row r="951" spans="1:7">
      <c r="A951" s="3">
        <v>12</v>
      </c>
      <c r="B951" s="3">
        <v>4</v>
      </c>
      <c r="C951" s="3">
        <v>90</v>
      </c>
      <c r="D951" s="3">
        <v>11</v>
      </c>
      <c r="E951" s="3">
        <v>-138.471</v>
      </c>
      <c r="F951" s="4" t="str">
        <f>HYPERLINK("http://141.218.60.56/~jnz1568/getInfo.php?workbook=12_04.xlsx&amp;sheet=A0&amp;row=951&amp;col=6&amp;number=0.000114&amp;sourceID=14","0.000114")</f>
        <v>0.000114</v>
      </c>
      <c r="G951" s="4" t="str">
        <f>HYPERLINK("http://141.218.60.56/~jnz1568/getInfo.php?workbook=12_04.xlsx&amp;sheet=A0&amp;row=951&amp;col=7&amp;number=0&amp;sourceID=14","0")</f>
        <v>0</v>
      </c>
    </row>
    <row r="952" spans="1:7">
      <c r="A952" s="3">
        <v>12</v>
      </c>
      <c r="B952" s="3">
        <v>4</v>
      </c>
      <c r="C952" s="3">
        <v>91</v>
      </c>
      <c r="D952" s="3">
        <v>11</v>
      </c>
      <c r="E952" s="3">
        <v>-138.238</v>
      </c>
      <c r="F952" s="4" t="str">
        <f>HYPERLINK("http://141.218.60.56/~jnz1568/getInfo.php?workbook=12_04.xlsx&amp;sheet=A0&amp;row=952&amp;col=6&amp;number=92500&amp;sourceID=14","92500")</f>
        <v>92500</v>
      </c>
      <c r="G952" s="4" t="str">
        <f>HYPERLINK("http://141.218.60.56/~jnz1568/getInfo.php?workbook=12_04.xlsx&amp;sheet=A0&amp;row=952&amp;col=7&amp;number=0&amp;sourceID=14","0")</f>
        <v>0</v>
      </c>
    </row>
    <row r="953" spans="1:7">
      <c r="A953" s="3">
        <v>12</v>
      </c>
      <c r="B953" s="3">
        <v>4</v>
      </c>
      <c r="C953" s="3">
        <v>92</v>
      </c>
      <c r="D953" s="3">
        <v>11</v>
      </c>
      <c r="E953" s="3">
        <v>-138.183</v>
      </c>
      <c r="F953" s="4" t="str">
        <f>HYPERLINK("http://141.218.60.56/~jnz1568/getInfo.php?workbook=12_04.xlsx&amp;sheet=A0&amp;row=953&amp;col=6&amp;number=1.76e-05&amp;sourceID=14","1.76e-05")</f>
        <v>1.76e-05</v>
      </c>
      <c r="G953" s="4" t="str">
        <f>HYPERLINK("http://141.218.60.56/~jnz1568/getInfo.php?workbook=12_04.xlsx&amp;sheet=A0&amp;row=953&amp;col=7&amp;number=0&amp;sourceID=14","0")</f>
        <v>0</v>
      </c>
    </row>
    <row r="954" spans="1:7">
      <c r="A954" s="3">
        <v>12</v>
      </c>
      <c r="B954" s="3">
        <v>4</v>
      </c>
      <c r="C954" s="3">
        <v>93</v>
      </c>
      <c r="D954" s="3">
        <v>11</v>
      </c>
      <c r="E954" s="3">
        <v>-138.133</v>
      </c>
      <c r="F954" s="4" t="str">
        <f>HYPERLINK("http://141.218.60.56/~jnz1568/getInfo.php?workbook=12_04.xlsx&amp;sheet=A0&amp;row=954&amp;col=6&amp;number=80800&amp;sourceID=14","80800")</f>
        <v>80800</v>
      </c>
      <c r="G954" s="4" t="str">
        <f>HYPERLINK("http://141.218.60.56/~jnz1568/getInfo.php?workbook=12_04.xlsx&amp;sheet=A0&amp;row=954&amp;col=7&amp;number=0&amp;sourceID=14","0")</f>
        <v>0</v>
      </c>
    </row>
    <row r="955" spans="1:7">
      <c r="A955" s="3">
        <v>12</v>
      </c>
      <c r="B955" s="3">
        <v>4</v>
      </c>
      <c r="C955" s="3">
        <v>94</v>
      </c>
      <c r="D955" s="3">
        <v>11</v>
      </c>
      <c r="E955" s="3">
        <v>-137.949</v>
      </c>
      <c r="F955" s="4" t="str">
        <f>HYPERLINK("http://141.218.60.56/~jnz1568/getInfo.php?workbook=12_04.xlsx&amp;sheet=A0&amp;row=955&amp;col=6&amp;number=102000&amp;sourceID=14","102000")</f>
        <v>102000</v>
      </c>
      <c r="G955" s="4" t="str">
        <f>HYPERLINK("http://141.218.60.56/~jnz1568/getInfo.php?workbook=12_04.xlsx&amp;sheet=A0&amp;row=955&amp;col=7&amp;number=0&amp;sourceID=14","0")</f>
        <v>0</v>
      </c>
    </row>
    <row r="956" spans="1:7">
      <c r="A956" s="3">
        <v>12</v>
      </c>
      <c r="B956" s="3">
        <v>4</v>
      </c>
      <c r="C956" s="3">
        <v>95</v>
      </c>
      <c r="D956" s="3">
        <v>11</v>
      </c>
      <c r="E956" s="3">
        <v>-137.828</v>
      </c>
      <c r="F956" s="4" t="str">
        <f>HYPERLINK("http://141.218.60.56/~jnz1568/getInfo.php?workbook=12_04.xlsx&amp;sheet=A0&amp;row=956&amp;col=6&amp;number=0.000309&amp;sourceID=14","0.000309")</f>
        <v>0.000309</v>
      </c>
      <c r="G956" s="4" t="str">
        <f>HYPERLINK("http://141.218.60.56/~jnz1568/getInfo.php?workbook=12_04.xlsx&amp;sheet=A0&amp;row=956&amp;col=7&amp;number=0&amp;sourceID=14","0")</f>
        <v>0</v>
      </c>
    </row>
    <row r="957" spans="1:7">
      <c r="A957" s="3">
        <v>12</v>
      </c>
      <c r="B957" s="3">
        <v>4</v>
      </c>
      <c r="C957" s="3">
        <v>96</v>
      </c>
      <c r="D957" s="3">
        <v>11</v>
      </c>
      <c r="E957" s="3">
        <v>-137.717</v>
      </c>
      <c r="F957" s="4" t="str">
        <f>HYPERLINK("http://141.218.60.56/~jnz1568/getInfo.php?workbook=12_04.xlsx&amp;sheet=A0&amp;row=957&amp;col=6&amp;number=17200&amp;sourceID=14","17200")</f>
        <v>17200</v>
      </c>
      <c r="G957" s="4" t="str">
        <f>HYPERLINK("http://141.218.60.56/~jnz1568/getInfo.php?workbook=12_04.xlsx&amp;sheet=A0&amp;row=957&amp;col=7&amp;number=0&amp;sourceID=14","0")</f>
        <v>0</v>
      </c>
    </row>
    <row r="958" spans="1:7">
      <c r="A958" s="3">
        <v>12</v>
      </c>
      <c r="B958" s="3">
        <v>4</v>
      </c>
      <c r="C958" s="3">
        <v>97</v>
      </c>
      <c r="D958" s="3">
        <v>11</v>
      </c>
      <c r="E958" s="3">
        <v>138.099</v>
      </c>
      <c r="F958" s="4" t="str">
        <f>HYPERLINK("http://141.218.60.56/~jnz1568/getInfo.php?workbook=12_04.xlsx&amp;sheet=A0&amp;row=958&amp;col=6&amp;number=0.00726&amp;sourceID=14","0.00726")</f>
        <v>0.00726</v>
      </c>
      <c r="G958" s="4" t="str">
        <f>HYPERLINK("http://141.218.60.56/~jnz1568/getInfo.php?workbook=12_04.xlsx&amp;sheet=A0&amp;row=958&amp;col=7&amp;number=0&amp;sourceID=14","0")</f>
        <v>0</v>
      </c>
    </row>
    <row r="959" spans="1:7">
      <c r="A959" s="3">
        <v>12</v>
      </c>
      <c r="B959" s="3">
        <v>4</v>
      </c>
      <c r="C959" s="3">
        <v>98</v>
      </c>
      <c r="D959" s="3">
        <v>11</v>
      </c>
      <c r="E959" s="3">
        <v>137.768</v>
      </c>
      <c r="F959" s="4" t="str">
        <f>HYPERLINK("http://141.218.60.56/~jnz1568/getInfo.php?workbook=12_04.xlsx&amp;sheet=A0&amp;row=959&amp;col=6&amp;number=2260000&amp;sourceID=14","2260000")</f>
        <v>2260000</v>
      </c>
      <c r="G959" s="4" t="str">
        <f>HYPERLINK("http://141.218.60.56/~jnz1568/getInfo.php?workbook=12_04.xlsx&amp;sheet=A0&amp;row=959&amp;col=7&amp;number=0&amp;sourceID=14","0")</f>
        <v>0</v>
      </c>
    </row>
    <row r="960" spans="1:7">
      <c r="A960" s="3">
        <v>12</v>
      </c>
      <c r="B960" s="3">
        <v>4</v>
      </c>
      <c r="C960" s="3">
        <v>13</v>
      </c>
      <c r="D960" s="3">
        <v>12</v>
      </c>
      <c r="E960" s="3">
        <v>2815.321</v>
      </c>
      <c r="F960" s="4" t="str">
        <f>HYPERLINK("http://141.218.60.56/~jnz1568/getInfo.php?workbook=12_04.xlsx&amp;sheet=A0&amp;row=960&amp;col=6&amp;number=35000000&amp;sourceID=14","35000000")</f>
        <v>35000000</v>
      </c>
      <c r="G960" s="4" t="str">
        <f>HYPERLINK("http://141.218.60.56/~jnz1568/getInfo.php?workbook=12_04.xlsx&amp;sheet=A0&amp;row=960&amp;col=7&amp;number=0&amp;sourceID=14","0")</f>
        <v>0</v>
      </c>
    </row>
    <row r="961" spans="1:7">
      <c r="A961" s="3">
        <v>12</v>
      </c>
      <c r="B961" s="3">
        <v>4</v>
      </c>
      <c r="C961" s="3">
        <v>15</v>
      </c>
      <c r="D961" s="3">
        <v>12</v>
      </c>
      <c r="E961" s="3">
        <v>2536.788</v>
      </c>
      <c r="F961" s="4" t="str">
        <f>HYPERLINK("http://141.218.60.56/~jnz1568/getInfo.php?workbook=12_04.xlsx&amp;sheet=A0&amp;row=961&amp;col=6&amp;number=1170000&amp;sourceID=14","1170000")</f>
        <v>1170000</v>
      </c>
      <c r="G961" s="4" t="str">
        <f>HYPERLINK("http://141.218.60.56/~jnz1568/getInfo.php?workbook=12_04.xlsx&amp;sheet=A0&amp;row=961&amp;col=7&amp;number=0&amp;sourceID=14","0")</f>
        <v>0</v>
      </c>
    </row>
    <row r="962" spans="1:7">
      <c r="A962" s="3">
        <v>12</v>
      </c>
      <c r="B962" s="3">
        <v>4</v>
      </c>
      <c r="C962" s="3">
        <v>16</v>
      </c>
      <c r="D962" s="3">
        <v>12</v>
      </c>
      <c r="E962" s="3">
        <v>2536.788</v>
      </c>
      <c r="F962" s="4" t="str">
        <f>HYPERLINK("http://141.218.60.56/~jnz1568/getInfo.php?workbook=12_04.xlsx&amp;sheet=A0&amp;row=962&amp;col=6&amp;number=0.000571&amp;sourceID=14","0.000571")</f>
        <v>0.000571</v>
      </c>
      <c r="G962" s="4" t="str">
        <f>HYPERLINK("http://141.218.60.56/~jnz1568/getInfo.php?workbook=12_04.xlsx&amp;sheet=A0&amp;row=962&amp;col=7&amp;number=0&amp;sourceID=14","0")</f>
        <v>0</v>
      </c>
    </row>
    <row r="963" spans="1:7">
      <c r="A963" s="3">
        <v>12</v>
      </c>
      <c r="B963" s="3">
        <v>4</v>
      </c>
      <c r="C963" s="3">
        <v>17</v>
      </c>
      <c r="D963" s="3">
        <v>12</v>
      </c>
      <c r="E963" s="3">
        <v>1370.617</v>
      </c>
      <c r="F963" s="4" t="str">
        <f>HYPERLINK("http://141.218.60.56/~jnz1568/getInfo.php?workbook=12_04.xlsx&amp;sheet=A0&amp;row=963&amp;col=6&amp;number=8.98e-06&amp;sourceID=14","8.98e-06")</f>
        <v>8.98e-06</v>
      </c>
      <c r="G963" s="4" t="str">
        <f>HYPERLINK("http://141.218.60.56/~jnz1568/getInfo.php?workbook=12_04.xlsx&amp;sheet=A0&amp;row=963&amp;col=7&amp;number=0&amp;sourceID=14","0")</f>
        <v>0</v>
      </c>
    </row>
    <row r="964" spans="1:7">
      <c r="A964" s="3">
        <v>12</v>
      </c>
      <c r="B964" s="3">
        <v>4</v>
      </c>
      <c r="C964" s="3">
        <v>18</v>
      </c>
      <c r="D964" s="3">
        <v>12</v>
      </c>
      <c r="E964" s="3">
        <v>1368.179</v>
      </c>
      <c r="F964" s="4" t="str">
        <f>HYPERLINK("http://141.218.60.56/~jnz1568/getInfo.php?workbook=12_04.xlsx&amp;sheet=A0&amp;row=964&amp;col=6&amp;number=0.00252&amp;sourceID=14","0.00252")</f>
        <v>0.00252</v>
      </c>
      <c r="G964" s="4" t="str">
        <f>HYPERLINK("http://141.218.60.56/~jnz1568/getInfo.php?workbook=12_04.xlsx&amp;sheet=A0&amp;row=964&amp;col=7&amp;number=0&amp;sourceID=14","0")</f>
        <v>0</v>
      </c>
    </row>
    <row r="965" spans="1:7">
      <c r="A965" s="3">
        <v>12</v>
      </c>
      <c r="B965" s="3">
        <v>4</v>
      </c>
      <c r="C965" s="3">
        <v>20</v>
      </c>
      <c r="D965" s="3">
        <v>12</v>
      </c>
      <c r="E965" s="3">
        <v>1036.271</v>
      </c>
      <c r="F965" s="4" t="str">
        <f>HYPERLINK("http://141.218.60.56/~jnz1568/getInfo.php?workbook=12_04.xlsx&amp;sheet=A0&amp;row=965&amp;col=6&amp;number=543&amp;sourceID=14","543")</f>
        <v>543</v>
      </c>
      <c r="G965" s="4" t="str">
        <f>HYPERLINK("http://141.218.60.56/~jnz1568/getInfo.php?workbook=12_04.xlsx&amp;sheet=A0&amp;row=965&amp;col=7&amp;number=0&amp;sourceID=14","0")</f>
        <v>0</v>
      </c>
    </row>
    <row r="966" spans="1:7">
      <c r="A966" s="3">
        <v>12</v>
      </c>
      <c r="B966" s="3">
        <v>4</v>
      </c>
      <c r="C966" s="3">
        <v>22</v>
      </c>
      <c r="D966" s="3">
        <v>12</v>
      </c>
      <c r="E966" s="3">
        <v>652.87</v>
      </c>
      <c r="F966" s="4" t="str">
        <f>HYPERLINK("http://141.218.60.56/~jnz1568/getInfo.php?workbook=12_04.xlsx&amp;sheet=A0&amp;row=966&amp;col=6&amp;number=5820000&amp;sourceID=14","5820000")</f>
        <v>5820000</v>
      </c>
      <c r="G966" s="4" t="str">
        <f>HYPERLINK("http://141.218.60.56/~jnz1568/getInfo.php?workbook=12_04.xlsx&amp;sheet=A0&amp;row=966&amp;col=7&amp;number=0&amp;sourceID=14","0")</f>
        <v>0</v>
      </c>
    </row>
    <row r="967" spans="1:7">
      <c r="A967" s="3">
        <v>12</v>
      </c>
      <c r="B967" s="3">
        <v>4</v>
      </c>
      <c r="C967" s="3">
        <v>23</v>
      </c>
      <c r="D967" s="3">
        <v>12</v>
      </c>
      <c r="E967" s="3">
        <v>641.767</v>
      </c>
      <c r="F967" s="4" t="str">
        <f>HYPERLINK("http://141.218.60.56/~jnz1568/getInfo.php?workbook=12_04.xlsx&amp;sheet=A0&amp;row=967&amp;col=6&amp;number=0.0834&amp;sourceID=14","0.0834")</f>
        <v>0.0834</v>
      </c>
      <c r="G967" s="4" t="str">
        <f>HYPERLINK("http://141.218.60.56/~jnz1568/getInfo.php?workbook=12_04.xlsx&amp;sheet=A0&amp;row=967&amp;col=7&amp;number=0&amp;sourceID=14","0")</f>
        <v>0</v>
      </c>
    </row>
    <row r="968" spans="1:7">
      <c r="A968" s="3">
        <v>12</v>
      </c>
      <c r="B968" s="3">
        <v>4</v>
      </c>
      <c r="C968" s="3">
        <v>24</v>
      </c>
      <c r="D968" s="3">
        <v>12</v>
      </c>
      <c r="E968" s="3">
        <v>540.658</v>
      </c>
      <c r="F968" s="4" t="str">
        <f>HYPERLINK("http://141.218.60.56/~jnz1568/getInfo.php?workbook=12_04.xlsx&amp;sheet=A0&amp;row=968&amp;col=6&amp;number=2330000000&amp;sourceID=14","2330000000")</f>
        <v>2330000000</v>
      </c>
      <c r="G968" s="4" t="str">
        <f>HYPERLINK("http://141.218.60.56/~jnz1568/getInfo.php?workbook=12_04.xlsx&amp;sheet=A0&amp;row=968&amp;col=7&amp;number=0&amp;sourceID=14","0")</f>
        <v>0</v>
      </c>
    </row>
    <row r="969" spans="1:7">
      <c r="A969" s="3">
        <v>12</v>
      </c>
      <c r="B969" s="3">
        <v>4</v>
      </c>
      <c r="C969" s="3">
        <v>25</v>
      </c>
      <c r="D969" s="3">
        <v>12</v>
      </c>
      <c r="E969" s="3">
        <v>526.206</v>
      </c>
      <c r="F969" s="4" t="str">
        <f>HYPERLINK("http://141.218.60.56/~jnz1568/getInfo.php?workbook=12_04.xlsx&amp;sheet=A0&amp;row=969&amp;col=6&amp;number=0.00016&amp;sourceID=14","0.00016")</f>
        <v>0.00016</v>
      </c>
      <c r="G969" s="4" t="str">
        <f>HYPERLINK("http://141.218.60.56/~jnz1568/getInfo.php?workbook=12_04.xlsx&amp;sheet=A0&amp;row=969&amp;col=7&amp;number=0&amp;sourceID=14","0")</f>
        <v>0</v>
      </c>
    </row>
    <row r="970" spans="1:7">
      <c r="A970" s="3">
        <v>12</v>
      </c>
      <c r="B970" s="3">
        <v>4</v>
      </c>
      <c r="C970" s="3">
        <v>26</v>
      </c>
      <c r="D970" s="3">
        <v>12</v>
      </c>
      <c r="E970" s="3">
        <v>506.612</v>
      </c>
      <c r="F970" s="4" t="str">
        <f>HYPERLINK("http://141.218.60.56/~jnz1568/getInfo.php?workbook=12_04.xlsx&amp;sheet=A0&amp;row=970&amp;col=6&amp;number=0.00105&amp;sourceID=14","0.00105")</f>
        <v>0.00105</v>
      </c>
      <c r="G970" s="4" t="str">
        <f>HYPERLINK("http://141.218.60.56/~jnz1568/getInfo.php?workbook=12_04.xlsx&amp;sheet=A0&amp;row=970&amp;col=7&amp;number=0&amp;sourceID=14","0")</f>
        <v>0</v>
      </c>
    </row>
    <row r="971" spans="1:7">
      <c r="A971" s="3">
        <v>12</v>
      </c>
      <c r="B971" s="3">
        <v>4</v>
      </c>
      <c r="C971" s="3">
        <v>27</v>
      </c>
      <c r="D971" s="3">
        <v>12</v>
      </c>
      <c r="E971" s="3">
        <v>504.059</v>
      </c>
      <c r="F971" s="4" t="str">
        <f>HYPERLINK("http://141.218.60.56/~jnz1568/getInfo.php?workbook=12_04.xlsx&amp;sheet=A0&amp;row=971&amp;col=6&amp;number=0.0418&amp;sourceID=14","0.0418")</f>
        <v>0.0418</v>
      </c>
      <c r="G971" s="4" t="str">
        <f>HYPERLINK("http://141.218.60.56/~jnz1568/getInfo.php?workbook=12_04.xlsx&amp;sheet=A0&amp;row=971&amp;col=7&amp;number=0&amp;sourceID=14","0")</f>
        <v>0</v>
      </c>
    </row>
    <row r="972" spans="1:7">
      <c r="A972" s="3">
        <v>12</v>
      </c>
      <c r="B972" s="3">
        <v>4</v>
      </c>
      <c r="C972" s="3">
        <v>29</v>
      </c>
      <c r="D972" s="3">
        <v>12</v>
      </c>
      <c r="E972" s="3">
        <v>471.032</v>
      </c>
      <c r="F972" s="4" t="str">
        <f>HYPERLINK("http://141.218.60.56/~jnz1568/getInfo.php?workbook=12_04.xlsx&amp;sheet=A0&amp;row=972&amp;col=6&amp;number=0.0131&amp;sourceID=14","0.0131")</f>
        <v>0.0131</v>
      </c>
      <c r="G972" s="4" t="str">
        <f>HYPERLINK("http://141.218.60.56/~jnz1568/getInfo.php?workbook=12_04.xlsx&amp;sheet=A0&amp;row=972&amp;col=7&amp;number=0&amp;sourceID=14","0")</f>
        <v>0</v>
      </c>
    </row>
    <row r="973" spans="1:7">
      <c r="A973" s="3">
        <v>12</v>
      </c>
      <c r="B973" s="3">
        <v>4</v>
      </c>
      <c r="C973" s="3">
        <v>31</v>
      </c>
      <c r="D973" s="3">
        <v>12</v>
      </c>
      <c r="E973" s="3">
        <v>453.289</v>
      </c>
      <c r="F973" s="4" t="str">
        <f>HYPERLINK("http://141.218.60.56/~jnz1568/getInfo.php?workbook=12_04.xlsx&amp;sheet=A0&amp;row=973&amp;col=6&amp;number=0.746&amp;sourceID=14","0.746")</f>
        <v>0.746</v>
      </c>
      <c r="G973" s="4" t="str">
        <f>HYPERLINK("http://141.218.60.56/~jnz1568/getInfo.php?workbook=12_04.xlsx&amp;sheet=A0&amp;row=973&amp;col=7&amp;number=0&amp;sourceID=14","0")</f>
        <v>0</v>
      </c>
    </row>
    <row r="974" spans="1:7">
      <c r="A974" s="3">
        <v>12</v>
      </c>
      <c r="B974" s="3">
        <v>4</v>
      </c>
      <c r="C974" s="3">
        <v>32</v>
      </c>
      <c r="D974" s="3">
        <v>12</v>
      </c>
      <c r="E974" s="3">
        <v>450.634</v>
      </c>
      <c r="F974" s="4" t="str">
        <f>HYPERLINK("http://141.218.60.56/~jnz1568/getInfo.php?workbook=12_04.xlsx&amp;sheet=A0&amp;row=974&amp;col=6&amp;number=0.229&amp;sourceID=14","0.229")</f>
        <v>0.229</v>
      </c>
      <c r="G974" s="4" t="str">
        <f>HYPERLINK("http://141.218.60.56/~jnz1568/getInfo.php?workbook=12_04.xlsx&amp;sheet=A0&amp;row=974&amp;col=7&amp;number=0&amp;sourceID=14","0")</f>
        <v>0</v>
      </c>
    </row>
    <row r="975" spans="1:7">
      <c r="A975" s="3">
        <v>12</v>
      </c>
      <c r="B975" s="3">
        <v>4</v>
      </c>
      <c r="C975" s="3">
        <v>33</v>
      </c>
      <c r="D975" s="3">
        <v>12</v>
      </c>
      <c r="E975" s="3">
        <v>-436.253</v>
      </c>
      <c r="F975" s="4" t="str">
        <f>HYPERLINK("http://141.218.60.56/~jnz1568/getInfo.php?workbook=12_04.xlsx&amp;sheet=A0&amp;row=975&amp;col=6&amp;number=0.00541&amp;sourceID=14","0.00541")</f>
        <v>0.00541</v>
      </c>
      <c r="G975" s="4" t="str">
        <f>HYPERLINK("http://141.218.60.56/~jnz1568/getInfo.php?workbook=12_04.xlsx&amp;sheet=A0&amp;row=975&amp;col=7&amp;number=0&amp;sourceID=14","0")</f>
        <v>0</v>
      </c>
    </row>
    <row r="976" spans="1:7">
      <c r="A976" s="3">
        <v>12</v>
      </c>
      <c r="B976" s="3">
        <v>4</v>
      </c>
      <c r="C976" s="3">
        <v>34</v>
      </c>
      <c r="D976" s="3">
        <v>12</v>
      </c>
      <c r="E976" s="3">
        <v>-432.394</v>
      </c>
      <c r="F976" s="4" t="str">
        <f>HYPERLINK("http://141.218.60.56/~jnz1568/getInfo.php?workbook=12_04.xlsx&amp;sheet=A0&amp;row=976&amp;col=6&amp;number=7.9e-06&amp;sourceID=14","7.9e-06")</f>
        <v>7.9e-06</v>
      </c>
      <c r="G976" s="4" t="str">
        <f>HYPERLINK("http://141.218.60.56/~jnz1568/getInfo.php?workbook=12_04.xlsx&amp;sheet=A0&amp;row=976&amp;col=7&amp;number=0&amp;sourceID=14","0")</f>
        <v>0</v>
      </c>
    </row>
    <row r="977" spans="1:7">
      <c r="A977" s="3">
        <v>12</v>
      </c>
      <c r="B977" s="3">
        <v>4</v>
      </c>
      <c r="C977" s="3">
        <v>35</v>
      </c>
      <c r="D977" s="3">
        <v>12</v>
      </c>
      <c r="E977" s="3">
        <v>431.854</v>
      </c>
      <c r="F977" s="4" t="str">
        <f>HYPERLINK("http://141.218.60.56/~jnz1568/getInfo.php?workbook=12_04.xlsx&amp;sheet=A0&amp;row=977&amp;col=6&amp;number=0.0204&amp;sourceID=14","0.0204")</f>
        <v>0.0204</v>
      </c>
      <c r="G977" s="4" t="str">
        <f>HYPERLINK("http://141.218.60.56/~jnz1568/getInfo.php?workbook=12_04.xlsx&amp;sheet=A0&amp;row=977&amp;col=7&amp;number=0&amp;sourceID=14","0")</f>
        <v>0</v>
      </c>
    </row>
    <row r="978" spans="1:7">
      <c r="A978" s="3">
        <v>12</v>
      </c>
      <c r="B978" s="3">
        <v>4</v>
      </c>
      <c r="C978" s="3">
        <v>37</v>
      </c>
      <c r="D978" s="3">
        <v>12</v>
      </c>
      <c r="E978" s="3">
        <v>420.54</v>
      </c>
      <c r="F978" s="4" t="str">
        <f>HYPERLINK("http://141.218.60.56/~jnz1568/getInfo.php?workbook=12_04.xlsx&amp;sheet=A0&amp;row=978&amp;col=6&amp;number=142&amp;sourceID=14","142")</f>
        <v>142</v>
      </c>
      <c r="G978" s="4" t="str">
        <f>HYPERLINK("http://141.218.60.56/~jnz1568/getInfo.php?workbook=12_04.xlsx&amp;sheet=A0&amp;row=978&amp;col=7&amp;number=0&amp;sourceID=14","0")</f>
        <v>0</v>
      </c>
    </row>
    <row r="979" spans="1:7">
      <c r="A979" s="3">
        <v>12</v>
      </c>
      <c r="B979" s="3">
        <v>4</v>
      </c>
      <c r="C979" s="3">
        <v>38</v>
      </c>
      <c r="D979" s="3">
        <v>12</v>
      </c>
      <c r="E979" s="3">
        <v>401.221</v>
      </c>
      <c r="F979" s="4" t="str">
        <f>HYPERLINK("http://141.218.60.56/~jnz1568/getInfo.php?workbook=12_04.xlsx&amp;sheet=A0&amp;row=979&amp;col=6&amp;number=114000&amp;sourceID=14","114000")</f>
        <v>114000</v>
      </c>
      <c r="G979" s="4" t="str">
        <f>HYPERLINK("http://141.218.60.56/~jnz1568/getInfo.php?workbook=12_04.xlsx&amp;sheet=A0&amp;row=979&amp;col=7&amp;number=0&amp;sourceID=14","0")</f>
        <v>0</v>
      </c>
    </row>
    <row r="980" spans="1:7">
      <c r="A980" s="3">
        <v>12</v>
      </c>
      <c r="B980" s="3">
        <v>4</v>
      </c>
      <c r="C980" s="3">
        <v>39</v>
      </c>
      <c r="D980" s="3">
        <v>12</v>
      </c>
      <c r="E980" s="3">
        <v>400.353</v>
      </c>
      <c r="F980" s="4" t="str">
        <f>HYPERLINK("http://141.218.60.56/~jnz1568/getInfo.php?workbook=12_04.xlsx&amp;sheet=A0&amp;row=980&amp;col=6&amp;number=0.00111&amp;sourceID=14","0.00111")</f>
        <v>0.00111</v>
      </c>
      <c r="G980" s="4" t="str">
        <f>HYPERLINK("http://141.218.60.56/~jnz1568/getInfo.php?workbook=12_04.xlsx&amp;sheet=A0&amp;row=980&amp;col=7&amp;number=0&amp;sourceID=14","0")</f>
        <v>0</v>
      </c>
    </row>
    <row r="981" spans="1:7">
      <c r="A981" s="3">
        <v>12</v>
      </c>
      <c r="B981" s="3">
        <v>4</v>
      </c>
      <c r="C981" s="3">
        <v>40</v>
      </c>
      <c r="D981" s="3">
        <v>12</v>
      </c>
      <c r="E981" s="3">
        <v>398.757</v>
      </c>
      <c r="F981" s="4" t="str">
        <f>HYPERLINK("http://141.218.60.56/~jnz1568/getInfo.php?workbook=12_04.xlsx&amp;sheet=A0&amp;row=981&amp;col=6&amp;number=1.96e-05&amp;sourceID=14","1.96e-05")</f>
        <v>1.96e-05</v>
      </c>
      <c r="G981" s="4" t="str">
        <f>HYPERLINK("http://141.218.60.56/~jnz1568/getInfo.php?workbook=12_04.xlsx&amp;sheet=A0&amp;row=981&amp;col=7&amp;number=0&amp;sourceID=14","0")</f>
        <v>0</v>
      </c>
    </row>
    <row r="982" spans="1:7">
      <c r="A982" s="3">
        <v>12</v>
      </c>
      <c r="B982" s="3">
        <v>4</v>
      </c>
      <c r="C982" s="3">
        <v>41</v>
      </c>
      <c r="D982" s="3">
        <v>12</v>
      </c>
      <c r="E982" s="3">
        <v>388.894</v>
      </c>
      <c r="F982" s="4" t="str">
        <f>HYPERLINK("http://141.218.60.56/~jnz1568/getInfo.php?workbook=12_04.xlsx&amp;sheet=A0&amp;row=982&amp;col=6&amp;number=0.0297&amp;sourceID=14","0.0297")</f>
        <v>0.0297</v>
      </c>
      <c r="G982" s="4" t="str">
        <f>HYPERLINK("http://141.218.60.56/~jnz1568/getInfo.php?workbook=12_04.xlsx&amp;sheet=A0&amp;row=982&amp;col=7&amp;number=0&amp;sourceID=14","0")</f>
        <v>0</v>
      </c>
    </row>
    <row r="983" spans="1:7">
      <c r="A983" s="3">
        <v>12</v>
      </c>
      <c r="B983" s="3">
        <v>4</v>
      </c>
      <c r="C983" s="3">
        <v>42</v>
      </c>
      <c r="D983" s="3">
        <v>12</v>
      </c>
      <c r="E983" s="3">
        <v>387.402</v>
      </c>
      <c r="F983" s="4" t="str">
        <f>HYPERLINK("http://141.218.60.56/~jnz1568/getInfo.php?workbook=12_04.xlsx&amp;sheet=A0&amp;row=983&amp;col=6&amp;number=4680&amp;sourceID=14","4680")</f>
        <v>4680</v>
      </c>
      <c r="G983" s="4" t="str">
        <f>HYPERLINK("http://141.218.60.56/~jnz1568/getInfo.php?workbook=12_04.xlsx&amp;sheet=A0&amp;row=983&amp;col=7&amp;number=0&amp;sourceID=14","0")</f>
        <v>0</v>
      </c>
    </row>
    <row r="984" spans="1:7">
      <c r="A984" s="3">
        <v>12</v>
      </c>
      <c r="B984" s="3">
        <v>4</v>
      </c>
      <c r="C984" s="3">
        <v>45</v>
      </c>
      <c r="D984" s="3">
        <v>12</v>
      </c>
      <c r="E984" s="3">
        <v>361.521</v>
      </c>
      <c r="F984" s="4" t="str">
        <f>HYPERLINK("http://141.218.60.56/~jnz1568/getInfo.php?workbook=12_04.xlsx&amp;sheet=A0&amp;row=984&amp;col=6&amp;number=0.0336&amp;sourceID=14","0.0336")</f>
        <v>0.0336</v>
      </c>
      <c r="G984" s="4" t="str">
        <f>HYPERLINK("http://141.218.60.56/~jnz1568/getInfo.php?workbook=12_04.xlsx&amp;sheet=A0&amp;row=984&amp;col=7&amp;number=0&amp;sourceID=14","0")</f>
        <v>0</v>
      </c>
    </row>
    <row r="985" spans="1:7">
      <c r="A985" s="3">
        <v>12</v>
      </c>
      <c r="B985" s="3">
        <v>4</v>
      </c>
      <c r="C985" s="3">
        <v>46</v>
      </c>
      <c r="D985" s="3">
        <v>12</v>
      </c>
      <c r="E985" s="3">
        <v>352.759</v>
      </c>
      <c r="F985" s="4" t="str">
        <f>HYPERLINK("http://141.218.60.56/~jnz1568/getInfo.php?workbook=12_04.xlsx&amp;sheet=A0&amp;row=985&amp;col=6&amp;number=54500000&amp;sourceID=14","54500000")</f>
        <v>54500000</v>
      </c>
      <c r="G985" s="4" t="str">
        <f>HYPERLINK("http://141.218.60.56/~jnz1568/getInfo.php?workbook=12_04.xlsx&amp;sheet=A0&amp;row=985&amp;col=7&amp;number=0&amp;sourceID=14","0")</f>
        <v>0</v>
      </c>
    </row>
    <row r="986" spans="1:7">
      <c r="A986" s="3">
        <v>12</v>
      </c>
      <c r="B986" s="3">
        <v>4</v>
      </c>
      <c r="C986" s="3">
        <v>47</v>
      </c>
      <c r="D986" s="3">
        <v>12</v>
      </c>
      <c r="E986" s="3">
        <v>-206.874</v>
      </c>
      <c r="F986" s="4" t="str">
        <f>HYPERLINK("http://141.218.60.56/~jnz1568/getInfo.php?workbook=12_04.xlsx&amp;sheet=A0&amp;row=986&amp;col=6&amp;number=0.0461&amp;sourceID=14","0.0461")</f>
        <v>0.0461</v>
      </c>
      <c r="G986" s="4" t="str">
        <f>HYPERLINK("http://141.218.60.56/~jnz1568/getInfo.php?workbook=12_04.xlsx&amp;sheet=A0&amp;row=986&amp;col=7&amp;number=0&amp;sourceID=14","0")</f>
        <v>0</v>
      </c>
    </row>
    <row r="987" spans="1:7">
      <c r="A987" s="3">
        <v>12</v>
      </c>
      <c r="B987" s="3">
        <v>4</v>
      </c>
      <c r="C987" s="3">
        <v>50</v>
      </c>
      <c r="D987" s="3">
        <v>12</v>
      </c>
      <c r="E987" s="3">
        <v>-196.812</v>
      </c>
      <c r="F987" s="4" t="str">
        <f>HYPERLINK("http://141.218.60.56/~jnz1568/getInfo.php?workbook=12_04.xlsx&amp;sheet=A0&amp;row=987&amp;col=6&amp;number=58200000&amp;sourceID=14","58200000")</f>
        <v>58200000</v>
      </c>
      <c r="G987" s="4" t="str">
        <f>HYPERLINK("http://141.218.60.56/~jnz1568/getInfo.php?workbook=12_04.xlsx&amp;sheet=A0&amp;row=987&amp;col=7&amp;number=0&amp;sourceID=14","0")</f>
        <v>0</v>
      </c>
    </row>
    <row r="988" spans="1:7">
      <c r="A988" s="3">
        <v>12</v>
      </c>
      <c r="B988" s="3">
        <v>4</v>
      </c>
      <c r="C988" s="3">
        <v>51</v>
      </c>
      <c r="D988" s="3">
        <v>12</v>
      </c>
      <c r="E988" s="3">
        <v>-196.711</v>
      </c>
      <c r="F988" s="4" t="str">
        <f>HYPERLINK("http://141.218.60.56/~jnz1568/getInfo.php?workbook=12_04.xlsx&amp;sheet=A0&amp;row=988&amp;col=6&amp;number=20.1&amp;sourceID=14","20.1")</f>
        <v>20.1</v>
      </c>
      <c r="G988" s="4" t="str">
        <f>HYPERLINK("http://141.218.60.56/~jnz1568/getInfo.php?workbook=12_04.xlsx&amp;sheet=A0&amp;row=988&amp;col=7&amp;number=0&amp;sourceID=14","0")</f>
        <v>0</v>
      </c>
    </row>
    <row r="989" spans="1:7">
      <c r="A989" s="3">
        <v>12</v>
      </c>
      <c r="B989" s="3">
        <v>4</v>
      </c>
      <c r="C989" s="3">
        <v>52</v>
      </c>
      <c r="D989" s="3">
        <v>12</v>
      </c>
      <c r="E989" s="3">
        <v>195.848</v>
      </c>
      <c r="F989" s="4" t="str">
        <f>HYPERLINK("http://141.218.60.56/~jnz1568/getInfo.php?workbook=12_04.xlsx&amp;sheet=A0&amp;row=989&amp;col=6&amp;number=16100000000&amp;sourceID=14","16100000000")</f>
        <v>16100000000</v>
      </c>
      <c r="G989" s="4" t="str">
        <f>HYPERLINK("http://141.218.60.56/~jnz1568/getInfo.php?workbook=12_04.xlsx&amp;sheet=A0&amp;row=989&amp;col=7&amp;number=0&amp;sourceID=14","0")</f>
        <v>0</v>
      </c>
    </row>
    <row r="990" spans="1:7">
      <c r="A990" s="3">
        <v>12</v>
      </c>
      <c r="B990" s="3">
        <v>4</v>
      </c>
      <c r="C990" s="3">
        <v>53</v>
      </c>
      <c r="D990" s="3">
        <v>12</v>
      </c>
      <c r="E990" s="3">
        <v>191.612</v>
      </c>
      <c r="F990" s="4" t="str">
        <f>HYPERLINK("http://141.218.60.56/~jnz1568/getInfo.php?workbook=12_04.xlsx&amp;sheet=A0&amp;row=990&amp;col=6&amp;number=0.00218&amp;sourceID=14","0.00218")</f>
        <v>0.00218</v>
      </c>
      <c r="G990" s="4" t="str">
        <f>HYPERLINK("http://141.218.60.56/~jnz1568/getInfo.php?workbook=12_04.xlsx&amp;sheet=A0&amp;row=990&amp;col=7&amp;number=0&amp;sourceID=14","0")</f>
        <v>0</v>
      </c>
    </row>
    <row r="991" spans="1:7">
      <c r="A991" s="3">
        <v>12</v>
      </c>
      <c r="B991" s="3">
        <v>4</v>
      </c>
      <c r="C991" s="3">
        <v>54</v>
      </c>
      <c r="D991" s="3">
        <v>12</v>
      </c>
      <c r="E991" s="3">
        <v>191.612</v>
      </c>
      <c r="F991" s="4" t="str">
        <f>HYPERLINK("http://141.218.60.56/~jnz1568/getInfo.php?workbook=12_04.xlsx&amp;sheet=A0&amp;row=991&amp;col=6&amp;number=109&amp;sourceID=14","109")</f>
        <v>109</v>
      </c>
      <c r="G991" s="4" t="str">
        <f>HYPERLINK("http://141.218.60.56/~jnz1568/getInfo.php?workbook=12_04.xlsx&amp;sheet=A0&amp;row=991&amp;col=7&amp;number=0&amp;sourceID=14","0")</f>
        <v>0</v>
      </c>
    </row>
    <row r="992" spans="1:7">
      <c r="A992" s="3">
        <v>12</v>
      </c>
      <c r="B992" s="3">
        <v>4</v>
      </c>
      <c r="C992" s="3">
        <v>55</v>
      </c>
      <c r="D992" s="3">
        <v>12</v>
      </c>
      <c r="E992" s="3">
        <v>191.582</v>
      </c>
      <c r="F992" s="4" t="str">
        <f>HYPERLINK("http://141.218.60.56/~jnz1568/getInfo.php?workbook=12_04.xlsx&amp;sheet=A0&amp;row=992&amp;col=6&amp;number=0.00434&amp;sourceID=14","0.00434")</f>
        <v>0.00434</v>
      </c>
      <c r="G992" s="4" t="str">
        <f>HYPERLINK("http://141.218.60.56/~jnz1568/getInfo.php?workbook=12_04.xlsx&amp;sheet=A0&amp;row=992&amp;col=7&amp;number=0&amp;sourceID=14","0")</f>
        <v>0</v>
      </c>
    </row>
    <row r="993" spans="1:7">
      <c r="A993" s="3">
        <v>12</v>
      </c>
      <c r="B993" s="3">
        <v>4</v>
      </c>
      <c r="C993" s="3">
        <v>56</v>
      </c>
      <c r="D993" s="3">
        <v>12</v>
      </c>
      <c r="E993" s="3">
        <v>188.747</v>
      </c>
      <c r="F993" s="4" t="str">
        <f>HYPERLINK("http://141.218.60.56/~jnz1568/getInfo.php?workbook=12_04.xlsx&amp;sheet=A0&amp;row=993&amp;col=6&amp;number=2870000&amp;sourceID=14","2870000")</f>
        <v>2870000</v>
      </c>
      <c r="G993" s="4" t="str">
        <f>HYPERLINK("http://141.218.60.56/~jnz1568/getInfo.php?workbook=12_04.xlsx&amp;sheet=A0&amp;row=993&amp;col=7&amp;number=0&amp;sourceID=14","0")</f>
        <v>0</v>
      </c>
    </row>
    <row r="994" spans="1:7">
      <c r="A994" s="3">
        <v>12</v>
      </c>
      <c r="B994" s="3">
        <v>4</v>
      </c>
      <c r="C994" s="3">
        <v>58</v>
      </c>
      <c r="D994" s="3">
        <v>12</v>
      </c>
      <c r="E994" s="3">
        <v>-188.306</v>
      </c>
      <c r="F994" s="4" t="str">
        <f>HYPERLINK("http://141.218.60.56/~jnz1568/getInfo.php?workbook=12_04.xlsx&amp;sheet=A0&amp;row=994&amp;col=6&amp;number=0.00844&amp;sourceID=14","0.00844")</f>
        <v>0.00844</v>
      </c>
      <c r="G994" s="4" t="str">
        <f>HYPERLINK("http://141.218.60.56/~jnz1568/getInfo.php?workbook=12_04.xlsx&amp;sheet=A0&amp;row=994&amp;col=7&amp;number=0&amp;sourceID=14","0")</f>
        <v>0</v>
      </c>
    </row>
    <row r="995" spans="1:7">
      <c r="A995" s="3">
        <v>12</v>
      </c>
      <c r="B995" s="3">
        <v>4</v>
      </c>
      <c r="C995" s="3">
        <v>59</v>
      </c>
      <c r="D995" s="3">
        <v>12</v>
      </c>
      <c r="E995" s="3">
        <v>-188.293</v>
      </c>
      <c r="F995" s="4" t="str">
        <f>HYPERLINK("http://141.218.60.56/~jnz1568/getInfo.php?workbook=12_04.xlsx&amp;sheet=A0&amp;row=995&amp;col=6&amp;number=2.11e-07&amp;sourceID=14","2.11e-07")</f>
        <v>2.11e-07</v>
      </c>
      <c r="G995" s="4" t="str">
        <f>HYPERLINK("http://141.218.60.56/~jnz1568/getInfo.php?workbook=12_04.xlsx&amp;sheet=A0&amp;row=995&amp;col=7&amp;number=0&amp;sourceID=14","0")</f>
        <v>0</v>
      </c>
    </row>
    <row r="996" spans="1:7">
      <c r="A996" s="3">
        <v>12</v>
      </c>
      <c r="B996" s="3">
        <v>4</v>
      </c>
      <c r="C996" s="3">
        <v>60</v>
      </c>
      <c r="D996" s="3">
        <v>12</v>
      </c>
      <c r="E996" s="3">
        <v>-187.402</v>
      </c>
      <c r="F996" s="4" t="str">
        <f>HYPERLINK("http://141.218.60.56/~jnz1568/getInfo.php?workbook=12_04.xlsx&amp;sheet=A0&amp;row=996&amp;col=6&amp;number=125&amp;sourceID=14","125")</f>
        <v>125</v>
      </c>
      <c r="G996" s="4" t="str">
        <f>HYPERLINK("http://141.218.60.56/~jnz1568/getInfo.php?workbook=12_04.xlsx&amp;sheet=A0&amp;row=996&amp;col=7&amp;number=0&amp;sourceID=14","0")</f>
        <v>0</v>
      </c>
    </row>
    <row r="997" spans="1:7">
      <c r="A997" s="3">
        <v>12</v>
      </c>
      <c r="B997" s="3">
        <v>4</v>
      </c>
      <c r="C997" s="3">
        <v>62</v>
      </c>
      <c r="D997" s="3">
        <v>12</v>
      </c>
      <c r="E997" s="3">
        <v>-153.789</v>
      </c>
      <c r="F997" s="4" t="str">
        <f>HYPERLINK("http://141.218.60.56/~jnz1568/getInfo.php?workbook=12_04.xlsx&amp;sheet=A0&amp;row=997&amp;col=6&amp;number=330000&amp;sourceID=14","330000")</f>
        <v>330000</v>
      </c>
      <c r="G997" s="4" t="str">
        <f>HYPERLINK("http://141.218.60.56/~jnz1568/getInfo.php?workbook=12_04.xlsx&amp;sheet=A0&amp;row=997&amp;col=7&amp;number=0&amp;sourceID=14","0")</f>
        <v>0</v>
      </c>
    </row>
    <row r="998" spans="1:7">
      <c r="A998" s="3">
        <v>12</v>
      </c>
      <c r="B998" s="3">
        <v>4</v>
      </c>
      <c r="C998" s="3">
        <v>63</v>
      </c>
      <c r="D998" s="3">
        <v>12</v>
      </c>
      <c r="E998" s="3">
        <v>-153.088</v>
      </c>
      <c r="F998" s="4" t="str">
        <f>HYPERLINK("http://141.218.60.56/~jnz1568/getInfo.php?workbook=12_04.xlsx&amp;sheet=A0&amp;row=998&amp;col=6&amp;number=0.00578&amp;sourceID=14","0.00578")</f>
        <v>0.00578</v>
      </c>
      <c r="G998" s="4" t="str">
        <f>HYPERLINK("http://141.218.60.56/~jnz1568/getInfo.php?workbook=12_04.xlsx&amp;sheet=A0&amp;row=998&amp;col=7&amp;number=0&amp;sourceID=14","0")</f>
        <v>0</v>
      </c>
    </row>
    <row r="999" spans="1:7">
      <c r="A999" s="3">
        <v>12</v>
      </c>
      <c r="B999" s="3">
        <v>4</v>
      </c>
      <c r="C999" s="3">
        <v>64</v>
      </c>
      <c r="D999" s="3">
        <v>12</v>
      </c>
      <c r="E999" s="3">
        <v>-151.639</v>
      </c>
      <c r="F999" s="4" t="str">
        <f>HYPERLINK("http://141.218.60.56/~jnz1568/getInfo.php?workbook=12_04.xlsx&amp;sheet=A0&amp;row=999&amp;col=6&amp;number=10100000&amp;sourceID=14","10100000")</f>
        <v>10100000</v>
      </c>
      <c r="G999" s="4" t="str">
        <f>HYPERLINK("http://141.218.60.56/~jnz1568/getInfo.php?workbook=12_04.xlsx&amp;sheet=A0&amp;row=999&amp;col=7&amp;number=0&amp;sourceID=14","0")</f>
        <v>0</v>
      </c>
    </row>
    <row r="1000" spans="1:7">
      <c r="A1000" s="3">
        <v>12</v>
      </c>
      <c r="B1000" s="3">
        <v>4</v>
      </c>
      <c r="C1000" s="3">
        <v>65</v>
      </c>
      <c r="D1000" s="3">
        <v>12</v>
      </c>
      <c r="E1000" s="3">
        <v>-149.928</v>
      </c>
      <c r="F1000" s="4" t="str">
        <f>HYPERLINK("http://141.218.60.56/~jnz1568/getInfo.php?workbook=12_04.xlsx&amp;sheet=A0&amp;row=1000&amp;col=6&amp;number=0.0299&amp;sourceID=14","0.0299")</f>
        <v>0.0299</v>
      </c>
      <c r="G1000" s="4" t="str">
        <f>HYPERLINK("http://141.218.60.56/~jnz1568/getInfo.php?workbook=12_04.xlsx&amp;sheet=A0&amp;row=1000&amp;col=7&amp;number=0&amp;sourceID=14","0")</f>
        <v>0</v>
      </c>
    </row>
    <row r="1001" spans="1:7">
      <c r="A1001" s="3">
        <v>12</v>
      </c>
      <c r="B1001" s="3">
        <v>4</v>
      </c>
      <c r="C1001" s="3">
        <v>66</v>
      </c>
      <c r="D1001" s="3">
        <v>12</v>
      </c>
      <c r="E1001" s="3">
        <v>-149.357</v>
      </c>
      <c r="F1001" s="4" t="str">
        <f>HYPERLINK("http://141.218.60.56/~jnz1568/getInfo.php?workbook=12_04.xlsx&amp;sheet=A0&amp;row=1001&amp;col=6&amp;number=0.00552&amp;sourceID=14","0.00552")</f>
        <v>0.00552</v>
      </c>
      <c r="G1001" s="4" t="str">
        <f>HYPERLINK("http://141.218.60.56/~jnz1568/getInfo.php?workbook=12_04.xlsx&amp;sheet=A0&amp;row=1001&amp;col=7&amp;number=0&amp;sourceID=14","0")</f>
        <v>0</v>
      </c>
    </row>
    <row r="1002" spans="1:7">
      <c r="A1002" s="3">
        <v>12</v>
      </c>
      <c r="B1002" s="3">
        <v>4</v>
      </c>
      <c r="C1002" s="3">
        <v>67</v>
      </c>
      <c r="D1002" s="3">
        <v>12</v>
      </c>
      <c r="E1002" s="3">
        <v>-149.256</v>
      </c>
      <c r="F1002" s="4" t="str">
        <f>HYPERLINK("http://141.218.60.56/~jnz1568/getInfo.php?workbook=12_04.xlsx&amp;sheet=A0&amp;row=1002&amp;col=6&amp;number=4.16&amp;sourceID=14","4.16")</f>
        <v>4.16</v>
      </c>
      <c r="G1002" s="4" t="str">
        <f>HYPERLINK("http://141.218.60.56/~jnz1568/getInfo.php?workbook=12_04.xlsx&amp;sheet=A0&amp;row=1002&amp;col=7&amp;number=0&amp;sourceID=14","0")</f>
        <v>0</v>
      </c>
    </row>
    <row r="1003" spans="1:7">
      <c r="A1003" s="3">
        <v>12</v>
      </c>
      <c r="B1003" s="3">
        <v>4</v>
      </c>
      <c r="C1003" s="3">
        <v>68</v>
      </c>
      <c r="D1003" s="3">
        <v>12</v>
      </c>
      <c r="E1003" s="3">
        <v>148.887</v>
      </c>
      <c r="F1003" s="4" t="str">
        <f>HYPERLINK("http://141.218.60.56/~jnz1568/getInfo.php?workbook=12_04.xlsx&amp;sheet=A0&amp;row=1003&amp;col=6&amp;number=1.05e-06&amp;sourceID=14","1.05e-06")</f>
        <v>1.05e-06</v>
      </c>
      <c r="G1003" s="4" t="str">
        <f>HYPERLINK("http://141.218.60.56/~jnz1568/getInfo.php?workbook=12_04.xlsx&amp;sheet=A0&amp;row=1003&amp;col=7&amp;number=0&amp;sourceID=14","0")</f>
        <v>0</v>
      </c>
    </row>
    <row r="1004" spans="1:7">
      <c r="A1004" s="3">
        <v>12</v>
      </c>
      <c r="B1004" s="3">
        <v>4</v>
      </c>
      <c r="C1004" s="3">
        <v>69</v>
      </c>
      <c r="D1004" s="3">
        <v>12</v>
      </c>
      <c r="E1004" s="3">
        <v>-148.077</v>
      </c>
      <c r="F1004" s="4" t="str">
        <f>HYPERLINK("http://141.218.60.56/~jnz1568/getInfo.php?workbook=12_04.xlsx&amp;sheet=A0&amp;row=1004&amp;col=6&amp;number=0.0376&amp;sourceID=14","0.0376")</f>
        <v>0.0376</v>
      </c>
      <c r="G1004" s="4" t="str">
        <f>HYPERLINK("http://141.218.60.56/~jnz1568/getInfo.php?workbook=12_04.xlsx&amp;sheet=A0&amp;row=1004&amp;col=7&amp;number=0&amp;sourceID=14","0")</f>
        <v>0</v>
      </c>
    </row>
    <row r="1005" spans="1:7">
      <c r="A1005" s="3">
        <v>12</v>
      </c>
      <c r="B1005" s="3">
        <v>4</v>
      </c>
      <c r="C1005" s="3">
        <v>71</v>
      </c>
      <c r="D1005" s="3">
        <v>12</v>
      </c>
      <c r="E1005" s="3">
        <v>-147.517</v>
      </c>
      <c r="F1005" s="4" t="str">
        <f>HYPERLINK("http://141.218.60.56/~jnz1568/getInfo.php?workbook=12_04.xlsx&amp;sheet=A0&amp;row=1005&amp;col=6&amp;number=0.0614&amp;sourceID=14","0.0614")</f>
        <v>0.0614</v>
      </c>
      <c r="G1005" s="4" t="str">
        <f>HYPERLINK("http://141.218.60.56/~jnz1568/getInfo.php?workbook=12_04.xlsx&amp;sheet=A0&amp;row=1005&amp;col=7&amp;number=0&amp;sourceID=14","0")</f>
        <v>0</v>
      </c>
    </row>
    <row r="1006" spans="1:7">
      <c r="A1006" s="3">
        <v>12</v>
      </c>
      <c r="B1006" s="3">
        <v>4</v>
      </c>
      <c r="C1006" s="3">
        <v>72</v>
      </c>
      <c r="D1006" s="3">
        <v>12</v>
      </c>
      <c r="E1006" s="3">
        <v>147.652</v>
      </c>
      <c r="F1006" s="4" t="str">
        <f>HYPERLINK("http://141.218.60.56/~jnz1568/getInfo.php?workbook=12_04.xlsx&amp;sheet=A0&amp;row=1006&amp;col=6&amp;number=19.7&amp;sourceID=14","19.7")</f>
        <v>19.7</v>
      </c>
      <c r="G1006" s="4" t="str">
        <f>HYPERLINK("http://141.218.60.56/~jnz1568/getInfo.php?workbook=12_04.xlsx&amp;sheet=A0&amp;row=1006&amp;col=7&amp;number=0&amp;sourceID=14","0")</f>
        <v>0</v>
      </c>
    </row>
    <row r="1007" spans="1:7">
      <c r="A1007" s="3">
        <v>12</v>
      </c>
      <c r="B1007" s="3">
        <v>4</v>
      </c>
      <c r="C1007" s="3">
        <v>73</v>
      </c>
      <c r="D1007" s="3">
        <v>12</v>
      </c>
      <c r="E1007" s="3">
        <v>-146.759</v>
      </c>
      <c r="F1007" s="4" t="str">
        <f>HYPERLINK("http://141.218.60.56/~jnz1568/getInfo.php?workbook=12_04.xlsx&amp;sheet=A0&amp;row=1007&amp;col=6&amp;number=0.269&amp;sourceID=14","0.269")</f>
        <v>0.269</v>
      </c>
      <c r="G1007" s="4" t="str">
        <f>HYPERLINK("http://141.218.60.56/~jnz1568/getInfo.php?workbook=12_04.xlsx&amp;sheet=A0&amp;row=1007&amp;col=7&amp;number=0&amp;sourceID=14","0")</f>
        <v>0</v>
      </c>
    </row>
    <row r="1008" spans="1:7">
      <c r="A1008" s="3">
        <v>12</v>
      </c>
      <c r="B1008" s="3">
        <v>4</v>
      </c>
      <c r="C1008" s="3">
        <v>74</v>
      </c>
      <c r="D1008" s="3">
        <v>12</v>
      </c>
      <c r="E1008" s="3">
        <v>-146.348</v>
      </c>
      <c r="F1008" s="4" t="str">
        <f>HYPERLINK("http://141.218.60.56/~jnz1568/getInfo.php?workbook=12_04.xlsx&amp;sheet=A0&amp;row=1008&amp;col=6&amp;number=0.0315&amp;sourceID=14","0.0315")</f>
        <v>0.0315</v>
      </c>
      <c r="G1008" s="4" t="str">
        <f>HYPERLINK("http://141.218.60.56/~jnz1568/getInfo.php?workbook=12_04.xlsx&amp;sheet=A0&amp;row=1008&amp;col=7&amp;number=0&amp;sourceID=14","0")</f>
        <v>0</v>
      </c>
    </row>
    <row r="1009" spans="1:7">
      <c r="A1009" s="3">
        <v>12</v>
      </c>
      <c r="B1009" s="3">
        <v>4</v>
      </c>
      <c r="C1009" s="3">
        <v>75</v>
      </c>
      <c r="D1009" s="3">
        <v>12</v>
      </c>
      <c r="E1009" s="3">
        <v>146.385</v>
      </c>
      <c r="F1009" s="4" t="str">
        <f>HYPERLINK("http://141.218.60.56/~jnz1568/getInfo.php?workbook=12_04.xlsx&amp;sheet=A0&amp;row=1009&amp;col=6&amp;number=0.476&amp;sourceID=14","0.476")</f>
        <v>0.476</v>
      </c>
      <c r="G1009" s="4" t="str">
        <f>HYPERLINK("http://141.218.60.56/~jnz1568/getInfo.php?workbook=12_04.xlsx&amp;sheet=A0&amp;row=1009&amp;col=7&amp;number=0&amp;sourceID=14","0")</f>
        <v>0</v>
      </c>
    </row>
    <row r="1010" spans="1:7">
      <c r="A1010" s="3">
        <v>12</v>
      </c>
      <c r="B1010" s="3">
        <v>4</v>
      </c>
      <c r="C1010" s="3">
        <v>76</v>
      </c>
      <c r="D1010" s="3">
        <v>12</v>
      </c>
      <c r="E1010" s="3">
        <v>146.413</v>
      </c>
      <c r="F1010" s="4" t="str">
        <f>HYPERLINK("http://141.218.60.56/~jnz1568/getInfo.php?workbook=12_04.xlsx&amp;sheet=A0&amp;row=1010&amp;col=6&amp;number=3440&amp;sourceID=14","3440")</f>
        <v>3440</v>
      </c>
      <c r="G1010" s="4" t="str">
        <f>HYPERLINK("http://141.218.60.56/~jnz1568/getInfo.php?workbook=12_04.xlsx&amp;sheet=A0&amp;row=1010&amp;col=7&amp;number=0&amp;sourceID=14","0")</f>
        <v>0</v>
      </c>
    </row>
    <row r="1011" spans="1:7">
      <c r="A1011" s="3">
        <v>12</v>
      </c>
      <c r="B1011" s="3">
        <v>4</v>
      </c>
      <c r="C1011" s="3">
        <v>78</v>
      </c>
      <c r="D1011" s="3">
        <v>12</v>
      </c>
      <c r="E1011" s="3">
        <v>-145.248</v>
      </c>
      <c r="F1011" s="4" t="str">
        <f>HYPERLINK("http://141.218.60.56/~jnz1568/getInfo.php?workbook=12_04.xlsx&amp;sheet=A0&amp;row=1011&amp;col=6&amp;number=5160000&amp;sourceID=14","5160000")</f>
        <v>5160000</v>
      </c>
      <c r="G1011" s="4" t="str">
        <f>HYPERLINK("http://141.218.60.56/~jnz1568/getInfo.php?workbook=12_04.xlsx&amp;sheet=A0&amp;row=1011&amp;col=7&amp;number=0&amp;sourceID=14","0")</f>
        <v>0</v>
      </c>
    </row>
    <row r="1012" spans="1:7">
      <c r="A1012" s="3">
        <v>12</v>
      </c>
      <c r="B1012" s="3">
        <v>4</v>
      </c>
      <c r="C1012" s="3">
        <v>79</v>
      </c>
      <c r="D1012" s="3">
        <v>12</v>
      </c>
      <c r="E1012" s="3">
        <v>-145.117</v>
      </c>
      <c r="F1012" s="4" t="str">
        <f>HYPERLINK("http://141.218.60.56/~jnz1568/getInfo.php?workbook=12_04.xlsx&amp;sheet=A0&amp;row=1012&amp;col=6&amp;number=0.375&amp;sourceID=14","0.375")</f>
        <v>0.375</v>
      </c>
      <c r="G1012" s="4" t="str">
        <f>HYPERLINK("http://141.218.60.56/~jnz1568/getInfo.php?workbook=12_04.xlsx&amp;sheet=A0&amp;row=1012&amp;col=7&amp;number=0&amp;sourceID=14","0")</f>
        <v>0</v>
      </c>
    </row>
    <row r="1013" spans="1:7">
      <c r="A1013" s="3">
        <v>12</v>
      </c>
      <c r="B1013" s="3">
        <v>4</v>
      </c>
      <c r="C1013" s="3">
        <v>80</v>
      </c>
      <c r="D1013" s="3">
        <v>12</v>
      </c>
      <c r="E1013" s="3">
        <v>-144.856</v>
      </c>
      <c r="F1013" s="4" t="str">
        <f>HYPERLINK("http://141.218.60.56/~jnz1568/getInfo.php?workbook=12_04.xlsx&amp;sheet=A0&amp;row=1013&amp;col=6&amp;number=5.99e-05&amp;sourceID=14","5.99e-05")</f>
        <v>5.99e-05</v>
      </c>
      <c r="G1013" s="4" t="str">
        <f>HYPERLINK("http://141.218.60.56/~jnz1568/getInfo.php?workbook=12_04.xlsx&amp;sheet=A0&amp;row=1013&amp;col=7&amp;number=0&amp;sourceID=14","0")</f>
        <v>0</v>
      </c>
    </row>
    <row r="1014" spans="1:7">
      <c r="A1014" s="3">
        <v>12</v>
      </c>
      <c r="B1014" s="3">
        <v>4</v>
      </c>
      <c r="C1014" s="3">
        <v>81</v>
      </c>
      <c r="D1014" s="3">
        <v>12</v>
      </c>
      <c r="E1014" s="3">
        <v>144.892</v>
      </c>
      <c r="F1014" s="4" t="str">
        <f>HYPERLINK("http://141.218.60.56/~jnz1568/getInfo.php?workbook=12_04.xlsx&amp;sheet=A0&amp;row=1014&amp;col=6&amp;number=0.0178&amp;sourceID=14","0.0178")</f>
        <v>0.0178</v>
      </c>
      <c r="G1014" s="4" t="str">
        <f>HYPERLINK("http://141.218.60.56/~jnz1568/getInfo.php?workbook=12_04.xlsx&amp;sheet=A0&amp;row=1014&amp;col=7&amp;number=0&amp;sourceID=14","0")</f>
        <v>0</v>
      </c>
    </row>
    <row r="1015" spans="1:7">
      <c r="A1015" s="3">
        <v>12</v>
      </c>
      <c r="B1015" s="3">
        <v>4</v>
      </c>
      <c r="C1015" s="3">
        <v>82</v>
      </c>
      <c r="D1015" s="3">
        <v>12</v>
      </c>
      <c r="E1015" s="3">
        <v>-144.78</v>
      </c>
      <c r="F1015" s="4" t="str">
        <f>HYPERLINK("http://141.218.60.56/~jnz1568/getInfo.php?workbook=12_04.xlsx&amp;sheet=A0&amp;row=1015&amp;col=6&amp;number=8180&amp;sourceID=14","8180")</f>
        <v>8180</v>
      </c>
      <c r="G1015" s="4" t="str">
        <f>HYPERLINK("http://141.218.60.56/~jnz1568/getInfo.php?workbook=12_04.xlsx&amp;sheet=A0&amp;row=1015&amp;col=7&amp;number=0&amp;sourceID=14","0")</f>
        <v>0</v>
      </c>
    </row>
    <row r="1016" spans="1:7">
      <c r="A1016" s="3">
        <v>12</v>
      </c>
      <c r="B1016" s="3">
        <v>4</v>
      </c>
      <c r="C1016" s="3">
        <v>83</v>
      </c>
      <c r="D1016" s="3">
        <v>12</v>
      </c>
      <c r="E1016" s="3">
        <v>-144.779</v>
      </c>
      <c r="F1016" s="4" t="str">
        <f>HYPERLINK("http://141.218.60.56/~jnz1568/getInfo.php?workbook=12_04.xlsx&amp;sheet=A0&amp;row=1016&amp;col=6&amp;number=3.15e-05&amp;sourceID=14","3.15e-05")</f>
        <v>3.15e-05</v>
      </c>
      <c r="G1016" s="4" t="str">
        <f>HYPERLINK("http://141.218.60.56/~jnz1568/getInfo.php?workbook=12_04.xlsx&amp;sheet=A0&amp;row=1016&amp;col=7&amp;number=0&amp;sourceID=14","0")</f>
        <v>0</v>
      </c>
    </row>
    <row r="1017" spans="1:7">
      <c r="A1017" s="3">
        <v>12</v>
      </c>
      <c r="B1017" s="3">
        <v>4</v>
      </c>
      <c r="C1017" s="3">
        <v>84</v>
      </c>
      <c r="D1017" s="3">
        <v>12</v>
      </c>
      <c r="E1017" s="3">
        <v>-144.711</v>
      </c>
      <c r="F1017" s="4" t="str">
        <f>HYPERLINK("http://141.218.60.56/~jnz1568/getInfo.php?workbook=12_04.xlsx&amp;sheet=A0&amp;row=1017&amp;col=6&amp;number=1.2e-05&amp;sourceID=14","1.2e-05")</f>
        <v>1.2e-05</v>
      </c>
      <c r="G1017" s="4" t="str">
        <f>HYPERLINK("http://141.218.60.56/~jnz1568/getInfo.php?workbook=12_04.xlsx&amp;sheet=A0&amp;row=1017&amp;col=7&amp;number=0&amp;sourceID=14","0")</f>
        <v>0</v>
      </c>
    </row>
    <row r="1018" spans="1:7">
      <c r="A1018" s="3">
        <v>12</v>
      </c>
      <c r="B1018" s="3">
        <v>4</v>
      </c>
      <c r="C1018" s="3">
        <v>85</v>
      </c>
      <c r="D1018" s="3">
        <v>12</v>
      </c>
      <c r="E1018" s="3">
        <v>144.641</v>
      </c>
      <c r="F1018" s="4" t="str">
        <f>HYPERLINK("http://141.218.60.56/~jnz1568/getInfo.php?workbook=12_04.xlsx&amp;sheet=A0&amp;row=1018&amp;col=6&amp;number=1.03&amp;sourceID=14","1.03")</f>
        <v>1.03</v>
      </c>
      <c r="G1018" s="4" t="str">
        <f>HYPERLINK("http://141.218.60.56/~jnz1568/getInfo.php?workbook=12_04.xlsx&amp;sheet=A0&amp;row=1018&amp;col=7&amp;number=0&amp;sourceID=14","0")</f>
        <v>0</v>
      </c>
    </row>
    <row r="1019" spans="1:7">
      <c r="A1019" s="3">
        <v>12</v>
      </c>
      <c r="B1019" s="3">
        <v>4</v>
      </c>
      <c r="C1019" s="3">
        <v>86</v>
      </c>
      <c r="D1019" s="3">
        <v>12</v>
      </c>
      <c r="E1019" s="3">
        <v>144.532</v>
      </c>
      <c r="F1019" s="4" t="str">
        <f>HYPERLINK("http://141.218.60.56/~jnz1568/getInfo.php?workbook=12_04.xlsx&amp;sheet=A0&amp;row=1019&amp;col=6&amp;number=755000&amp;sourceID=14","755000")</f>
        <v>755000</v>
      </c>
      <c r="G1019" s="4" t="str">
        <f>HYPERLINK("http://141.218.60.56/~jnz1568/getInfo.php?workbook=12_04.xlsx&amp;sheet=A0&amp;row=1019&amp;col=7&amp;number=0&amp;sourceID=14","0")</f>
        <v>0</v>
      </c>
    </row>
    <row r="1020" spans="1:7">
      <c r="A1020" s="3">
        <v>12</v>
      </c>
      <c r="B1020" s="3">
        <v>4</v>
      </c>
      <c r="C1020" s="3">
        <v>88</v>
      </c>
      <c r="D1020" s="3">
        <v>12</v>
      </c>
      <c r="E1020" s="3">
        <v>-144.041</v>
      </c>
      <c r="F1020" s="4" t="str">
        <f>HYPERLINK("http://141.218.60.56/~jnz1568/getInfo.php?workbook=12_04.xlsx&amp;sheet=A0&amp;row=1020&amp;col=6&amp;number=3.99e-05&amp;sourceID=14","3.99e-05")</f>
        <v>3.99e-05</v>
      </c>
      <c r="G1020" s="4" t="str">
        <f>HYPERLINK("http://141.218.60.56/~jnz1568/getInfo.php?workbook=12_04.xlsx&amp;sheet=A0&amp;row=1020&amp;col=7&amp;number=0&amp;sourceID=14","0")</f>
        <v>0</v>
      </c>
    </row>
    <row r="1021" spans="1:7">
      <c r="A1021" s="3">
        <v>12</v>
      </c>
      <c r="B1021" s="3">
        <v>4</v>
      </c>
      <c r="C1021" s="3">
        <v>89</v>
      </c>
      <c r="D1021" s="3">
        <v>12</v>
      </c>
      <c r="E1021" s="3">
        <v>-143.945</v>
      </c>
      <c r="F1021" s="4" t="str">
        <f>HYPERLINK("http://141.218.60.56/~jnz1568/getInfo.php?workbook=12_04.xlsx&amp;sheet=A0&amp;row=1021&amp;col=6&amp;number=1.19e-05&amp;sourceID=14","1.19e-05")</f>
        <v>1.19e-05</v>
      </c>
      <c r="G1021" s="4" t="str">
        <f>HYPERLINK("http://141.218.60.56/~jnz1568/getInfo.php?workbook=12_04.xlsx&amp;sheet=A0&amp;row=1021&amp;col=7&amp;number=0&amp;sourceID=14","0")</f>
        <v>0</v>
      </c>
    </row>
    <row r="1022" spans="1:7">
      <c r="A1022" s="3">
        <v>12</v>
      </c>
      <c r="B1022" s="3">
        <v>4</v>
      </c>
      <c r="C1022" s="3">
        <v>91</v>
      </c>
      <c r="D1022" s="3">
        <v>12</v>
      </c>
      <c r="E1022" s="3">
        <v>-143.41</v>
      </c>
      <c r="F1022" s="4" t="str">
        <f>HYPERLINK("http://141.218.60.56/~jnz1568/getInfo.php?workbook=12_04.xlsx&amp;sheet=A0&amp;row=1022&amp;col=6&amp;number=0.000614&amp;sourceID=14","0.000614")</f>
        <v>0.000614</v>
      </c>
      <c r="G1022" s="4" t="str">
        <f>HYPERLINK("http://141.218.60.56/~jnz1568/getInfo.php?workbook=12_04.xlsx&amp;sheet=A0&amp;row=1022&amp;col=7&amp;number=0&amp;sourceID=14","0")</f>
        <v>0</v>
      </c>
    </row>
    <row r="1023" spans="1:7">
      <c r="A1023" s="3">
        <v>12</v>
      </c>
      <c r="B1023" s="3">
        <v>4</v>
      </c>
      <c r="C1023" s="3">
        <v>92</v>
      </c>
      <c r="D1023" s="3">
        <v>12</v>
      </c>
      <c r="E1023" s="3">
        <v>-143.351</v>
      </c>
      <c r="F1023" s="4" t="str">
        <f>HYPERLINK("http://141.218.60.56/~jnz1568/getInfo.php?workbook=12_04.xlsx&amp;sheet=A0&amp;row=1023&amp;col=6&amp;number=0.000132&amp;sourceID=14","0.000132")</f>
        <v>0.000132</v>
      </c>
      <c r="G1023" s="4" t="str">
        <f>HYPERLINK("http://141.218.60.56/~jnz1568/getInfo.php?workbook=12_04.xlsx&amp;sheet=A0&amp;row=1023&amp;col=7&amp;number=0&amp;sourceID=14","0")</f>
        <v>0</v>
      </c>
    </row>
    <row r="1024" spans="1:7">
      <c r="A1024" s="3">
        <v>12</v>
      </c>
      <c r="B1024" s="3">
        <v>4</v>
      </c>
      <c r="C1024" s="3">
        <v>93</v>
      </c>
      <c r="D1024" s="3">
        <v>12</v>
      </c>
      <c r="E1024" s="3">
        <v>-143.297</v>
      </c>
      <c r="F1024" s="4" t="str">
        <f>HYPERLINK("http://141.218.60.56/~jnz1568/getInfo.php?workbook=12_04.xlsx&amp;sheet=A0&amp;row=1024&amp;col=6&amp;number=32400&amp;sourceID=14","32400")</f>
        <v>32400</v>
      </c>
      <c r="G1024" s="4" t="str">
        <f>HYPERLINK("http://141.218.60.56/~jnz1568/getInfo.php?workbook=12_04.xlsx&amp;sheet=A0&amp;row=1024&amp;col=7&amp;number=0&amp;sourceID=14","0")</f>
        <v>0</v>
      </c>
    </row>
    <row r="1025" spans="1:7">
      <c r="A1025" s="3">
        <v>12</v>
      </c>
      <c r="B1025" s="3">
        <v>4</v>
      </c>
      <c r="C1025" s="3">
        <v>94</v>
      </c>
      <c r="D1025" s="3">
        <v>12</v>
      </c>
      <c r="E1025" s="3">
        <v>-143.099</v>
      </c>
      <c r="F1025" s="4" t="str">
        <f>HYPERLINK("http://141.218.60.56/~jnz1568/getInfo.php?workbook=12_04.xlsx&amp;sheet=A0&amp;row=1025&amp;col=6&amp;number=0.000514&amp;sourceID=14","0.000514")</f>
        <v>0.000514</v>
      </c>
      <c r="G1025" s="4" t="str">
        <f>HYPERLINK("http://141.218.60.56/~jnz1568/getInfo.php?workbook=12_04.xlsx&amp;sheet=A0&amp;row=1025&amp;col=7&amp;number=0&amp;sourceID=14","0")</f>
        <v>0</v>
      </c>
    </row>
    <row r="1026" spans="1:7">
      <c r="A1026" s="3">
        <v>12</v>
      </c>
      <c r="B1026" s="3">
        <v>4</v>
      </c>
      <c r="C1026" s="3">
        <v>96</v>
      </c>
      <c r="D1026" s="3">
        <v>12</v>
      </c>
      <c r="E1026" s="3">
        <v>-142.849</v>
      </c>
      <c r="F1026" s="4" t="str">
        <f>HYPERLINK("http://141.218.60.56/~jnz1568/getInfo.php?workbook=12_04.xlsx&amp;sheet=A0&amp;row=1026&amp;col=6&amp;number=182000&amp;sourceID=14","182000")</f>
        <v>182000</v>
      </c>
      <c r="G1026" s="4" t="str">
        <f>HYPERLINK("http://141.218.60.56/~jnz1568/getInfo.php?workbook=12_04.xlsx&amp;sheet=A0&amp;row=1026&amp;col=7&amp;number=0&amp;sourceID=14","0")</f>
        <v>0</v>
      </c>
    </row>
    <row r="1027" spans="1:7">
      <c r="A1027" s="3">
        <v>12</v>
      </c>
      <c r="B1027" s="3">
        <v>4</v>
      </c>
      <c r="C1027" s="3">
        <v>97</v>
      </c>
      <c r="D1027" s="3">
        <v>12</v>
      </c>
      <c r="E1027" s="3">
        <v>143.166</v>
      </c>
      <c r="F1027" s="4" t="str">
        <f>HYPERLINK("http://141.218.60.56/~jnz1568/getInfo.php?workbook=12_04.xlsx&amp;sheet=A0&amp;row=1027&amp;col=6&amp;number=3.71&amp;sourceID=14","3.71")</f>
        <v>3.71</v>
      </c>
      <c r="G1027" s="4" t="str">
        <f>HYPERLINK("http://141.218.60.56/~jnz1568/getInfo.php?workbook=12_04.xlsx&amp;sheet=A0&amp;row=1027&amp;col=7&amp;number=0&amp;sourceID=14","0")</f>
        <v>0</v>
      </c>
    </row>
    <row r="1028" spans="1:7">
      <c r="A1028" s="3">
        <v>12</v>
      </c>
      <c r="B1028" s="3">
        <v>4</v>
      </c>
      <c r="C1028" s="3">
        <v>98</v>
      </c>
      <c r="D1028" s="3">
        <v>12</v>
      </c>
      <c r="E1028" s="3">
        <v>142.81</v>
      </c>
      <c r="F1028" s="4" t="str">
        <f>HYPERLINK("http://141.218.60.56/~jnz1568/getInfo.php?workbook=12_04.xlsx&amp;sheet=A0&amp;row=1028&amp;col=6&amp;number=271000000&amp;sourceID=14","271000000")</f>
        <v>271000000</v>
      </c>
      <c r="G1028" s="4" t="str">
        <f>HYPERLINK("http://141.218.60.56/~jnz1568/getInfo.php?workbook=12_04.xlsx&amp;sheet=A0&amp;row=1028&amp;col=7&amp;number=0&amp;sourceID=14","0")</f>
        <v>0</v>
      </c>
    </row>
    <row r="1029" spans="1:7">
      <c r="A1029" s="3">
        <v>12</v>
      </c>
      <c r="B1029" s="3">
        <v>4</v>
      </c>
      <c r="C1029" s="3">
        <v>14</v>
      </c>
      <c r="D1029" s="3">
        <v>13</v>
      </c>
      <c r="E1029" s="3">
        <v>25641.072</v>
      </c>
      <c r="F1029" s="4" t="str">
        <f>HYPERLINK("http://141.218.60.56/~jnz1568/getInfo.php?workbook=12_04.xlsx&amp;sheet=A0&amp;row=1029&amp;col=6&amp;number=0.0765&amp;sourceID=14","0.0765")</f>
        <v>0.0765</v>
      </c>
      <c r="G1029" s="4" t="str">
        <f>HYPERLINK("http://141.218.60.56/~jnz1568/getInfo.php?workbook=12_04.xlsx&amp;sheet=A0&amp;row=1029&amp;col=7&amp;number=0&amp;sourceID=14","0")</f>
        <v>0</v>
      </c>
    </row>
    <row r="1030" spans="1:7">
      <c r="A1030" s="3">
        <v>12</v>
      </c>
      <c r="B1030" s="3">
        <v>4</v>
      </c>
      <c r="C1030" s="3">
        <v>15</v>
      </c>
      <c r="D1030" s="3">
        <v>13</v>
      </c>
      <c r="E1030" s="3">
        <v>25641.072</v>
      </c>
      <c r="F1030" s="4" t="str">
        <f>HYPERLINK("http://141.218.60.56/~jnz1568/getInfo.php?workbook=12_04.xlsx&amp;sheet=A0&amp;row=1030&amp;col=6&amp;number=0.0186&amp;sourceID=14","0.0186")</f>
        <v>0.0186</v>
      </c>
      <c r="G1030" s="4" t="str">
        <f>HYPERLINK("http://141.218.60.56/~jnz1568/getInfo.php?workbook=12_04.xlsx&amp;sheet=A0&amp;row=1030&amp;col=7&amp;number=0&amp;sourceID=14","0")</f>
        <v>0</v>
      </c>
    </row>
    <row r="1031" spans="1:7">
      <c r="A1031" s="3">
        <v>12</v>
      </c>
      <c r="B1031" s="3">
        <v>4</v>
      </c>
      <c r="C1031" s="3">
        <v>16</v>
      </c>
      <c r="D1031" s="3">
        <v>13</v>
      </c>
      <c r="E1031" s="3">
        <v>25641.072</v>
      </c>
      <c r="F1031" s="4" t="str">
        <f>HYPERLINK("http://141.218.60.56/~jnz1568/getInfo.php?workbook=12_04.xlsx&amp;sheet=A0&amp;row=1031&amp;col=6&amp;number=0.0193&amp;sourceID=14","0.0193")</f>
        <v>0.0193</v>
      </c>
      <c r="G1031" s="4" t="str">
        <f>HYPERLINK("http://141.218.60.56/~jnz1568/getInfo.php?workbook=12_04.xlsx&amp;sheet=A0&amp;row=1031&amp;col=7&amp;number=0&amp;sourceID=14","0")</f>
        <v>0</v>
      </c>
    </row>
    <row r="1032" spans="1:7">
      <c r="A1032" s="3">
        <v>12</v>
      </c>
      <c r="B1032" s="3">
        <v>4</v>
      </c>
      <c r="C1032" s="3">
        <v>17</v>
      </c>
      <c r="D1032" s="3">
        <v>13</v>
      </c>
      <c r="E1032" s="3">
        <v>2670.945</v>
      </c>
      <c r="F1032" s="4" t="str">
        <f>HYPERLINK("http://141.218.60.56/~jnz1568/getInfo.php?workbook=12_04.xlsx&amp;sheet=A0&amp;row=1032&amp;col=6&amp;number=415000&amp;sourceID=14","415000")</f>
        <v>415000</v>
      </c>
      <c r="G1032" s="4" t="str">
        <f>HYPERLINK("http://141.218.60.56/~jnz1568/getInfo.php?workbook=12_04.xlsx&amp;sheet=A0&amp;row=1032&amp;col=7&amp;number=0&amp;sourceID=14","0")</f>
        <v>0</v>
      </c>
    </row>
    <row r="1033" spans="1:7">
      <c r="A1033" s="3">
        <v>12</v>
      </c>
      <c r="B1033" s="3">
        <v>4</v>
      </c>
      <c r="C1033" s="3">
        <v>18</v>
      </c>
      <c r="D1033" s="3">
        <v>13</v>
      </c>
      <c r="E1033" s="3">
        <v>2661.703</v>
      </c>
      <c r="F1033" s="4" t="str">
        <f>HYPERLINK("http://141.218.60.56/~jnz1568/getInfo.php?workbook=12_04.xlsx&amp;sheet=A0&amp;row=1033&amp;col=6&amp;number=826000&amp;sourceID=14","826000")</f>
        <v>826000</v>
      </c>
      <c r="G1033" s="4" t="str">
        <f>HYPERLINK("http://141.218.60.56/~jnz1568/getInfo.php?workbook=12_04.xlsx&amp;sheet=A0&amp;row=1033&amp;col=7&amp;number=0&amp;sourceID=14","0")</f>
        <v>0</v>
      </c>
    </row>
    <row r="1034" spans="1:7">
      <c r="A1034" s="3">
        <v>12</v>
      </c>
      <c r="B1034" s="3">
        <v>4</v>
      </c>
      <c r="C1034" s="3">
        <v>19</v>
      </c>
      <c r="D1034" s="3">
        <v>13</v>
      </c>
      <c r="E1034" s="3">
        <v>2651.118</v>
      </c>
      <c r="F1034" s="4" t="str">
        <f>HYPERLINK("http://141.218.60.56/~jnz1568/getInfo.php?workbook=12_04.xlsx&amp;sheet=A0&amp;row=1034&amp;col=6&amp;number=0.000357&amp;sourceID=14","0.000357")</f>
        <v>0.000357</v>
      </c>
      <c r="G1034" s="4" t="str">
        <f>HYPERLINK("http://141.218.60.56/~jnz1568/getInfo.php?workbook=12_04.xlsx&amp;sheet=A0&amp;row=1034&amp;col=7&amp;number=0&amp;sourceID=14","0")</f>
        <v>0</v>
      </c>
    </row>
    <row r="1035" spans="1:7">
      <c r="A1035" s="3">
        <v>12</v>
      </c>
      <c r="B1035" s="3">
        <v>4</v>
      </c>
      <c r="C1035" s="3">
        <v>20</v>
      </c>
      <c r="D1035" s="3">
        <v>13</v>
      </c>
      <c r="E1035" s="3">
        <v>1639.885</v>
      </c>
      <c r="F1035" s="4" t="str">
        <f>HYPERLINK("http://141.218.60.56/~jnz1568/getInfo.php?workbook=12_04.xlsx&amp;sheet=A0&amp;row=1035&amp;col=6&amp;number=186000000&amp;sourceID=14","186000000")</f>
        <v>186000000</v>
      </c>
      <c r="G1035" s="4" t="str">
        <f>HYPERLINK("http://141.218.60.56/~jnz1568/getInfo.php?workbook=12_04.xlsx&amp;sheet=A0&amp;row=1035&amp;col=7&amp;number=0&amp;sourceID=14","0")</f>
        <v>0</v>
      </c>
    </row>
    <row r="1036" spans="1:7">
      <c r="A1036" s="3">
        <v>12</v>
      </c>
      <c r="B1036" s="3">
        <v>4</v>
      </c>
      <c r="C1036" s="3">
        <v>21</v>
      </c>
      <c r="D1036" s="3">
        <v>13</v>
      </c>
      <c r="E1036" s="3">
        <v>858.076</v>
      </c>
      <c r="F1036" s="4" t="str">
        <f>HYPERLINK("http://141.218.60.56/~jnz1568/getInfo.php?workbook=12_04.xlsx&amp;sheet=A0&amp;row=1036&amp;col=6&amp;number=2.4&amp;sourceID=14","2.4")</f>
        <v>2.4</v>
      </c>
      <c r="G1036" s="4" t="str">
        <f>HYPERLINK("http://141.218.60.56/~jnz1568/getInfo.php?workbook=12_04.xlsx&amp;sheet=A0&amp;row=1036&amp;col=7&amp;number=0&amp;sourceID=14","0")</f>
        <v>0</v>
      </c>
    </row>
    <row r="1037" spans="1:7">
      <c r="A1037" s="3">
        <v>12</v>
      </c>
      <c r="B1037" s="3">
        <v>4</v>
      </c>
      <c r="C1037" s="3">
        <v>22</v>
      </c>
      <c r="D1037" s="3">
        <v>13</v>
      </c>
      <c r="E1037" s="3">
        <v>849.98</v>
      </c>
      <c r="F1037" s="4" t="str">
        <f>HYPERLINK("http://141.218.60.56/~jnz1568/getInfo.php?workbook=12_04.xlsx&amp;sheet=A0&amp;row=1037&amp;col=6&amp;number=1.73&amp;sourceID=14","1.73")</f>
        <v>1.73</v>
      </c>
      <c r="G1037" s="4" t="str">
        <f>HYPERLINK("http://141.218.60.56/~jnz1568/getInfo.php?workbook=12_04.xlsx&amp;sheet=A0&amp;row=1037&amp;col=7&amp;number=0&amp;sourceID=14","0")</f>
        <v>0</v>
      </c>
    </row>
    <row r="1038" spans="1:7">
      <c r="A1038" s="3">
        <v>12</v>
      </c>
      <c r="B1038" s="3">
        <v>4</v>
      </c>
      <c r="C1038" s="3">
        <v>23</v>
      </c>
      <c r="D1038" s="3">
        <v>13</v>
      </c>
      <c r="E1038" s="3">
        <v>831.257</v>
      </c>
      <c r="F1038" s="4" t="str">
        <f>HYPERLINK("http://141.218.60.56/~jnz1568/getInfo.php?workbook=12_04.xlsx&amp;sheet=A0&amp;row=1038&amp;col=6&amp;number=0.531&amp;sourceID=14","0.531")</f>
        <v>0.531</v>
      </c>
      <c r="G1038" s="4" t="str">
        <f>HYPERLINK("http://141.218.60.56/~jnz1568/getInfo.php?workbook=12_04.xlsx&amp;sheet=A0&amp;row=1038&amp;col=7&amp;number=0&amp;sourceID=14","0")</f>
        <v>0</v>
      </c>
    </row>
    <row r="1039" spans="1:7">
      <c r="A1039" s="3">
        <v>12</v>
      </c>
      <c r="B1039" s="3">
        <v>4</v>
      </c>
      <c r="C1039" s="3">
        <v>24</v>
      </c>
      <c r="D1039" s="3">
        <v>13</v>
      </c>
      <c r="E1039" s="3">
        <v>669.166</v>
      </c>
      <c r="F1039" s="4" t="str">
        <f>HYPERLINK("http://141.218.60.56/~jnz1568/getInfo.php?workbook=12_04.xlsx&amp;sheet=A0&amp;row=1039&amp;col=6&amp;number=659&amp;sourceID=14","659")</f>
        <v>659</v>
      </c>
      <c r="G1039" s="4" t="str">
        <f>HYPERLINK("http://141.218.60.56/~jnz1568/getInfo.php?workbook=12_04.xlsx&amp;sheet=A0&amp;row=1039&amp;col=7&amp;number=0&amp;sourceID=14","0")</f>
        <v>0</v>
      </c>
    </row>
    <row r="1040" spans="1:7">
      <c r="A1040" s="3">
        <v>12</v>
      </c>
      <c r="B1040" s="3">
        <v>4</v>
      </c>
      <c r="C1040" s="3">
        <v>25</v>
      </c>
      <c r="D1040" s="3">
        <v>13</v>
      </c>
      <c r="E1040" s="3">
        <v>647.167</v>
      </c>
      <c r="F1040" s="4" t="str">
        <f>HYPERLINK("http://141.218.60.56/~jnz1568/getInfo.php?workbook=12_04.xlsx&amp;sheet=A0&amp;row=1040&amp;col=6&amp;number=1600000000&amp;sourceID=14","1600000000")</f>
        <v>1600000000</v>
      </c>
      <c r="G1040" s="4" t="str">
        <f>HYPERLINK("http://141.218.60.56/~jnz1568/getInfo.php?workbook=12_04.xlsx&amp;sheet=A0&amp;row=1040&amp;col=7&amp;number=0&amp;sourceID=14","0")</f>
        <v>0</v>
      </c>
    </row>
    <row r="1041" spans="1:7">
      <c r="A1041" s="3">
        <v>12</v>
      </c>
      <c r="B1041" s="3">
        <v>4</v>
      </c>
      <c r="C1041" s="3">
        <v>26</v>
      </c>
      <c r="D1041" s="3">
        <v>13</v>
      </c>
      <c r="E1041" s="3">
        <v>617.781</v>
      </c>
      <c r="F1041" s="4" t="str">
        <f>HYPERLINK("http://141.218.60.56/~jnz1568/getInfo.php?workbook=12_04.xlsx&amp;sheet=A0&amp;row=1041&amp;col=6&amp;number=28900000&amp;sourceID=14","28900000")</f>
        <v>28900000</v>
      </c>
      <c r="G1041" s="4" t="str">
        <f>HYPERLINK("http://141.218.60.56/~jnz1568/getInfo.php?workbook=12_04.xlsx&amp;sheet=A0&amp;row=1041&amp;col=7&amp;number=0&amp;sourceID=14","0")</f>
        <v>0</v>
      </c>
    </row>
    <row r="1042" spans="1:7">
      <c r="A1042" s="3">
        <v>12</v>
      </c>
      <c r="B1042" s="3">
        <v>4</v>
      </c>
      <c r="C1042" s="3">
        <v>27</v>
      </c>
      <c r="D1042" s="3">
        <v>13</v>
      </c>
      <c r="E1042" s="3">
        <v>613.988</v>
      </c>
      <c r="F1042" s="4" t="str">
        <f>HYPERLINK("http://141.218.60.56/~jnz1568/getInfo.php?workbook=12_04.xlsx&amp;sheet=A0&amp;row=1042&amp;col=6&amp;number=15100000&amp;sourceID=14","15100000")</f>
        <v>15100000</v>
      </c>
      <c r="G1042" s="4" t="str">
        <f>HYPERLINK("http://141.218.60.56/~jnz1568/getInfo.php?workbook=12_04.xlsx&amp;sheet=A0&amp;row=1042&amp;col=7&amp;number=0&amp;sourceID=14","0")</f>
        <v>0</v>
      </c>
    </row>
    <row r="1043" spans="1:7">
      <c r="A1043" s="3">
        <v>12</v>
      </c>
      <c r="B1043" s="3">
        <v>4</v>
      </c>
      <c r="C1043" s="3">
        <v>28</v>
      </c>
      <c r="D1043" s="3">
        <v>13</v>
      </c>
      <c r="E1043" s="3">
        <v>604.706</v>
      </c>
      <c r="F1043" s="4" t="str">
        <f>HYPERLINK("http://141.218.60.56/~jnz1568/getInfo.php?workbook=12_04.xlsx&amp;sheet=A0&amp;row=1043&amp;col=6&amp;number=0.228&amp;sourceID=14","0.228")</f>
        <v>0.228</v>
      </c>
      <c r="G1043" s="4" t="str">
        <f>HYPERLINK("http://141.218.60.56/~jnz1568/getInfo.php?workbook=12_04.xlsx&amp;sheet=A0&amp;row=1043&amp;col=7&amp;number=0&amp;sourceID=14","0")</f>
        <v>0</v>
      </c>
    </row>
    <row r="1044" spans="1:7">
      <c r="A1044" s="3">
        <v>12</v>
      </c>
      <c r="B1044" s="3">
        <v>4</v>
      </c>
      <c r="C1044" s="3">
        <v>29</v>
      </c>
      <c r="D1044" s="3">
        <v>13</v>
      </c>
      <c r="E1044" s="3">
        <v>565.676</v>
      </c>
      <c r="F1044" s="4" t="str">
        <f>HYPERLINK("http://141.218.60.56/~jnz1568/getInfo.php?workbook=12_04.xlsx&amp;sheet=A0&amp;row=1044&amp;col=6&amp;number=21900&amp;sourceID=14","21900")</f>
        <v>21900</v>
      </c>
      <c r="G1044" s="4" t="str">
        <f>HYPERLINK("http://141.218.60.56/~jnz1568/getInfo.php?workbook=12_04.xlsx&amp;sheet=A0&amp;row=1044&amp;col=7&amp;number=0&amp;sourceID=14","0")</f>
        <v>0</v>
      </c>
    </row>
    <row r="1045" spans="1:7">
      <c r="A1045" s="3">
        <v>12</v>
      </c>
      <c r="B1045" s="3">
        <v>4</v>
      </c>
      <c r="C1045" s="3">
        <v>30</v>
      </c>
      <c r="D1045" s="3">
        <v>13</v>
      </c>
      <c r="E1045" s="3">
        <v>-541.616</v>
      </c>
      <c r="F1045" s="4" t="str">
        <f>HYPERLINK("http://141.218.60.56/~jnz1568/getInfo.php?workbook=12_04.xlsx&amp;sheet=A0&amp;row=1045&amp;col=6&amp;number=34300000&amp;sourceID=14","34300000")</f>
        <v>34300000</v>
      </c>
      <c r="G1045" s="4" t="str">
        <f>HYPERLINK("http://141.218.60.56/~jnz1568/getInfo.php?workbook=12_04.xlsx&amp;sheet=A0&amp;row=1045&amp;col=7&amp;number=0&amp;sourceID=14","0")</f>
        <v>0</v>
      </c>
    </row>
    <row r="1046" spans="1:7">
      <c r="A1046" s="3">
        <v>12</v>
      </c>
      <c r="B1046" s="3">
        <v>4</v>
      </c>
      <c r="C1046" s="3">
        <v>31</v>
      </c>
      <c r="D1046" s="3">
        <v>13</v>
      </c>
      <c r="E1046" s="3">
        <v>540.279</v>
      </c>
      <c r="F1046" s="4" t="str">
        <f>HYPERLINK("http://141.218.60.56/~jnz1568/getInfo.php?workbook=12_04.xlsx&amp;sheet=A0&amp;row=1046&amp;col=6&amp;number=14100000&amp;sourceID=14","14100000")</f>
        <v>14100000</v>
      </c>
      <c r="G1046" s="4" t="str">
        <f>HYPERLINK("http://141.218.60.56/~jnz1568/getInfo.php?workbook=12_04.xlsx&amp;sheet=A0&amp;row=1046&amp;col=7&amp;number=0&amp;sourceID=14","0")</f>
        <v>0</v>
      </c>
    </row>
    <row r="1047" spans="1:7">
      <c r="A1047" s="3">
        <v>12</v>
      </c>
      <c r="B1047" s="3">
        <v>4</v>
      </c>
      <c r="C1047" s="3">
        <v>32</v>
      </c>
      <c r="D1047" s="3">
        <v>13</v>
      </c>
      <c r="E1047" s="3">
        <v>536.51</v>
      </c>
      <c r="F1047" s="4" t="str">
        <f>HYPERLINK("http://141.218.60.56/~jnz1568/getInfo.php?workbook=12_04.xlsx&amp;sheet=A0&amp;row=1047&amp;col=6&amp;number=12100000&amp;sourceID=14","12100000")</f>
        <v>12100000</v>
      </c>
      <c r="G1047" s="4" t="str">
        <f>HYPERLINK("http://141.218.60.56/~jnz1568/getInfo.php?workbook=12_04.xlsx&amp;sheet=A0&amp;row=1047&amp;col=7&amp;number=0&amp;sourceID=14","0")</f>
        <v>0</v>
      </c>
    </row>
    <row r="1048" spans="1:7">
      <c r="A1048" s="3">
        <v>12</v>
      </c>
      <c r="B1048" s="3">
        <v>4</v>
      </c>
      <c r="C1048" s="3">
        <v>33</v>
      </c>
      <c r="D1048" s="3">
        <v>13</v>
      </c>
      <c r="E1048" s="3">
        <v>-518.514</v>
      </c>
      <c r="F1048" s="4" t="str">
        <f>HYPERLINK("http://141.218.60.56/~jnz1568/getInfo.php?workbook=12_04.xlsx&amp;sheet=A0&amp;row=1048&amp;col=6&amp;number=133&amp;sourceID=14","133")</f>
        <v>133</v>
      </c>
      <c r="G1048" s="4" t="str">
        <f>HYPERLINK("http://141.218.60.56/~jnz1568/getInfo.php?workbook=12_04.xlsx&amp;sheet=A0&amp;row=1048&amp;col=7&amp;number=0&amp;sourceID=14","0")</f>
        <v>0</v>
      </c>
    </row>
    <row r="1049" spans="1:7">
      <c r="A1049" s="3">
        <v>12</v>
      </c>
      <c r="B1049" s="3">
        <v>4</v>
      </c>
      <c r="C1049" s="3">
        <v>34</v>
      </c>
      <c r="D1049" s="3">
        <v>13</v>
      </c>
      <c r="E1049" s="3">
        <v>-513.071</v>
      </c>
      <c r="F1049" s="4" t="str">
        <f>HYPERLINK("http://141.218.60.56/~jnz1568/getInfo.php?workbook=12_04.xlsx&amp;sheet=A0&amp;row=1049&amp;col=6&amp;number=0.727&amp;sourceID=14","0.727")</f>
        <v>0.727</v>
      </c>
      <c r="G1049" s="4" t="str">
        <f>HYPERLINK("http://141.218.60.56/~jnz1568/getInfo.php?workbook=12_04.xlsx&amp;sheet=A0&amp;row=1049&amp;col=7&amp;number=0&amp;sourceID=14","0")</f>
        <v>0</v>
      </c>
    </row>
    <row r="1050" spans="1:7">
      <c r="A1050" s="3">
        <v>12</v>
      </c>
      <c r="B1050" s="3">
        <v>4</v>
      </c>
      <c r="C1050" s="3">
        <v>35</v>
      </c>
      <c r="D1050" s="3">
        <v>13</v>
      </c>
      <c r="E1050" s="3">
        <v>510.101</v>
      </c>
      <c r="F1050" s="4" t="str">
        <f>HYPERLINK("http://141.218.60.56/~jnz1568/getInfo.php?workbook=12_04.xlsx&amp;sheet=A0&amp;row=1050&amp;col=6&amp;number=782&amp;sourceID=14","782")</f>
        <v>782</v>
      </c>
      <c r="G1050" s="4" t="str">
        <f>HYPERLINK("http://141.218.60.56/~jnz1568/getInfo.php?workbook=12_04.xlsx&amp;sheet=A0&amp;row=1050&amp;col=7&amp;number=0&amp;sourceID=14","0")</f>
        <v>0</v>
      </c>
    </row>
    <row r="1051" spans="1:7">
      <c r="A1051" s="3">
        <v>12</v>
      </c>
      <c r="B1051" s="3">
        <v>4</v>
      </c>
      <c r="C1051" s="3">
        <v>36</v>
      </c>
      <c r="D1051" s="3">
        <v>13</v>
      </c>
      <c r="E1051" s="3">
        <v>-507.821</v>
      </c>
      <c r="F1051" s="4" t="str">
        <f>HYPERLINK("http://141.218.60.56/~jnz1568/getInfo.php?workbook=12_04.xlsx&amp;sheet=A0&amp;row=1051&amp;col=6&amp;number=5.25e-07&amp;sourceID=14","5.25e-07")</f>
        <v>5.25e-07</v>
      </c>
      <c r="G1051" s="4" t="str">
        <f>HYPERLINK("http://141.218.60.56/~jnz1568/getInfo.php?workbook=12_04.xlsx&amp;sheet=A0&amp;row=1051&amp;col=7&amp;number=0&amp;sourceID=14","0")</f>
        <v>0</v>
      </c>
    </row>
    <row r="1052" spans="1:7">
      <c r="A1052" s="3">
        <v>12</v>
      </c>
      <c r="B1052" s="3">
        <v>4</v>
      </c>
      <c r="C1052" s="3">
        <v>37</v>
      </c>
      <c r="D1052" s="3">
        <v>13</v>
      </c>
      <c r="E1052" s="3">
        <v>494.39</v>
      </c>
      <c r="F1052" s="4" t="str">
        <f>HYPERLINK("http://141.218.60.56/~jnz1568/getInfo.php?workbook=12_04.xlsx&amp;sheet=A0&amp;row=1052&amp;col=6&amp;number=209000000&amp;sourceID=14","209000000")</f>
        <v>209000000</v>
      </c>
      <c r="G1052" s="4" t="str">
        <f>HYPERLINK("http://141.218.60.56/~jnz1568/getInfo.php?workbook=12_04.xlsx&amp;sheet=A0&amp;row=1052&amp;col=7&amp;number=0&amp;sourceID=14","0")</f>
        <v>0</v>
      </c>
    </row>
    <row r="1053" spans="1:7">
      <c r="A1053" s="3">
        <v>12</v>
      </c>
      <c r="B1053" s="3">
        <v>4</v>
      </c>
      <c r="C1053" s="3">
        <v>38</v>
      </c>
      <c r="D1053" s="3">
        <v>13</v>
      </c>
      <c r="E1053" s="3">
        <v>467.903</v>
      </c>
      <c r="F1053" s="4" t="str">
        <f>HYPERLINK("http://141.218.60.56/~jnz1568/getInfo.php?workbook=12_04.xlsx&amp;sheet=A0&amp;row=1053&amp;col=6&amp;number=5.46&amp;sourceID=14","5.46")</f>
        <v>5.46</v>
      </c>
      <c r="G1053" s="4" t="str">
        <f>HYPERLINK("http://141.218.60.56/~jnz1568/getInfo.php?workbook=12_04.xlsx&amp;sheet=A0&amp;row=1053&amp;col=7&amp;number=0&amp;sourceID=14","0")</f>
        <v>0</v>
      </c>
    </row>
    <row r="1054" spans="1:7">
      <c r="A1054" s="3">
        <v>12</v>
      </c>
      <c r="B1054" s="3">
        <v>4</v>
      </c>
      <c r="C1054" s="3">
        <v>39</v>
      </c>
      <c r="D1054" s="3">
        <v>13</v>
      </c>
      <c r="E1054" s="3">
        <v>466.724</v>
      </c>
      <c r="F1054" s="4" t="str">
        <f>HYPERLINK("http://141.218.60.56/~jnz1568/getInfo.php?workbook=12_04.xlsx&amp;sheet=A0&amp;row=1054&amp;col=6&amp;number=0.98&amp;sourceID=14","0.98")</f>
        <v>0.98</v>
      </c>
      <c r="G1054" s="4" t="str">
        <f>HYPERLINK("http://141.218.60.56/~jnz1568/getInfo.php?workbook=12_04.xlsx&amp;sheet=A0&amp;row=1054&amp;col=7&amp;number=0&amp;sourceID=14","0")</f>
        <v>0</v>
      </c>
    </row>
    <row r="1055" spans="1:7">
      <c r="A1055" s="3">
        <v>12</v>
      </c>
      <c r="B1055" s="3">
        <v>4</v>
      </c>
      <c r="C1055" s="3">
        <v>40</v>
      </c>
      <c r="D1055" s="3">
        <v>13</v>
      </c>
      <c r="E1055" s="3">
        <v>464.555</v>
      </c>
      <c r="F1055" s="4" t="str">
        <f>HYPERLINK("http://141.218.60.56/~jnz1568/getInfo.php?workbook=12_04.xlsx&amp;sheet=A0&amp;row=1055&amp;col=6&amp;number=12&amp;sourceID=14","12")</f>
        <v>12</v>
      </c>
      <c r="G1055" s="4" t="str">
        <f>HYPERLINK("http://141.218.60.56/~jnz1568/getInfo.php?workbook=12_04.xlsx&amp;sheet=A0&amp;row=1055&amp;col=7&amp;number=0&amp;sourceID=14","0")</f>
        <v>0</v>
      </c>
    </row>
    <row r="1056" spans="1:7">
      <c r="A1056" s="3">
        <v>12</v>
      </c>
      <c r="B1056" s="3">
        <v>4</v>
      </c>
      <c r="C1056" s="3">
        <v>41</v>
      </c>
      <c r="D1056" s="3">
        <v>13</v>
      </c>
      <c r="E1056" s="3">
        <v>451.224</v>
      </c>
      <c r="F1056" s="4" t="str">
        <f>HYPERLINK("http://141.218.60.56/~jnz1568/getInfo.php?workbook=12_04.xlsx&amp;sheet=A0&amp;row=1056&amp;col=6&amp;number=0.0111&amp;sourceID=14","0.0111")</f>
        <v>0.0111</v>
      </c>
      <c r="G1056" s="4" t="str">
        <f>HYPERLINK("http://141.218.60.56/~jnz1568/getInfo.php?workbook=12_04.xlsx&amp;sheet=A0&amp;row=1056&amp;col=7&amp;number=0&amp;sourceID=14","0")</f>
        <v>0</v>
      </c>
    </row>
    <row r="1057" spans="1:7">
      <c r="A1057" s="3">
        <v>12</v>
      </c>
      <c r="B1057" s="3">
        <v>4</v>
      </c>
      <c r="C1057" s="3">
        <v>42</v>
      </c>
      <c r="D1057" s="3">
        <v>13</v>
      </c>
      <c r="E1057" s="3">
        <v>449.217</v>
      </c>
      <c r="F1057" s="4" t="str">
        <f>HYPERLINK("http://141.218.60.56/~jnz1568/getInfo.php?workbook=12_04.xlsx&amp;sheet=A0&amp;row=1057&amp;col=6&amp;number=4.72&amp;sourceID=14","4.72")</f>
        <v>4.72</v>
      </c>
      <c r="G1057" s="4" t="str">
        <f>HYPERLINK("http://141.218.60.56/~jnz1568/getInfo.php?workbook=12_04.xlsx&amp;sheet=A0&amp;row=1057&amp;col=7&amp;number=0&amp;sourceID=14","0")</f>
        <v>0</v>
      </c>
    </row>
    <row r="1058" spans="1:7">
      <c r="A1058" s="3">
        <v>12</v>
      </c>
      <c r="B1058" s="3">
        <v>4</v>
      </c>
      <c r="C1058" s="3">
        <v>43</v>
      </c>
      <c r="D1058" s="3">
        <v>13</v>
      </c>
      <c r="E1058" s="3">
        <v>448.17</v>
      </c>
      <c r="F1058" s="4" t="str">
        <f>HYPERLINK("http://141.218.60.56/~jnz1568/getInfo.php?workbook=12_04.xlsx&amp;sheet=A0&amp;row=1058&amp;col=6&amp;number=0.00619&amp;sourceID=14","0.00619")</f>
        <v>0.00619</v>
      </c>
      <c r="G1058" s="4" t="str">
        <f>HYPERLINK("http://141.218.60.56/~jnz1568/getInfo.php?workbook=12_04.xlsx&amp;sheet=A0&amp;row=1058&amp;col=7&amp;number=0&amp;sourceID=14","0")</f>
        <v>0</v>
      </c>
    </row>
    <row r="1059" spans="1:7">
      <c r="A1059" s="3">
        <v>12</v>
      </c>
      <c r="B1059" s="3">
        <v>4</v>
      </c>
      <c r="C1059" s="3">
        <v>44</v>
      </c>
      <c r="D1059" s="3">
        <v>13</v>
      </c>
      <c r="E1059" s="3">
        <v>-419.082</v>
      </c>
      <c r="F1059" s="4" t="str">
        <f>HYPERLINK("http://141.218.60.56/~jnz1568/getInfo.php?workbook=12_04.xlsx&amp;sheet=A0&amp;row=1059&amp;col=6&amp;number=1100000000&amp;sourceID=14","1100000000")</f>
        <v>1100000000</v>
      </c>
      <c r="G1059" s="4" t="str">
        <f>HYPERLINK("http://141.218.60.56/~jnz1568/getInfo.php?workbook=12_04.xlsx&amp;sheet=A0&amp;row=1059&amp;col=7&amp;number=0&amp;sourceID=14","0")</f>
        <v>0</v>
      </c>
    </row>
    <row r="1060" spans="1:7">
      <c r="A1060" s="3">
        <v>12</v>
      </c>
      <c r="B1060" s="3">
        <v>4</v>
      </c>
      <c r="C1060" s="3">
        <v>45</v>
      </c>
      <c r="D1060" s="3">
        <v>13</v>
      </c>
      <c r="E1060" s="3">
        <v>414.784</v>
      </c>
      <c r="F1060" s="4" t="str">
        <f>HYPERLINK("http://141.218.60.56/~jnz1568/getInfo.php?workbook=12_04.xlsx&amp;sheet=A0&amp;row=1060&amp;col=6&amp;number=11300&amp;sourceID=14","11300")</f>
        <v>11300</v>
      </c>
      <c r="G1060" s="4" t="str">
        <f>HYPERLINK("http://141.218.60.56/~jnz1568/getInfo.php?workbook=12_04.xlsx&amp;sheet=A0&amp;row=1060&amp;col=7&amp;number=0&amp;sourceID=14","0")</f>
        <v>0</v>
      </c>
    </row>
    <row r="1061" spans="1:7">
      <c r="A1061" s="3">
        <v>12</v>
      </c>
      <c r="B1061" s="3">
        <v>4</v>
      </c>
      <c r="C1061" s="3">
        <v>46</v>
      </c>
      <c r="D1061" s="3">
        <v>13</v>
      </c>
      <c r="E1061" s="3">
        <v>403.292</v>
      </c>
      <c r="F1061" s="4" t="str">
        <f>HYPERLINK("http://141.218.60.56/~jnz1568/getInfo.php?workbook=12_04.xlsx&amp;sheet=A0&amp;row=1061&amp;col=6&amp;number=1670&amp;sourceID=14","1670")</f>
        <v>1670</v>
      </c>
      <c r="G1061" s="4" t="str">
        <f>HYPERLINK("http://141.218.60.56/~jnz1568/getInfo.php?workbook=12_04.xlsx&amp;sheet=A0&amp;row=1061&amp;col=7&amp;number=0&amp;sourceID=14","0")</f>
        <v>0</v>
      </c>
    </row>
    <row r="1062" spans="1:7">
      <c r="A1062" s="3">
        <v>12</v>
      </c>
      <c r="B1062" s="3">
        <v>4</v>
      </c>
      <c r="C1062" s="3">
        <v>47</v>
      </c>
      <c r="D1062" s="3">
        <v>13</v>
      </c>
      <c r="E1062" s="3">
        <v>-223.704</v>
      </c>
      <c r="F1062" s="4" t="str">
        <f>HYPERLINK("http://141.218.60.56/~jnz1568/getInfo.php?workbook=12_04.xlsx&amp;sheet=A0&amp;row=1062&amp;col=6&amp;number=156000000&amp;sourceID=14","156000000")</f>
        <v>156000000</v>
      </c>
      <c r="G1062" s="4" t="str">
        <f>HYPERLINK("http://141.218.60.56/~jnz1568/getInfo.php?workbook=12_04.xlsx&amp;sheet=A0&amp;row=1062&amp;col=7&amp;number=0&amp;sourceID=14","0")</f>
        <v>0</v>
      </c>
    </row>
    <row r="1063" spans="1:7">
      <c r="A1063" s="3">
        <v>12</v>
      </c>
      <c r="B1063" s="3">
        <v>4</v>
      </c>
      <c r="C1063" s="3">
        <v>48</v>
      </c>
      <c r="D1063" s="3">
        <v>13</v>
      </c>
      <c r="E1063" s="3">
        <v>-218.775</v>
      </c>
      <c r="F1063" s="4" t="str">
        <f>HYPERLINK("http://141.218.60.56/~jnz1568/getInfo.php?workbook=12_04.xlsx&amp;sheet=A0&amp;row=1063&amp;col=6&amp;number=17500000000&amp;sourceID=14","17500000000")</f>
        <v>17500000000</v>
      </c>
      <c r="G1063" s="4" t="str">
        <f>HYPERLINK("http://141.218.60.56/~jnz1568/getInfo.php?workbook=12_04.xlsx&amp;sheet=A0&amp;row=1063&amp;col=7&amp;number=0&amp;sourceID=14","0")</f>
        <v>0</v>
      </c>
    </row>
    <row r="1064" spans="1:7">
      <c r="A1064" s="3">
        <v>12</v>
      </c>
      <c r="B1064" s="3">
        <v>4</v>
      </c>
      <c r="C1064" s="3">
        <v>49</v>
      </c>
      <c r="D1064" s="3">
        <v>13</v>
      </c>
      <c r="E1064" s="3">
        <v>-212.036</v>
      </c>
      <c r="F1064" s="4" t="str">
        <f>HYPERLINK("http://141.218.60.56/~jnz1568/getInfo.php?workbook=12_04.xlsx&amp;sheet=A0&amp;row=1064&amp;col=6&amp;number=1.86&amp;sourceID=14","1.86")</f>
        <v>1.86</v>
      </c>
      <c r="G1064" s="4" t="str">
        <f>HYPERLINK("http://141.218.60.56/~jnz1568/getInfo.php?workbook=12_04.xlsx&amp;sheet=A0&amp;row=1064&amp;col=7&amp;number=0&amp;sourceID=14","0")</f>
        <v>0</v>
      </c>
    </row>
    <row r="1065" spans="1:7">
      <c r="A1065" s="3">
        <v>12</v>
      </c>
      <c r="B1065" s="3">
        <v>4</v>
      </c>
      <c r="C1065" s="3">
        <v>50</v>
      </c>
      <c r="D1065" s="3">
        <v>13</v>
      </c>
      <c r="E1065" s="3">
        <v>-211.984</v>
      </c>
      <c r="F1065" s="4" t="str">
        <f>HYPERLINK("http://141.218.60.56/~jnz1568/getInfo.php?workbook=12_04.xlsx&amp;sheet=A0&amp;row=1065&amp;col=6&amp;number=560&amp;sourceID=14","560")</f>
        <v>560</v>
      </c>
      <c r="G1065" s="4" t="str">
        <f>HYPERLINK("http://141.218.60.56/~jnz1568/getInfo.php?workbook=12_04.xlsx&amp;sheet=A0&amp;row=1065&amp;col=7&amp;number=0&amp;sourceID=14","0")</f>
        <v>0</v>
      </c>
    </row>
    <row r="1066" spans="1:7">
      <c r="A1066" s="3">
        <v>12</v>
      </c>
      <c r="B1066" s="3">
        <v>4</v>
      </c>
      <c r="C1066" s="3">
        <v>51</v>
      </c>
      <c r="D1066" s="3">
        <v>13</v>
      </c>
      <c r="E1066" s="3">
        <v>-211.867</v>
      </c>
      <c r="F1066" s="4" t="str">
        <f>HYPERLINK("http://141.218.60.56/~jnz1568/getInfo.php?workbook=12_04.xlsx&amp;sheet=A0&amp;row=1066&amp;col=6&amp;number=15600&amp;sourceID=14","15600")</f>
        <v>15600</v>
      </c>
      <c r="G1066" s="4" t="str">
        <f>HYPERLINK("http://141.218.60.56/~jnz1568/getInfo.php?workbook=12_04.xlsx&amp;sheet=A0&amp;row=1066&amp;col=7&amp;number=0&amp;sourceID=14","0")</f>
        <v>0</v>
      </c>
    </row>
    <row r="1067" spans="1:7">
      <c r="A1067" s="3">
        <v>12</v>
      </c>
      <c r="B1067" s="3">
        <v>4</v>
      </c>
      <c r="C1067" s="3">
        <v>52</v>
      </c>
      <c r="D1067" s="3">
        <v>13</v>
      </c>
      <c r="E1067" s="3">
        <v>210.491</v>
      </c>
      <c r="F1067" s="4" t="str">
        <f>HYPERLINK("http://141.218.60.56/~jnz1568/getInfo.php?workbook=12_04.xlsx&amp;sheet=A0&amp;row=1067&amp;col=6&amp;number=1420000&amp;sourceID=14","1420000")</f>
        <v>1420000</v>
      </c>
      <c r="G1067" s="4" t="str">
        <f>HYPERLINK("http://141.218.60.56/~jnz1568/getInfo.php?workbook=12_04.xlsx&amp;sheet=A0&amp;row=1067&amp;col=7&amp;number=0&amp;sourceID=14","0")</f>
        <v>0</v>
      </c>
    </row>
    <row r="1068" spans="1:7">
      <c r="A1068" s="3">
        <v>12</v>
      </c>
      <c r="B1068" s="3">
        <v>4</v>
      </c>
      <c r="C1068" s="3">
        <v>53</v>
      </c>
      <c r="D1068" s="3">
        <v>13</v>
      </c>
      <c r="E1068" s="3">
        <v>205.605</v>
      </c>
      <c r="F1068" s="4" t="str">
        <f>HYPERLINK("http://141.218.60.56/~jnz1568/getInfo.php?workbook=12_04.xlsx&amp;sheet=A0&amp;row=1068&amp;col=6&amp;number=444000000&amp;sourceID=14","444000000")</f>
        <v>444000000</v>
      </c>
      <c r="G1068" s="4" t="str">
        <f>HYPERLINK("http://141.218.60.56/~jnz1568/getInfo.php?workbook=12_04.xlsx&amp;sheet=A0&amp;row=1068&amp;col=7&amp;number=0&amp;sourceID=14","0")</f>
        <v>0</v>
      </c>
    </row>
    <row r="1069" spans="1:7">
      <c r="A1069" s="3">
        <v>12</v>
      </c>
      <c r="B1069" s="3">
        <v>4</v>
      </c>
      <c r="C1069" s="3">
        <v>54</v>
      </c>
      <c r="D1069" s="3">
        <v>13</v>
      </c>
      <c r="E1069" s="3">
        <v>205.605</v>
      </c>
      <c r="F1069" s="4" t="str">
        <f>HYPERLINK("http://141.218.60.56/~jnz1568/getInfo.php?workbook=12_04.xlsx&amp;sheet=A0&amp;row=1069&amp;col=6&amp;number=872000000&amp;sourceID=14","872000000")</f>
        <v>872000000</v>
      </c>
      <c r="G1069" s="4" t="str">
        <f>HYPERLINK("http://141.218.60.56/~jnz1568/getInfo.php?workbook=12_04.xlsx&amp;sheet=A0&amp;row=1069&amp;col=7&amp;number=0&amp;sourceID=14","0")</f>
        <v>0</v>
      </c>
    </row>
    <row r="1070" spans="1:7">
      <c r="A1070" s="3">
        <v>12</v>
      </c>
      <c r="B1070" s="3">
        <v>4</v>
      </c>
      <c r="C1070" s="3">
        <v>55</v>
      </c>
      <c r="D1070" s="3">
        <v>13</v>
      </c>
      <c r="E1070" s="3">
        <v>205.571</v>
      </c>
      <c r="F1070" s="4" t="str">
        <f>HYPERLINK("http://141.218.60.56/~jnz1568/getInfo.php?workbook=12_04.xlsx&amp;sheet=A0&amp;row=1070&amp;col=6&amp;number=40.1&amp;sourceID=14","40.1")</f>
        <v>40.1</v>
      </c>
      <c r="G1070" s="4" t="str">
        <f>HYPERLINK("http://141.218.60.56/~jnz1568/getInfo.php?workbook=12_04.xlsx&amp;sheet=A0&amp;row=1070&amp;col=7&amp;number=0&amp;sourceID=14","0")</f>
        <v>0</v>
      </c>
    </row>
    <row r="1071" spans="1:7">
      <c r="A1071" s="3">
        <v>12</v>
      </c>
      <c r="B1071" s="3">
        <v>4</v>
      </c>
      <c r="C1071" s="3">
        <v>56</v>
      </c>
      <c r="D1071" s="3">
        <v>13</v>
      </c>
      <c r="E1071" s="3">
        <v>202.311</v>
      </c>
      <c r="F1071" s="4" t="str">
        <f>HYPERLINK("http://141.218.60.56/~jnz1568/getInfo.php?workbook=12_04.xlsx&amp;sheet=A0&amp;row=1071&amp;col=6&amp;number=38500000000&amp;sourceID=14","38500000000")</f>
        <v>38500000000</v>
      </c>
      <c r="G1071" s="4" t="str">
        <f>HYPERLINK("http://141.218.60.56/~jnz1568/getInfo.php?workbook=12_04.xlsx&amp;sheet=A0&amp;row=1071&amp;col=7&amp;number=0&amp;sourceID=14","0")</f>
        <v>0</v>
      </c>
    </row>
    <row r="1072" spans="1:7">
      <c r="A1072" s="3">
        <v>12</v>
      </c>
      <c r="B1072" s="3">
        <v>4</v>
      </c>
      <c r="C1072" s="3">
        <v>57</v>
      </c>
      <c r="D1072" s="3">
        <v>13</v>
      </c>
      <c r="E1072" s="3">
        <v>-202.161</v>
      </c>
      <c r="F1072" s="4" t="str">
        <f>HYPERLINK("http://141.218.60.56/~jnz1568/getInfo.php?workbook=12_04.xlsx&amp;sheet=A0&amp;row=1072&amp;col=6&amp;number=51200&amp;sourceID=14","51200")</f>
        <v>51200</v>
      </c>
      <c r="G1072" s="4" t="str">
        <f>HYPERLINK("http://141.218.60.56/~jnz1568/getInfo.php?workbook=12_04.xlsx&amp;sheet=A0&amp;row=1072&amp;col=7&amp;number=0&amp;sourceID=14","0")</f>
        <v>0</v>
      </c>
    </row>
    <row r="1073" spans="1:7">
      <c r="A1073" s="3">
        <v>12</v>
      </c>
      <c r="B1073" s="3">
        <v>4</v>
      </c>
      <c r="C1073" s="3">
        <v>58</v>
      </c>
      <c r="D1073" s="3">
        <v>13</v>
      </c>
      <c r="E1073" s="3">
        <v>-202.15</v>
      </c>
      <c r="F1073" s="4" t="str">
        <f>HYPERLINK("http://141.218.60.56/~jnz1568/getInfo.php?workbook=12_04.xlsx&amp;sheet=A0&amp;row=1073&amp;col=6&amp;number=82400&amp;sourceID=14","82400")</f>
        <v>82400</v>
      </c>
      <c r="G1073" s="4" t="str">
        <f>HYPERLINK("http://141.218.60.56/~jnz1568/getInfo.php?workbook=12_04.xlsx&amp;sheet=A0&amp;row=1073&amp;col=7&amp;number=0&amp;sourceID=14","0")</f>
        <v>0</v>
      </c>
    </row>
    <row r="1074" spans="1:7">
      <c r="A1074" s="3">
        <v>12</v>
      </c>
      <c r="B1074" s="3">
        <v>4</v>
      </c>
      <c r="C1074" s="3">
        <v>59</v>
      </c>
      <c r="D1074" s="3">
        <v>13</v>
      </c>
      <c r="E1074" s="3">
        <v>-202.134</v>
      </c>
      <c r="F1074" s="4" t="str">
        <f>HYPERLINK("http://141.218.60.56/~jnz1568/getInfo.php?workbook=12_04.xlsx&amp;sheet=A0&amp;row=1074&amp;col=6&amp;number=0.00497&amp;sourceID=14","0.00497")</f>
        <v>0.00497</v>
      </c>
      <c r="G1074" s="4" t="str">
        <f>HYPERLINK("http://141.218.60.56/~jnz1568/getInfo.php?workbook=12_04.xlsx&amp;sheet=A0&amp;row=1074&amp;col=7&amp;number=0&amp;sourceID=14","0")</f>
        <v>0</v>
      </c>
    </row>
    <row r="1075" spans="1:7">
      <c r="A1075" s="3">
        <v>12</v>
      </c>
      <c r="B1075" s="3">
        <v>4</v>
      </c>
      <c r="C1075" s="3">
        <v>60</v>
      </c>
      <c r="D1075" s="3">
        <v>13</v>
      </c>
      <c r="E1075" s="3">
        <v>-201.107</v>
      </c>
      <c r="F1075" s="4" t="str">
        <f>HYPERLINK("http://141.218.60.56/~jnz1568/getInfo.php?workbook=12_04.xlsx&amp;sheet=A0&amp;row=1075&amp;col=6&amp;number=4030000&amp;sourceID=14","4030000")</f>
        <v>4030000</v>
      </c>
      <c r="G1075" s="4" t="str">
        <f>HYPERLINK("http://141.218.60.56/~jnz1568/getInfo.php?workbook=12_04.xlsx&amp;sheet=A0&amp;row=1075&amp;col=7&amp;number=0&amp;sourceID=14","0")</f>
        <v>0</v>
      </c>
    </row>
    <row r="1076" spans="1:7">
      <c r="A1076" s="3">
        <v>12</v>
      </c>
      <c r="B1076" s="3">
        <v>4</v>
      </c>
      <c r="C1076" s="3">
        <v>61</v>
      </c>
      <c r="D1076" s="3">
        <v>13</v>
      </c>
      <c r="E1076" s="3">
        <v>-163.144</v>
      </c>
      <c r="F1076" s="4" t="str">
        <f>HYPERLINK("http://141.218.60.56/~jnz1568/getInfo.php?workbook=12_04.xlsx&amp;sheet=A0&amp;row=1076&amp;col=6&amp;number=0.078&amp;sourceID=14","0.078")</f>
        <v>0.078</v>
      </c>
      <c r="G1076" s="4" t="str">
        <f>HYPERLINK("http://141.218.60.56/~jnz1568/getInfo.php?workbook=12_04.xlsx&amp;sheet=A0&amp;row=1076&amp;col=7&amp;number=0&amp;sourceID=14","0")</f>
        <v>0</v>
      </c>
    </row>
    <row r="1077" spans="1:7">
      <c r="A1077" s="3">
        <v>12</v>
      </c>
      <c r="B1077" s="3">
        <v>4</v>
      </c>
      <c r="C1077" s="3">
        <v>62</v>
      </c>
      <c r="D1077" s="3">
        <v>13</v>
      </c>
      <c r="E1077" s="3">
        <v>-162.9</v>
      </c>
      <c r="F1077" s="4" t="str">
        <f>HYPERLINK("http://141.218.60.56/~jnz1568/getInfo.php?workbook=12_04.xlsx&amp;sheet=A0&amp;row=1077&amp;col=6&amp;number=5.41&amp;sourceID=14","5.41")</f>
        <v>5.41</v>
      </c>
      <c r="G1077" s="4" t="str">
        <f>HYPERLINK("http://141.218.60.56/~jnz1568/getInfo.php?workbook=12_04.xlsx&amp;sheet=A0&amp;row=1077&amp;col=7&amp;number=0&amp;sourceID=14","0")</f>
        <v>0</v>
      </c>
    </row>
    <row r="1078" spans="1:7">
      <c r="A1078" s="3">
        <v>12</v>
      </c>
      <c r="B1078" s="3">
        <v>4</v>
      </c>
      <c r="C1078" s="3">
        <v>63</v>
      </c>
      <c r="D1078" s="3">
        <v>13</v>
      </c>
      <c r="E1078" s="3">
        <v>-162.113</v>
      </c>
      <c r="F1078" s="4" t="str">
        <f>HYPERLINK("http://141.218.60.56/~jnz1568/getInfo.php?workbook=12_04.xlsx&amp;sheet=A0&amp;row=1078&amp;col=6&amp;number=23&amp;sourceID=14","23")</f>
        <v>23</v>
      </c>
      <c r="G1078" s="4" t="str">
        <f>HYPERLINK("http://141.218.60.56/~jnz1568/getInfo.php?workbook=12_04.xlsx&amp;sheet=A0&amp;row=1078&amp;col=7&amp;number=0&amp;sourceID=14","0")</f>
        <v>0</v>
      </c>
    </row>
    <row r="1079" spans="1:7">
      <c r="A1079" s="3">
        <v>12</v>
      </c>
      <c r="B1079" s="3">
        <v>4</v>
      </c>
      <c r="C1079" s="3">
        <v>64</v>
      </c>
      <c r="D1079" s="3">
        <v>13</v>
      </c>
      <c r="E1079" s="3">
        <v>-160.49</v>
      </c>
      <c r="F1079" s="4" t="str">
        <f>HYPERLINK("http://141.218.60.56/~jnz1568/getInfo.php?workbook=12_04.xlsx&amp;sheet=A0&amp;row=1079&amp;col=6&amp;number=188&amp;sourceID=14","188")</f>
        <v>188</v>
      </c>
      <c r="G1079" s="4" t="str">
        <f>HYPERLINK("http://141.218.60.56/~jnz1568/getInfo.php?workbook=12_04.xlsx&amp;sheet=A0&amp;row=1079&amp;col=7&amp;number=0&amp;sourceID=14","0")</f>
        <v>0</v>
      </c>
    </row>
    <row r="1080" spans="1:7">
      <c r="A1080" s="3">
        <v>12</v>
      </c>
      <c r="B1080" s="3">
        <v>4</v>
      </c>
      <c r="C1080" s="3">
        <v>65</v>
      </c>
      <c r="D1080" s="3">
        <v>13</v>
      </c>
      <c r="E1080" s="3">
        <v>-158.574</v>
      </c>
      <c r="F1080" s="4" t="str">
        <f>HYPERLINK("http://141.218.60.56/~jnz1568/getInfo.php?workbook=12_04.xlsx&amp;sheet=A0&amp;row=1080&amp;col=6&amp;number=367000000&amp;sourceID=14","367000000")</f>
        <v>367000000</v>
      </c>
      <c r="G1080" s="4" t="str">
        <f>HYPERLINK("http://141.218.60.56/~jnz1568/getInfo.php?workbook=12_04.xlsx&amp;sheet=A0&amp;row=1080&amp;col=7&amp;number=0&amp;sourceID=14","0")</f>
        <v>0</v>
      </c>
    </row>
    <row r="1081" spans="1:7">
      <c r="A1081" s="3">
        <v>12</v>
      </c>
      <c r="B1081" s="3">
        <v>4</v>
      </c>
      <c r="C1081" s="3">
        <v>66</v>
      </c>
      <c r="D1081" s="3">
        <v>13</v>
      </c>
      <c r="E1081" s="3">
        <v>-157.935</v>
      </c>
      <c r="F1081" s="4" t="str">
        <f>HYPERLINK("http://141.218.60.56/~jnz1568/getInfo.php?workbook=12_04.xlsx&amp;sheet=A0&amp;row=1081&amp;col=6&amp;number=146000000&amp;sourceID=14","146000000")</f>
        <v>146000000</v>
      </c>
      <c r="G1081" s="4" t="str">
        <f>HYPERLINK("http://141.218.60.56/~jnz1568/getInfo.php?workbook=12_04.xlsx&amp;sheet=A0&amp;row=1081&amp;col=7&amp;number=0&amp;sourceID=14","0")</f>
        <v>0</v>
      </c>
    </row>
    <row r="1082" spans="1:7">
      <c r="A1082" s="3">
        <v>12</v>
      </c>
      <c r="B1082" s="3">
        <v>4</v>
      </c>
      <c r="C1082" s="3">
        <v>67</v>
      </c>
      <c r="D1082" s="3">
        <v>13</v>
      </c>
      <c r="E1082" s="3">
        <v>-157.823</v>
      </c>
      <c r="F1082" s="4" t="str">
        <f>HYPERLINK("http://141.218.60.56/~jnz1568/getInfo.php?workbook=12_04.xlsx&amp;sheet=A0&amp;row=1082&amp;col=6&amp;number=7550000&amp;sourceID=14","7550000")</f>
        <v>7550000</v>
      </c>
      <c r="G1082" s="4" t="str">
        <f>HYPERLINK("http://141.218.60.56/~jnz1568/getInfo.php?workbook=12_04.xlsx&amp;sheet=A0&amp;row=1082&amp;col=7&amp;number=0&amp;sourceID=14","0")</f>
        <v>0</v>
      </c>
    </row>
    <row r="1083" spans="1:7">
      <c r="A1083" s="3">
        <v>12</v>
      </c>
      <c r="B1083" s="3">
        <v>4</v>
      </c>
      <c r="C1083" s="3">
        <v>68</v>
      </c>
      <c r="D1083" s="3">
        <v>13</v>
      </c>
      <c r="E1083" s="3">
        <v>157.201</v>
      </c>
      <c r="F1083" s="4" t="str">
        <f>HYPERLINK("http://141.218.60.56/~jnz1568/getInfo.php?workbook=12_04.xlsx&amp;sheet=A0&amp;row=1083&amp;col=6&amp;number=0.779&amp;sourceID=14","0.779")</f>
        <v>0.779</v>
      </c>
      <c r="G1083" s="4" t="str">
        <f>HYPERLINK("http://141.218.60.56/~jnz1568/getInfo.php?workbook=12_04.xlsx&amp;sheet=A0&amp;row=1083&amp;col=7&amp;number=0&amp;sourceID=14","0")</f>
        <v>0</v>
      </c>
    </row>
    <row r="1084" spans="1:7">
      <c r="A1084" s="3">
        <v>12</v>
      </c>
      <c r="B1084" s="3">
        <v>4</v>
      </c>
      <c r="C1084" s="3">
        <v>69</v>
      </c>
      <c r="D1084" s="3">
        <v>13</v>
      </c>
      <c r="E1084" s="3">
        <v>-156.505</v>
      </c>
      <c r="F1084" s="4" t="str">
        <f>HYPERLINK("http://141.218.60.56/~jnz1568/getInfo.php?workbook=12_04.xlsx&amp;sheet=A0&amp;row=1084&amp;col=6&amp;number=35500000&amp;sourceID=14","35500000")</f>
        <v>35500000</v>
      </c>
      <c r="G1084" s="4" t="str">
        <f>HYPERLINK("http://141.218.60.56/~jnz1568/getInfo.php?workbook=12_04.xlsx&amp;sheet=A0&amp;row=1084&amp;col=7&amp;number=0&amp;sourceID=14","0")</f>
        <v>0</v>
      </c>
    </row>
    <row r="1085" spans="1:7">
      <c r="A1085" s="3">
        <v>12</v>
      </c>
      <c r="B1085" s="3">
        <v>4</v>
      </c>
      <c r="C1085" s="3">
        <v>70</v>
      </c>
      <c r="D1085" s="3">
        <v>13</v>
      </c>
      <c r="E1085" s="3">
        <v>-156.35</v>
      </c>
      <c r="F1085" s="4" t="str">
        <f>HYPERLINK("http://141.218.60.56/~jnz1568/getInfo.php?workbook=12_04.xlsx&amp;sheet=A0&amp;row=1085&amp;col=6&amp;number=19100000&amp;sourceID=14","19100000")</f>
        <v>19100000</v>
      </c>
      <c r="G1085" s="4" t="str">
        <f>HYPERLINK("http://141.218.60.56/~jnz1568/getInfo.php?workbook=12_04.xlsx&amp;sheet=A0&amp;row=1085&amp;col=7&amp;number=0&amp;sourceID=14","0")</f>
        <v>0</v>
      </c>
    </row>
    <row r="1086" spans="1:7">
      <c r="A1086" s="3">
        <v>12</v>
      </c>
      <c r="B1086" s="3">
        <v>4</v>
      </c>
      <c r="C1086" s="3">
        <v>71</v>
      </c>
      <c r="D1086" s="3">
        <v>13</v>
      </c>
      <c r="E1086" s="3">
        <v>-155.879</v>
      </c>
      <c r="F1086" s="4" t="str">
        <f>HYPERLINK("http://141.218.60.56/~jnz1568/getInfo.php?workbook=12_04.xlsx&amp;sheet=A0&amp;row=1086&amp;col=6&amp;number=606000&amp;sourceID=14","606000")</f>
        <v>606000</v>
      </c>
      <c r="G1086" s="4" t="str">
        <f>HYPERLINK("http://141.218.60.56/~jnz1568/getInfo.php?workbook=12_04.xlsx&amp;sheet=A0&amp;row=1086&amp;col=7&amp;number=0&amp;sourceID=14","0")</f>
        <v>0</v>
      </c>
    </row>
    <row r="1087" spans="1:7">
      <c r="A1087" s="3">
        <v>12</v>
      </c>
      <c r="B1087" s="3">
        <v>4</v>
      </c>
      <c r="C1087" s="3">
        <v>72</v>
      </c>
      <c r="D1087" s="3">
        <v>13</v>
      </c>
      <c r="E1087" s="3">
        <v>155.824</v>
      </c>
      <c r="F1087" s="4" t="str">
        <f>HYPERLINK("http://141.218.60.56/~jnz1568/getInfo.php?workbook=12_04.xlsx&amp;sheet=A0&amp;row=1087&amp;col=6&amp;number=12000000&amp;sourceID=14","12000000")</f>
        <v>12000000</v>
      </c>
      <c r="G1087" s="4" t="str">
        <f>HYPERLINK("http://141.218.60.56/~jnz1568/getInfo.php?workbook=12_04.xlsx&amp;sheet=A0&amp;row=1087&amp;col=7&amp;number=0&amp;sourceID=14","0")</f>
        <v>0</v>
      </c>
    </row>
    <row r="1088" spans="1:7">
      <c r="A1088" s="3">
        <v>12</v>
      </c>
      <c r="B1088" s="3">
        <v>4</v>
      </c>
      <c r="C1088" s="3">
        <v>73</v>
      </c>
      <c r="D1088" s="3">
        <v>13</v>
      </c>
      <c r="E1088" s="3">
        <v>-155.033</v>
      </c>
      <c r="F1088" s="4" t="str">
        <f>HYPERLINK("http://141.218.60.56/~jnz1568/getInfo.php?workbook=12_04.xlsx&amp;sheet=A0&amp;row=1088&amp;col=6&amp;number=56200&amp;sourceID=14","56200")</f>
        <v>56200</v>
      </c>
      <c r="G1088" s="4" t="str">
        <f>HYPERLINK("http://141.218.60.56/~jnz1568/getInfo.php?workbook=12_04.xlsx&amp;sheet=A0&amp;row=1088&amp;col=7&amp;number=0&amp;sourceID=14","0")</f>
        <v>0</v>
      </c>
    </row>
    <row r="1089" spans="1:7">
      <c r="A1089" s="3">
        <v>12</v>
      </c>
      <c r="B1089" s="3">
        <v>4</v>
      </c>
      <c r="C1089" s="3">
        <v>74</v>
      </c>
      <c r="D1089" s="3">
        <v>13</v>
      </c>
      <c r="E1089" s="3">
        <v>-154.575</v>
      </c>
      <c r="F1089" s="4" t="str">
        <f>HYPERLINK("http://141.218.60.56/~jnz1568/getInfo.php?workbook=12_04.xlsx&amp;sheet=A0&amp;row=1089&amp;col=6&amp;number=2110&amp;sourceID=14","2110")</f>
        <v>2110</v>
      </c>
      <c r="G1089" s="4" t="str">
        <f>HYPERLINK("http://141.218.60.56/~jnz1568/getInfo.php?workbook=12_04.xlsx&amp;sheet=A0&amp;row=1089&amp;col=7&amp;number=0&amp;sourceID=14","0")</f>
        <v>0</v>
      </c>
    </row>
    <row r="1090" spans="1:7">
      <c r="A1090" s="3">
        <v>12</v>
      </c>
      <c r="B1090" s="3">
        <v>4</v>
      </c>
      <c r="C1090" s="3">
        <v>75</v>
      </c>
      <c r="D1090" s="3">
        <v>13</v>
      </c>
      <c r="E1090" s="3">
        <v>154.414</v>
      </c>
      <c r="F1090" s="4" t="str">
        <f>HYPERLINK("http://141.218.60.56/~jnz1568/getInfo.php?workbook=12_04.xlsx&amp;sheet=A0&amp;row=1090&amp;col=6&amp;number=138000&amp;sourceID=14","138000")</f>
        <v>138000</v>
      </c>
      <c r="G1090" s="4" t="str">
        <f>HYPERLINK("http://141.218.60.56/~jnz1568/getInfo.php?workbook=12_04.xlsx&amp;sheet=A0&amp;row=1090&amp;col=7&amp;number=0&amp;sourceID=14","0")</f>
        <v>0</v>
      </c>
    </row>
    <row r="1091" spans="1:7">
      <c r="A1091" s="3">
        <v>12</v>
      </c>
      <c r="B1091" s="3">
        <v>4</v>
      </c>
      <c r="C1091" s="3">
        <v>76</v>
      </c>
      <c r="D1091" s="3">
        <v>13</v>
      </c>
      <c r="E1091" s="3">
        <v>154.445</v>
      </c>
      <c r="F1091" s="4" t="str">
        <f>HYPERLINK("http://141.218.60.56/~jnz1568/getInfo.php?workbook=12_04.xlsx&amp;sheet=A0&amp;row=1091&amp;col=6&amp;number=699000000&amp;sourceID=14","699000000")</f>
        <v>699000000</v>
      </c>
      <c r="G1091" s="4" t="str">
        <f>HYPERLINK("http://141.218.60.56/~jnz1568/getInfo.php?workbook=12_04.xlsx&amp;sheet=A0&amp;row=1091&amp;col=7&amp;number=0&amp;sourceID=14","0")</f>
        <v>0</v>
      </c>
    </row>
    <row r="1092" spans="1:7">
      <c r="A1092" s="3">
        <v>12</v>
      </c>
      <c r="B1092" s="3">
        <v>4</v>
      </c>
      <c r="C1092" s="3">
        <v>77</v>
      </c>
      <c r="D1092" s="3">
        <v>13</v>
      </c>
      <c r="E1092" s="3">
        <v>-154.057</v>
      </c>
      <c r="F1092" s="4" t="str">
        <f>HYPERLINK("http://141.218.60.56/~jnz1568/getInfo.php?workbook=12_04.xlsx&amp;sheet=A0&amp;row=1092&amp;col=6&amp;number=0.000705&amp;sourceID=14","0.000705")</f>
        <v>0.000705</v>
      </c>
      <c r="G1092" s="4" t="str">
        <f>HYPERLINK("http://141.218.60.56/~jnz1568/getInfo.php?workbook=12_04.xlsx&amp;sheet=A0&amp;row=1092&amp;col=7&amp;number=0&amp;sourceID=14","0")</f>
        <v>0</v>
      </c>
    </row>
    <row r="1093" spans="1:7">
      <c r="A1093" s="3">
        <v>12</v>
      </c>
      <c r="B1093" s="3">
        <v>4</v>
      </c>
      <c r="C1093" s="3">
        <v>78</v>
      </c>
      <c r="D1093" s="3">
        <v>13</v>
      </c>
      <c r="E1093" s="3">
        <v>-153.347</v>
      </c>
      <c r="F1093" s="4" t="str">
        <f>HYPERLINK("http://141.218.60.56/~jnz1568/getInfo.php?workbook=12_04.xlsx&amp;sheet=A0&amp;row=1093&amp;col=6&amp;number=4710&amp;sourceID=14","4710")</f>
        <v>4710</v>
      </c>
      <c r="G1093" s="4" t="str">
        <f>HYPERLINK("http://141.218.60.56/~jnz1568/getInfo.php?workbook=12_04.xlsx&amp;sheet=A0&amp;row=1093&amp;col=7&amp;number=0&amp;sourceID=14","0")</f>
        <v>0</v>
      </c>
    </row>
    <row r="1094" spans="1:7">
      <c r="A1094" s="3">
        <v>12</v>
      </c>
      <c r="B1094" s="3">
        <v>4</v>
      </c>
      <c r="C1094" s="3">
        <v>79</v>
      </c>
      <c r="D1094" s="3">
        <v>13</v>
      </c>
      <c r="E1094" s="3">
        <v>-153.202</v>
      </c>
      <c r="F1094" s="4" t="str">
        <f>HYPERLINK("http://141.218.60.56/~jnz1568/getInfo.php?workbook=12_04.xlsx&amp;sheet=A0&amp;row=1094&amp;col=6&amp;number=10400&amp;sourceID=14","10400")</f>
        <v>10400</v>
      </c>
      <c r="G1094" s="4" t="str">
        <f>HYPERLINK("http://141.218.60.56/~jnz1568/getInfo.php?workbook=12_04.xlsx&amp;sheet=A0&amp;row=1094&amp;col=7&amp;number=0&amp;sourceID=14","0")</f>
        <v>0</v>
      </c>
    </row>
    <row r="1095" spans="1:7">
      <c r="A1095" s="3">
        <v>12</v>
      </c>
      <c r="B1095" s="3">
        <v>4</v>
      </c>
      <c r="C1095" s="3">
        <v>80</v>
      </c>
      <c r="D1095" s="3">
        <v>13</v>
      </c>
      <c r="E1095" s="3">
        <v>-152.911</v>
      </c>
      <c r="F1095" s="4" t="str">
        <f>HYPERLINK("http://141.218.60.56/~jnz1568/getInfo.php?workbook=12_04.xlsx&amp;sheet=A0&amp;row=1095&amp;col=6&amp;number=13.5&amp;sourceID=14","13.5")</f>
        <v>13.5</v>
      </c>
      <c r="G1095" s="4" t="str">
        <f>HYPERLINK("http://141.218.60.56/~jnz1568/getInfo.php?workbook=12_04.xlsx&amp;sheet=A0&amp;row=1095&amp;col=7&amp;number=0&amp;sourceID=14","0")</f>
        <v>0</v>
      </c>
    </row>
    <row r="1096" spans="1:7">
      <c r="A1096" s="3">
        <v>12</v>
      </c>
      <c r="B1096" s="3">
        <v>4</v>
      </c>
      <c r="C1096" s="3">
        <v>81</v>
      </c>
      <c r="D1096" s="3">
        <v>13</v>
      </c>
      <c r="E1096" s="3">
        <v>152.754</v>
      </c>
      <c r="F1096" s="4" t="str">
        <f>HYPERLINK("http://141.218.60.56/~jnz1568/getInfo.php?workbook=12_04.xlsx&amp;sheet=A0&amp;row=1096&amp;col=6&amp;number=2170&amp;sourceID=14","2170")</f>
        <v>2170</v>
      </c>
      <c r="G1096" s="4" t="str">
        <f>HYPERLINK("http://141.218.60.56/~jnz1568/getInfo.php?workbook=12_04.xlsx&amp;sheet=A0&amp;row=1096&amp;col=7&amp;number=0&amp;sourceID=14","0")</f>
        <v>0</v>
      </c>
    </row>
    <row r="1097" spans="1:7">
      <c r="A1097" s="3">
        <v>12</v>
      </c>
      <c r="B1097" s="3">
        <v>4</v>
      </c>
      <c r="C1097" s="3">
        <v>82</v>
      </c>
      <c r="D1097" s="3">
        <v>13</v>
      </c>
      <c r="E1097" s="3">
        <v>-152.827</v>
      </c>
      <c r="F1097" s="4" t="str">
        <f>HYPERLINK("http://141.218.60.56/~jnz1568/getInfo.php?workbook=12_04.xlsx&amp;sheet=A0&amp;row=1097&amp;col=6&amp;number=21100000&amp;sourceID=14","21100000")</f>
        <v>21100000</v>
      </c>
      <c r="G1097" s="4" t="str">
        <f>HYPERLINK("http://141.218.60.56/~jnz1568/getInfo.php?workbook=12_04.xlsx&amp;sheet=A0&amp;row=1097&amp;col=7&amp;number=0&amp;sourceID=14","0")</f>
        <v>0</v>
      </c>
    </row>
    <row r="1098" spans="1:7">
      <c r="A1098" s="3">
        <v>12</v>
      </c>
      <c r="B1098" s="3">
        <v>4</v>
      </c>
      <c r="C1098" s="3">
        <v>83</v>
      </c>
      <c r="D1098" s="3">
        <v>13</v>
      </c>
      <c r="E1098" s="3">
        <v>-152.826</v>
      </c>
      <c r="F1098" s="4" t="str">
        <f>HYPERLINK("http://141.218.60.56/~jnz1568/getInfo.php?workbook=12_04.xlsx&amp;sheet=A0&amp;row=1098&amp;col=6&amp;number=0.487&amp;sourceID=14","0.487")</f>
        <v>0.487</v>
      </c>
      <c r="G1098" s="4" t="str">
        <f>HYPERLINK("http://141.218.60.56/~jnz1568/getInfo.php?workbook=12_04.xlsx&amp;sheet=A0&amp;row=1098&amp;col=7&amp;number=0&amp;sourceID=14","0")</f>
        <v>0</v>
      </c>
    </row>
    <row r="1099" spans="1:7">
      <c r="A1099" s="3">
        <v>12</v>
      </c>
      <c r="B1099" s="3">
        <v>4</v>
      </c>
      <c r="C1099" s="3">
        <v>84</v>
      </c>
      <c r="D1099" s="3">
        <v>13</v>
      </c>
      <c r="E1099" s="3">
        <v>-152.75</v>
      </c>
      <c r="F1099" s="4" t="str">
        <f>HYPERLINK("http://141.218.60.56/~jnz1568/getInfo.php?workbook=12_04.xlsx&amp;sheet=A0&amp;row=1099&amp;col=6&amp;number=2.5&amp;sourceID=14","2.5")</f>
        <v>2.5</v>
      </c>
      <c r="G1099" s="4" t="str">
        <f>HYPERLINK("http://141.218.60.56/~jnz1568/getInfo.php?workbook=12_04.xlsx&amp;sheet=A0&amp;row=1099&amp;col=7&amp;number=0&amp;sourceID=14","0")</f>
        <v>0</v>
      </c>
    </row>
    <row r="1100" spans="1:7">
      <c r="A1100" s="3">
        <v>12</v>
      </c>
      <c r="B1100" s="3">
        <v>4</v>
      </c>
      <c r="C1100" s="3">
        <v>85</v>
      </c>
      <c r="D1100" s="3">
        <v>13</v>
      </c>
      <c r="E1100" s="3">
        <v>152.474</v>
      </c>
      <c r="F1100" s="4" t="str">
        <f>HYPERLINK("http://141.218.60.56/~jnz1568/getInfo.php?workbook=12_04.xlsx&amp;sheet=A0&amp;row=1100&amp;col=6&amp;number=3270&amp;sourceID=14","3270")</f>
        <v>3270</v>
      </c>
      <c r="G1100" s="4" t="str">
        <f>HYPERLINK("http://141.218.60.56/~jnz1568/getInfo.php?workbook=12_04.xlsx&amp;sheet=A0&amp;row=1100&amp;col=7&amp;number=0&amp;sourceID=14","0")</f>
        <v>0</v>
      </c>
    </row>
    <row r="1101" spans="1:7">
      <c r="A1101" s="3">
        <v>12</v>
      </c>
      <c r="B1101" s="3">
        <v>4</v>
      </c>
      <c r="C1101" s="3">
        <v>86</v>
      </c>
      <c r="D1101" s="3">
        <v>13</v>
      </c>
      <c r="E1101" s="3">
        <v>152.353</v>
      </c>
      <c r="F1101" s="4" t="str">
        <f>HYPERLINK("http://141.218.60.56/~jnz1568/getInfo.php?workbook=12_04.xlsx&amp;sheet=A0&amp;row=1101&amp;col=6&amp;number=274&amp;sourceID=14","274")</f>
        <v>274</v>
      </c>
      <c r="G1101" s="4" t="str">
        <f>HYPERLINK("http://141.218.60.56/~jnz1568/getInfo.php?workbook=12_04.xlsx&amp;sheet=A0&amp;row=1101&amp;col=7&amp;number=0&amp;sourceID=14","0")</f>
        <v>0</v>
      </c>
    </row>
    <row r="1102" spans="1:7">
      <c r="A1102" s="3">
        <v>12</v>
      </c>
      <c r="B1102" s="3">
        <v>4</v>
      </c>
      <c r="C1102" s="3">
        <v>87</v>
      </c>
      <c r="D1102" s="3">
        <v>13</v>
      </c>
      <c r="E1102" s="3">
        <v>-152.185</v>
      </c>
      <c r="F1102" s="4" t="str">
        <f>HYPERLINK("http://141.218.60.56/~jnz1568/getInfo.php?workbook=12_04.xlsx&amp;sheet=A0&amp;row=1102&amp;col=6&amp;number=0.00573&amp;sourceID=14","0.00573")</f>
        <v>0.00573</v>
      </c>
      <c r="G1102" s="4" t="str">
        <f>HYPERLINK("http://141.218.60.56/~jnz1568/getInfo.php?workbook=12_04.xlsx&amp;sheet=A0&amp;row=1102&amp;col=7&amp;number=0&amp;sourceID=14","0")</f>
        <v>0</v>
      </c>
    </row>
    <row r="1103" spans="1:7">
      <c r="A1103" s="3">
        <v>12</v>
      </c>
      <c r="B1103" s="3">
        <v>4</v>
      </c>
      <c r="C1103" s="3">
        <v>88</v>
      </c>
      <c r="D1103" s="3">
        <v>13</v>
      </c>
      <c r="E1103" s="3">
        <v>-152.004</v>
      </c>
      <c r="F1103" s="4" t="str">
        <f>HYPERLINK("http://141.218.60.56/~jnz1568/getInfo.php?workbook=12_04.xlsx&amp;sheet=A0&amp;row=1103&amp;col=6&amp;number=3.91&amp;sourceID=14","3.91")</f>
        <v>3.91</v>
      </c>
      <c r="G1103" s="4" t="str">
        <f>HYPERLINK("http://141.218.60.56/~jnz1568/getInfo.php?workbook=12_04.xlsx&amp;sheet=A0&amp;row=1103&amp;col=7&amp;number=0&amp;sourceID=14","0")</f>
        <v>0</v>
      </c>
    </row>
    <row r="1104" spans="1:7">
      <c r="A1104" s="3">
        <v>12</v>
      </c>
      <c r="B1104" s="3">
        <v>4</v>
      </c>
      <c r="C1104" s="3">
        <v>89</v>
      </c>
      <c r="D1104" s="3">
        <v>13</v>
      </c>
      <c r="E1104" s="3">
        <v>-151.897</v>
      </c>
      <c r="F1104" s="4" t="str">
        <f>HYPERLINK("http://141.218.60.56/~jnz1568/getInfo.php?workbook=12_04.xlsx&amp;sheet=A0&amp;row=1104&amp;col=6&amp;number=2.18&amp;sourceID=14","2.18")</f>
        <v>2.18</v>
      </c>
      <c r="G1104" s="4" t="str">
        <f>HYPERLINK("http://141.218.60.56/~jnz1568/getInfo.php?workbook=12_04.xlsx&amp;sheet=A0&amp;row=1104&amp;col=7&amp;number=0&amp;sourceID=14","0")</f>
        <v>0</v>
      </c>
    </row>
    <row r="1105" spans="1:7">
      <c r="A1105" s="3">
        <v>12</v>
      </c>
      <c r="B1105" s="3">
        <v>4</v>
      </c>
      <c r="C1105" s="3">
        <v>90</v>
      </c>
      <c r="D1105" s="3">
        <v>13</v>
      </c>
      <c r="E1105" s="3">
        <v>-151.58</v>
      </c>
      <c r="F1105" s="4" t="str">
        <f>HYPERLINK("http://141.218.60.56/~jnz1568/getInfo.php?workbook=12_04.xlsx&amp;sheet=A0&amp;row=1105&amp;col=6&amp;number=1.1e-07&amp;sourceID=14","1.1e-07")</f>
        <v>1.1e-07</v>
      </c>
      <c r="G1105" s="4" t="str">
        <f>HYPERLINK("http://141.218.60.56/~jnz1568/getInfo.php?workbook=12_04.xlsx&amp;sheet=A0&amp;row=1105&amp;col=7&amp;number=0&amp;sourceID=14","0")</f>
        <v>0</v>
      </c>
    </row>
    <row r="1106" spans="1:7">
      <c r="A1106" s="3">
        <v>12</v>
      </c>
      <c r="B1106" s="3">
        <v>4</v>
      </c>
      <c r="C1106" s="3">
        <v>91</v>
      </c>
      <c r="D1106" s="3">
        <v>13</v>
      </c>
      <c r="E1106" s="3">
        <v>-151.301</v>
      </c>
      <c r="F1106" s="4" t="str">
        <f>HYPERLINK("http://141.218.60.56/~jnz1568/getInfo.php?workbook=12_04.xlsx&amp;sheet=A0&amp;row=1106&amp;col=6&amp;number=3.15&amp;sourceID=14","3.15")</f>
        <v>3.15</v>
      </c>
      <c r="G1106" s="4" t="str">
        <f>HYPERLINK("http://141.218.60.56/~jnz1568/getInfo.php?workbook=12_04.xlsx&amp;sheet=A0&amp;row=1106&amp;col=7&amp;number=0&amp;sourceID=14","0")</f>
        <v>0</v>
      </c>
    </row>
    <row r="1107" spans="1:7">
      <c r="A1107" s="3">
        <v>12</v>
      </c>
      <c r="B1107" s="3">
        <v>4</v>
      </c>
      <c r="C1107" s="3">
        <v>92</v>
      </c>
      <c r="D1107" s="3">
        <v>13</v>
      </c>
      <c r="E1107" s="3">
        <v>-151.235</v>
      </c>
      <c r="F1107" s="4" t="str">
        <f>HYPERLINK("http://141.218.60.56/~jnz1568/getInfo.php?workbook=12_04.xlsx&amp;sheet=A0&amp;row=1107&amp;col=6&amp;number=31.4&amp;sourceID=14","31.4")</f>
        <v>31.4</v>
      </c>
      <c r="G1107" s="4" t="str">
        <f>HYPERLINK("http://141.218.60.56/~jnz1568/getInfo.php?workbook=12_04.xlsx&amp;sheet=A0&amp;row=1107&amp;col=7&amp;number=0&amp;sourceID=14","0")</f>
        <v>0</v>
      </c>
    </row>
    <row r="1108" spans="1:7">
      <c r="A1108" s="3">
        <v>12</v>
      </c>
      <c r="B1108" s="3">
        <v>4</v>
      </c>
      <c r="C1108" s="3">
        <v>93</v>
      </c>
      <c r="D1108" s="3">
        <v>13</v>
      </c>
      <c r="E1108" s="3">
        <v>-151.175</v>
      </c>
      <c r="F1108" s="4" t="str">
        <f>HYPERLINK("http://141.218.60.56/~jnz1568/getInfo.php?workbook=12_04.xlsx&amp;sheet=A0&amp;row=1108&amp;col=6&amp;number=168000000&amp;sourceID=14","168000000")</f>
        <v>168000000</v>
      </c>
      <c r="G1108" s="4" t="str">
        <f>HYPERLINK("http://141.218.60.56/~jnz1568/getInfo.php?workbook=12_04.xlsx&amp;sheet=A0&amp;row=1108&amp;col=7&amp;number=0&amp;sourceID=14","0")</f>
        <v>0</v>
      </c>
    </row>
    <row r="1109" spans="1:7">
      <c r="A1109" s="3">
        <v>12</v>
      </c>
      <c r="B1109" s="3">
        <v>4</v>
      </c>
      <c r="C1109" s="3">
        <v>94</v>
      </c>
      <c r="D1109" s="3">
        <v>13</v>
      </c>
      <c r="E1109" s="3">
        <v>-150.954</v>
      </c>
      <c r="F1109" s="4" t="str">
        <f>HYPERLINK("http://141.218.60.56/~jnz1568/getInfo.php?workbook=12_04.xlsx&amp;sheet=A0&amp;row=1109&amp;col=6&amp;number=9470000&amp;sourceID=14","9470000")</f>
        <v>9470000</v>
      </c>
      <c r="G1109" s="4" t="str">
        <f>HYPERLINK("http://141.218.60.56/~jnz1568/getInfo.php?workbook=12_04.xlsx&amp;sheet=A0&amp;row=1109&amp;col=7&amp;number=0&amp;sourceID=14","0")</f>
        <v>0</v>
      </c>
    </row>
    <row r="1110" spans="1:7">
      <c r="A1110" s="3">
        <v>12</v>
      </c>
      <c r="B1110" s="3">
        <v>4</v>
      </c>
      <c r="C1110" s="3">
        <v>95</v>
      </c>
      <c r="D1110" s="3">
        <v>13</v>
      </c>
      <c r="E1110" s="3">
        <v>-150.81</v>
      </c>
      <c r="F1110" s="4" t="str">
        <f>HYPERLINK("http://141.218.60.56/~jnz1568/getInfo.php?workbook=12_04.xlsx&amp;sheet=A0&amp;row=1110&amp;col=6&amp;number=1890000000&amp;sourceID=14","1890000000")</f>
        <v>1890000000</v>
      </c>
      <c r="G1110" s="4" t="str">
        <f>HYPERLINK("http://141.218.60.56/~jnz1568/getInfo.php?workbook=12_04.xlsx&amp;sheet=A0&amp;row=1110&amp;col=7&amp;number=0&amp;sourceID=14","0")</f>
        <v>0</v>
      </c>
    </row>
    <row r="1111" spans="1:7">
      <c r="A1111" s="3">
        <v>12</v>
      </c>
      <c r="B1111" s="3">
        <v>4</v>
      </c>
      <c r="C1111" s="3">
        <v>96</v>
      </c>
      <c r="D1111" s="3">
        <v>13</v>
      </c>
      <c r="E1111" s="3">
        <v>-150.677</v>
      </c>
      <c r="F1111" s="4" t="str">
        <f>HYPERLINK("http://141.218.60.56/~jnz1568/getInfo.php?workbook=12_04.xlsx&amp;sheet=A0&amp;row=1111&amp;col=6&amp;number=430000000&amp;sourceID=14","430000000")</f>
        <v>430000000</v>
      </c>
      <c r="G1111" s="4" t="str">
        <f>HYPERLINK("http://141.218.60.56/~jnz1568/getInfo.php?workbook=12_04.xlsx&amp;sheet=A0&amp;row=1111&amp;col=7&amp;number=0&amp;sourceID=14","0")</f>
        <v>0</v>
      </c>
    </row>
    <row r="1112" spans="1:7">
      <c r="A1112" s="3">
        <v>12</v>
      </c>
      <c r="B1112" s="3">
        <v>4</v>
      </c>
      <c r="C1112" s="3">
        <v>97</v>
      </c>
      <c r="D1112" s="3">
        <v>13</v>
      </c>
      <c r="E1112" s="3">
        <v>150.837</v>
      </c>
      <c r="F1112" s="4" t="str">
        <f>HYPERLINK("http://141.218.60.56/~jnz1568/getInfo.php?workbook=12_04.xlsx&amp;sheet=A0&amp;row=1112&amp;col=6&amp;number=422000&amp;sourceID=14","422000")</f>
        <v>422000</v>
      </c>
      <c r="G1112" s="4" t="str">
        <f>HYPERLINK("http://141.218.60.56/~jnz1568/getInfo.php?workbook=12_04.xlsx&amp;sheet=A0&amp;row=1112&amp;col=7&amp;number=0&amp;sourceID=14","0")</f>
        <v>0</v>
      </c>
    </row>
    <row r="1113" spans="1:7">
      <c r="A1113" s="3">
        <v>12</v>
      </c>
      <c r="B1113" s="3">
        <v>4</v>
      </c>
      <c r="C1113" s="3">
        <v>98</v>
      </c>
      <c r="D1113" s="3">
        <v>13</v>
      </c>
      <c r="E1113" s="3">
        <v>150.442</v>
      </c>
      <c r="F1113" s="4" t="str">
        <f>HYPERLINK("http://141.218.60.56/~jnz1568/getInfo.php?workbook=12_04.xlsx&amp;sheet=A0&amp;row=1113&amp;col=6&amp;number=329000&amp;sourceID=14","329000")</f>
        <v>329000</v>
      </c>
      <c r="G1113" s="4" t="str">
        <f>HYPERLINK("http://141.218.60.56/~jnz1568/getInfo.php?workbook=12_04.xlsx&amp;sheet=A0&amp;row=1113&amp;col=7&amp;number=0&amp;sourceID=14","0")</f>
        <v>0</v>
      </c>
    </row>
    <row r="1114" spans="1:7">
      <c r="A1114" s="3">
        <v>12</v>
      </c>
      <c r="B1114" s="3">
        <v>4</v>
      </c>
      <c r="C1114" s="3">
        <v>17</v>
      </c>
      <c r="D1114" s="3">
        <v>14</v>
      </c>
      <c r="E1114" s="3">
        <v>2981.52</v>
      </c>
      <c r="F1114" s="4" t="str">
        <f>HYPERLINK("http://141.218.60.56/~jnz1568/getInfo.php?workbook=12_04.xlsx&amp;sheet=A0&amp;row=1114&amp;col=6&amp;number=17100000&amp;sourceID=14","17100000")</f>
        <v>17100000</v>
      </c>
      <c r="G1114" s="4" t="str">
        <f>HYPERLINK("http://141.218.60.56/~jnz1568/getInfo.php?workbook=12_04.xlsx&amp;sheet=A0&amp;row=1114&amp;col=7&amp;number=0&amp;sourceID=14","0")</f>
        <v>0</v>
      </c>
    </row>
    <row r="1115" spans="1:7">
      <c r="A1115" s="3">
        <v>12</v>
      </c>
      <c r="B1115" s="3">
        <v>4</v>
      </c>
      <c r="C1115" s="3">
        <v>18</v>
      </c>
      <c r="D1115" s="3">
        <v>14</v>
      </c>
      <c r="E1115" s="3">
        <v>2970.008</v>
      </c>
      <c r="F1115" s="4" t="str">
        <f>HYPERLINK("http://141.218.60.56/~jnz1568/getInfo.php?workbook=12_04.xlsx&amp;sheet=A0&amp;row=1115&amp;col=6&amp;number=5.82e-06&amp;sourceID=14","5.82e-06")</f>
        <v>5.82e-06</v>
      </c>
      <c r="G1115" s="4" t="str">
        <f>HYPERLINK("http://141.218.60.56/~jnz1568/getInfo.php?workbook=12_04.xlsx&amp;sheet=A0&amp;row=1115&amp;col=7&amp;number=0&amp;sourceID=14","0")</f>
        <v>0</v>
      </c>
    </row>
    <row r="1116" spans="1:7">
      <c r="A1116" s="3">
        <v>12</v>
      </c>
      <c r="B1116" s="3">
        <v>4</v>
      </c>
      <c r="C1116" s="3">
        <v>19</v>
      </c>
      <c r="D1116" s="3">
        <v>14</v>
      </c>
      <c r="E1116" s="3">
        <v>2956.836</v>
      </c>
      <c r="F1116" s="4" t="str">
        <f>HYPERLINK("http://141.218.60.56/~jnz1568/getInfo.php?workbook=12_04.xlsx&amp;sheet=A0&amp;row=1116&amp;col=6&amp;number=6.52e-08&amp;sourceID=14","6.52e-08")</f>
        <v>6.52e-08</v>
      </c>
      <c r="G1116" s="4" t="str">
        <f>HYPERLINK("http://141.218.60.56/~jnz1568/getInfo.php?workbook=12_04.xlsx&amp;sheet=A0&amp;row=1116&amp;col=7&amp;number=0&amp;sourceID=14","0")</f>
        <v>0</v>
      </c>
    </row>
    <row r="1117" spans="1:7">
      <c r="A1117" s="3">
        <v>12</v>
      </c>
      <c r="B1117" s="3">
        <v>4</v>
      </c>
      <c r="C1117" s="3">
        <v>20</v>
      </c>
      <c r="D1117" s="3">
        <v>14</v>
      </c>
      <c r="E1117" s="3">
        <v>1751.93</v>
      </c>
      <c r="F1117" s="4" t="str">
        <f>HYPERLINK("http://141.218.60.56/~jnz1568/getInfo.php?workbook=12_04.xlsx&amp;sheet=A0&amp;row=1117&amp;col=6&amp;number=0.00108&amp;sourceID=14","0.00108")</f>
        <v>0.00108</v>
      </c>
      <c r="G1117" s="4" t="str">
        <f>HYPERLINK("http://141.218.60.56/~jnz1568/getInfo.php?workbook=12_04.xlsx&amp;sheet=A0&amp;row=1117&amp;col=7&amp;number=0&amp;sourceID=14","0")</f>
        <v>0</v>
      </c>
    </row>
    <row r="1118" spans="1:7">
      <c r="A1118" s="3">
        <v>12</v>
      </c>
      <c r="B1118" s="3">
        <v>4</v>
      </c>
      <c r="C1118" s="3">
        <v>22</v>
      </c>
      <c r="D1118" s="3">
        <v>14</v>
      </c>
      <c r="E1118" s="3">
        <v>879.122</v>
      </c>
      <c r="F1118" s="4" t="str">
        <f>HYPERLINK("http://141.218.60.56/~jnz1568/getInfo.php?workbook=12_04.xlsx&amp;sheet=A0&amp;row=1118&amp;col=6&amp;number=0.00964&amp;sourceID=14","0.00964")</f>
        <v>0.00964</v>
      </c>
      <c r="G1118" s="4" t="str">
        <f>HYPERLINK("http://141.218.60.56/~jnz1568/getInfo.php?workbook=12_04.xlsx&amp;sheet=A0&amp;row=1118&amp;col=7&amp;number=0&amp;sourceID=14","0")</f>
        <v>0</v>
      </c>
    </row>
    <row r="1119" spans="1:7">
      <c r="A1119" s="3">
        <v>12</v>
      </c>
      <c r="B1119" s="3">
        <v>4</v>
      </c>
      <c r="C1119" s="3">
        <v>23</v>
      </c>
      <c r="D1119" s="3">
        <v>14</v>
      </c>
      <c r="E1119" s="3">
        <v>859.108</v>
      </c>
      <c r="F1119" s="4" t="str">
        <f>HYPERLINK("http://141.218.60.56/~jnz1568/getInfo.php?workbook=12_04.xlsx&amp;sheet=A0&amp;row=1119&amp;col=6&amp;number=0.105&amp;sourceID=14","0.105")</f>
        <v>0.105</v>
      </c>
      <c r="G1119" s="4" t="str">
        <f>HYPERLINK("http://141.218.60.56/~jnz1568/getInfo.php?workbook=12_04.xlsx&amp;sheet=A0&amp;row=1119&amp;col=7&amp;number=0&amp;sourceID=14","0")</f>
        <v>0</v>
      </c>
    </row>
    <row r="1120" spans="1:7">
      <c r="A1120" s="3">
        <v>12</v>
      </c>
      <c r="B1120" s="3">
        <v>4</v>
      </c>
      <c r="C1120" s="3">
        <v>24</v>
      </c>
      <c r="D1120" s="3">
        <v>14</v>
      </c>
      <c r="E1120" s="3">
        <v>687.098</v>
      </c>
      <c r="F1120" s="4" t="str">
        <f>HYPERLINK("http://141.218.60.56/~jnz1568/getInfo.php?workbook=12_04.xlsx&amp;sheet=A0&amp;row=1120&amp;col=6&amp;number=0.211&amp;sourceID=14","0.211")</f>
        <v>0.211</v>
      </c>
      <c r="G1120" s="4" t="str">
        <f>HYPERLINK("http://141.218.60.56/~jnz1568/getInfo.php?workbook=12_04.xlsx&amp;sheet=A0&amp;row=1120&amp;col=7&amp;number=0&amp;sourceID=14","0")</f>
        <v>0</v>
      </c>
    </row>
    <row r="1121" spans="1:7">
      <c r="A1121" s="3">
        <v>12</v>
      </c>
      <c r="B1121" s="3">
        <v>4</v>
      </c>
      <c r="C1121" s="3">
        <v>25</v>
      </c>
      <c r="D1121" s="3">
        <v>14</v>
      </c>
      <c r="E1121" s="3">
        <v>663.924</v>
      </c>
      <c r="F1121" s="4" t="str">
        <f>HYPERLINK("http://141.218.60.56/~jnz1568/getInfo.php?workbook=12_04.xlsx&amp;sheet=A0&amp;row=1121&amp;col=6&amp;number=13900000&amp;sourceID=14","13900000")</f>
        <v>13900000</v>
      </c>
      <c r="G1121" s="4" t="str">
        <f>HYPERLINK("http://141.218.60.56/~jnz1568/getInfo.php?workbook=12_04.xlsx&amp;sheet=A0&amp;row=1121&amp;col=7&amp;number=0&amp;sourceID=14","0")</f>
        <v>0</v>
      </c>
    </row>
    <row r="1122" spans="1:7">
      <c r="A1122" s="3">
        <v>12</v>
      </c>
      <c r="B1122" s="3">
        <v>4</v>
      </c>
      <c r="C1122" s="3">
        <v>26</v>
      </c>
      <c r="D1122" s="3">
        <v>14</v>
      </c>
      <c r="E1122" s="3">
        <v>633.033</v>
      </c>
      <c r="F1122" s="4" t="str">
        <f>HYPERLINK("http://141.218.60.56/~jnz1568/getInfo.php?workbook=12_04.xlsx&amp;sheet=A0&amp;row=1122&amp;col=6&amp;number=427000000&amp;sourceID=14","427000000")</f>
        <v>427000000</v>
      </c>
      <c r="G1122" s="4" t="str">
        <f>HYPERLINK("http://141.218.60.56/~jnz1568/getInfo.php?workbook=12_04.xlsx&amp;sheet=A0&amp;row=1122&amp;col=7&amp;number=0&amp;sourceID=14","0")</f>
        <v>0</v>
      </c>
    </row>
    <row r="1123" spans="1:7">
      <c r="A1123" s="3">
        <v>12</v>
      </c>
      <c r="B1123" s="3">
        <v>4</v>
      </c>
      <c r="C1123" s="3">
        <v>27</v>
      </c>
      <c r="D1123" s="3">
        <v>14</v>
      </c>
      <c r="E1123" s="3">
        <v>629.051</v>
      </c>
      <c r="F1123" s="4" t="str">
        <f>HYPERLINK("http://141.218.60.56/~jnz1568/getInfo.php?workbook=12_04.xlsx&amp;sheet=A0&amp;row=1123&amp;col=6&amp;number=0.0379&amp;sourceID=14","0.0379")</f>
        <v>0.0379</v>
      </c>
      <c r="G1123" s="4" t="str">
        <f>HYPERLINK("http://141.218.60.56/~jnz1568/getInfo.php?workbook=12_04.xlsx&amp;sheet=A0&amp;row=1123&amp;col=7&amp;number=0&amp;sourceID=14","0")</f>
        <v>0</v>
      </c>
    </row>
    <row r="1124" spans="1:7">
      <c r="A1124" s="3">
        <v>12</v>
      </c>
      <c r="B1124" s="3">
        <v>4</v>
      </c>
      <c r="C1124" s="3">
        <v>28</v>
      </c>
      <c r="D1124" s="3">
        <v>14</v>
      </c>
      <c r="E1124" s="3">
        <v>619.311</v>
      </c>
      <c r="F1124" s="4" t="str">
        <f>HYPERLINK("http://141.218.60.56/~jnz1568/getInfo.php?workbook=12_04.xlsx&amp;sheet=A0&amp;row=1124&amp;col=6&amp;number=7.72e-06&amp;sourceID=14","7.72e-06")</f>
        <v>7.72e-06</v>
      </c>
      <c r="G1124" s="4" t="str">
        <f>HYPERLINK("http://141.218.60.56/~jnz1568/getInfo.php?workbook=12_04.xlsx&amp;sheet=A0&amp;row=1124&amp;col=7&amp;number=0&amp;sourceID=14","0")</f>
        <v>0</v>
      </c>
    </row>
    <row r="1125" spans="1:7">
      <c r="A1125" s="3">
        <v>12</v>
      </c>
      <c r="B1125" s="3">
        <v>4</v>
      </c>
      <c r="C1125" s="3">
        <v>29</v>
      </c>
      <c r="D1125" s="3">
        <v>14</v>
      </c>
      <c r="E1125" s="3">
        <v>578.437</v>
      </c>
      <c r="F1125" s="4" t="str">
        <f>HYPERLINK("http://141.218.60.56/~jnz1568/getInfo.php?workbook=12_04.xlsx&amp;sheet=A0&amp;row=1125&amp;col=6&amp;number=86300000&amp;sourceID=14","86300000")</f>
        <v>86300000</v>
      </c>
      <c r="G1125" s="4" t="str">
        <f>HYPERLINK("http://141.218.60.56/~jnz1568/getInfo.php?workbook=12_04.xlsx&amp;sheet=A0&amp;row=1125&amp;col=7&amp;number=0&amp;sourceID=14","0")</f>
        <v>0</v>
      </c>
    </row>
    <row r="1126" spans="1:7">
      <c r="A1126" s="3">
        <v>12</v>
      </c>
      <c r="B1126" s="3">
        <v>4</v>
      </c>
      <c r="C1126" s="3">
        <v>31</v>
      </c>
      <c r="D1126" s="3">
        <v>14</v>
      </c>
      <c r="E1126" s="3">
        <v>551.908</v>
      </c>
      <c r="F1126" s="4" t="str">
        <f>HYPERLINK("http://141.218.60.56/~jnz1568/getInfo.php?workbook=12_04.xlsx&amp;sheet=A0&amp;row=1126&amp;col=6&amp;number=445000000&amp;sourceID=14","445000000")</f>
        <v>445000000</v>
      </c>
      <c r="G1126" s="4" t="str">
        <f>HYPERLINK("http://141.218.60.56/~jnz1568/getInfo.php?workbook=12_04.xlsx&amp;sheet=A0&amp;row=1126&amp;col=7&amp;number=0&amp;sourceID=14","0")</f>
        <v>0</v>
      </c>
    </row>
    <row r="1127" spans="1:7">
      <c r="A1127" s="3">
        <v>12</v>
      </c>
      <c r="B1127" s="3">
        <v>4</v>
      </c>
      <c r="C1127" s="3">
        <v>32</v>
      </c>
      <c r="D1127" s="3">
        <v>14</v>
      </c>
      <c r="E1127" s="3">
        <v>547.976</v>
      </c>
      <c r="F1127" s="4" t="str">
        <f>HYPERLINK("http://141.218.60.56/~jnz1568/getInfo.php?workbook=12_04.xlsx&amp;sheet=A0&amp;row=1127&amp;col=6&amp;number=0.0388&amp;sourceID=14","0.0388")</f>
        <v>0.0388</v>
      </c>
      <c r="G1127" s="4" t="str">
        <f>HYPERLINK("http://141.218.60.56/~jnz1568/getInfo.php?workbook=12_04.xlsx&amp;sheet=A0&amp;row=1127&amp;col=7&amp;number=0&amp;sourceID=14","0")</f>
        <v>0</v>
      </c>
    </row>
    <row r="1128" spans="1:7">
      <c r="A1128" s="3">
        <v>12</v>
      </c>
      <c r="B1128" s="3">
        <v>4</v>
      </c>
      <c r="C1128" s="3">
        <v>33</v>
      </c>
      <c r="D1128" s="3">
        <v>14</v>
      </c>
      <c r="E1128" s="3">
        <v>-524.63</v>
      </c>
      <c r="F1128" s="4" t="str">
        <f>HYPERLINK("http://141.218.60.56/~jnz1568/getInfo.php?workbook=12_04.xlsx&amp;sheet=A0&amp;row=1128&amp;col=6&amp;number=188&amp;sourceID=14","188")</f>
        <v>188</v>
      </c>
      <c r="G1128" s="4" t="str">
        <f>HYPERLINK("http://141.218.60.56/~jnz1568/getInfo.php?workbook=12_04.xlsx&amp;sheet=A0&amp;row=1128&amp;col=7&amp;number=0&amp;sourceID=14","0")</f>
        <v>0</v>
      </c>
    </row>
    <row r="1129" spans="1:7">
      <c r="A1129" s="3">
        <v>12</v>
      </c>
      <c r="B1129" s="3">
        <v>4</v>
      </c>
      <c r="C1129" s="3">
        <v>35</v>
      </c>
      <c r="D1129" s="3">
        <v>14</v>
      </c>
      <c r="E1129" s="3">
        <v>520.455</v>
      </c>
      <c r="F1129" s="4" t="str">
        <f>HYPERLINK("http://141.218.60.56/~jnz1568/getInfo.php?workbook=12_04.xlsx&amp;sheet=A0&amp;row=1129&amp;col=6&amp;number=51.6&amp;sourceID=14","51.6")</f>
        <v>51.6</v>
      </c>
      <c r="G1129" s="4" t="str">
        <f>HYPERLINK("http://141.218.60.56/~jnz1568/getInfo.php?workbook=12_04.xlsx&amp;sheet=A0&amp;row=1129&amp;col=7&amp;number=0&amp;sourceID=14","0")</f>
        <v>0</v>
      </c>
    </row>
    <row r="1130" spans="1:7">
      <c r="A1130" s="3">
        <v>12</v>
      </c>
      <c r="B1130" s="3">
        <v>4</v>
      </c>
      <c r="C1130" s="3">
        <v>36</v>
      </c>
      <c r="D1130" s="3">
        <v>14</v>
      </c>
      <c r="E1130" s="3">
        <v>-513.686</v>
      </c>
      <c r="F1130" s="4" t="str">
        <f>HYPERLINK("http://141.218.60.56/~jnz1568/getInfo.php?workbook=12_04.xlsx&amp;sheet=A0&amp;row=1130&amp;col=6&amp;number=6.09e-10&amp;sourceID=14","6.09e-10")</f>
        <v>6.09e-10</v>
      </c>
      <c r="G1130" s="4" t="str">
        <f>HYPERLINK("http://141.218.60.56/~jnz1568/getInfo.php?workbook=12_04.xlsx&amp;sheet=A0&amp;row=1130&amp;col=7&amp;number=0&amp;sourceID=14","0")</f>
        <v>0</v>
      </c>
    </row>
    <row r="1131" spans="1:7">
      <c r="A1131" s="3">
        <v>12</v>
      </c>
      <c r="B1131" s="3">
        <v>4</v>
      </c>
      <c r="C1131" s="3">
        <v>37</v>
      </c>
      <c r="D1131" s="3">
        <v>14</v>
      </c>
      <c r="E1131" s="3">
        <v>504.109</v>
      </c>
      <c r="F1131" s="4" t="str">
        <f>HYPERLINK("http://141.218.60.56/~jnz1568/getInfo.php?workbook=12_04.xlsx&amp;sheet=A0&amp;row=1131&amp;col=6&amp;number=0.054&amp;sourceID=14","0.054")</f>
        <v>0.054</v>
      </c>
      <c r="G1131" s="4" t="str">
        <f>HYPERLINK("http://141.218.60.56/~jnz1568/getInfo.php?workbook=12_04.xlsx&amp;sheet=A0&amp;row=1131&amp;col=7&amp;number=0&amp;sourceID=14","0")</f>
        <v>0</v>
      </c>
    </row>
    <row r="1132" spans="1:7">
      <c r="A1132" s="3">
        <v>12</v>
      </c>
      <c r="B1132" s="3">
        <v>4</v>
      </c>
      <c r="C1132" s="3">
        <v>38</v>
      </c>
      <c r="D1132" s="3">
        <v>14</v>
      </c>
      <c r="E1132" s="3">
        <v>476.6</v>
      </c>
      <c r="F1132" s="4" t="str">
        <f>HYPERLINK("http://141.218.60.56/~jnz1568/getInfo.php?workbook=12_04.xlsx&amp;sheet=A0&amp;row=1132&amp;col=6&amp;number=0.0433&amp;sourceID=14","0.0433")</f>
        <v>0.0433</v>
      </c>
      <c r="G1132" s="4" t="str">
        <f>HYPERLINK("http://141.218.60.56/~jnz1568/getInfo.php?workbook=12_04.xlsx&amp;sheet=A0&amp;row=1132&amp;col=7&amp;number=0&amp;sourceID=14","0")</f>
        <v>0</v>
      </c>
    </row>
    <row r="1133" spans="1:7">
      <c r="A1133" s="3">
        <v>12</v>
      </c>
      <c r="B1133" s="3">
        <v>4</v>
      </c>
      <c r="C1133" s="3">
        <v>39</v>
      </c>
      <c r="D1133" s="3">
        <v>14</v>
      </c>
      <c r="E1133" s="3">
        <v>475.376</v>
      </c>
      <c r="F1133" s="4" t="str">
        <f>HYPERLINK("http://141.218.60.56/~jnz1568/getInfo.php?workbook=12_04.xlsx&amp;sheet=A0&amp;row=1133&amp;col=6&amp;number=7.86&amp;sourceID=14","7.86")</f>
        <v>7.86</v>
      </c>
      <c r="G1133" s="4" t="str">
        <f>HYPERLINK("http://141.218.60.56/~jnz1568/getInfo.php?workbook=12_04.xlsx&amp;sheet=A0&amp;row=1133&amp;col=7&amp;number=0&amp;sourceID=14","0")</f>
        <v>0</v>
      </c>
    </row>
    <row r="1134" spans="1:7">
      <c r="A1134" s="3">
        <v>12</v>
      </c>
      <c r="B1134" s="3">
        <v>4</v>
      </c>
      <c r="C1134" s="3">
        <v>41</v>
      </c>
      <c r="D1134" s="3">
        <v>14</v>
      </c>
      <c r="E1134" s="3">
        <v>459.306</v>
      </c>
      <c r="F1134" s="4" t="str">
        <f>HYPERLINK("http://141.218.60.56/~jnz1568/getInfo.php?workbook=12_04.xlsx&amp;sheet=A0&amp;row=1134&amp;col=6&amp;number=30&amp;sourceID=14","30")</f>
        <v>30</v>
      </c>
      <c r="G1134" s="4" t="str">
        <f>HYPERLINK("http://141.218.60.56/~jnz1568/getInfo.php?workbook=12_04.xlsx&amp;sheet=A0&amp;row=1134&amp;col=7&amp;number=0&amp;sourceID=14","0")</f>
        <v>0</v>
      </c>
    </row>
    <row r="1135" spans="1:7">
      <c r="A1135" s="3">
        <v>12</v>
      </c>
      <c r="B1135" s="3">
        <v>4</v>
      </c>
      <c r="C1135" s="3">
        <v>42</v>
      </c>
      <c r="D1135" s="3">
        <v>14</v>
      </c>
      <c r="E1135" s="3">
        <v>457.227</v>
      </c>
      <c r="F1135" s="4" t="str">
        <f>HYPERLINK("http://141.218.60.56/~jnz1568/getInfo.php?workbook=12_04.xlsx&amp;sheet=A0&amp;row=1135&amp;col=6&amp;number=0.0184&amp;sourceID=14","0.0184")</f>
        <v>0.0184</v>
      </c>
      <c r="G1135" s="4" t="str">
        <f>HYPERLINK("http://141.218.60.56/~jnz1568/getInfo.php?workbook=12_04.xlsx&amp;sheet=A0&amp;row=1135&amp;col=7&amp;number=0&amp;sourceID=14","0")</f>
        <v>0</v>
      </c>
    </row>
    <row r="1136" spans="1:7">
      <c r="A1136" s="3">
        <v>12</v>
      </c>
      <c r="B1136" s="3">
        <v>4</v>
      </c>
      <c r="C1136" s="3">
        <v>45</v>
      </c>
      <c r="D1136" s="3">
        <v>14</v>
      </c>
      <c r="E1136" s="3">
        <v>421.604</v>
      </c>
      <c r="F1136" s="4" t="str">
        <f>HYPERLINK("http://141.218.60.56/~jnz1568/getInfo.php?workbook=12_04.xlsx&amp;sheet=A0&amp;row=1136&amp;col=6&amp;number=2.39e-07&amp;sourceID=14","2.39e-07")</f>
        <v>2.39e-07</v>
      </c>
      <c r="G1136" s="4" t="str">
        <f>HYPERLINK("http://141.218.60.56/~jnz1568/getInfo.php?workbook=12_04.xlsx&amp;sheet=A0&amp;row=1136&amp;col=7&amp;number=0&amp;sourceID=14","0")</f>
        <v>0</v>
      </c>
    </row>
    <row r="1137" spans="1:7">
      <c r="A1137" s="3">
        <v>12</v>
      </c>
      <c r="B1137" s="3">
        <v>4</v>
      </c>
      <c r="C1137" s="3">
        <v>46</v>
      </c>
      <c r="D1137" s="3">
        <v>14</v>
      </c>
      <c r="E1137" s="3">
        <v>409.736</v>
      </c>
      <c r="F1137" s="4" t="str">
        <f>HYPERLINK("http://141.218.60.56/~jnz1568/getInfo.php?workbook=12_04.xlsx&amp;sheet=A0&amp;row=1137&amp;col=6&amp;number=0.0523&amp;sourceID=14","0.0523")</f>
        <v>0.0523</v>
      </c>
      <c r="G1137" s="4" t="str">
        <f>HYPERLINK("http://141.218.60.56/~jnz1568/getInfo.php?workbook=12_04.xlsx&amp;sheet=A0&amp;row=1137&amp;col=7&amp;number=0&amp;sourceID=14","0")</f>
        <v>0</v>
      </c>
    </row>
    <row r="1138" spans="1:7">
      <c r="A1138" s="3">
        <v>12</v>
      </c>
      <c r="B1138" s="3">
        <v>4</v>
      </c>
      <c r="C1138" s="3">
        <v>47</v>
      </c>
      <c r="D1138" s="3">
        <v>14</v>
      </c>
      <c r="E1138" s="3">
        <v>-224.834</v>
      </c>
      <c r="F1138" s="4" t="str">
        <f>HYPERLINK("http://141.218.60.56/~jnz1568/getInfo.php?workbook=12_04.xlsx&amp;sheet=A0&amp;row=1138&amp;col=6&amp;number=2230000000&amp;sourceID=14","2230000000")</f>
        <v>2230000000</v>
      </c>
      <c r="G1138" s="4" t="str">
        <f>HYPERLINK("http://141.218.60.56/~jnz1568/getInfo.php?workbook=12_04.xlsx&amp;sheet=A0&amp;row=1138&amp;col=7&amp;number=0&amp;sourceID=14","0")</f>
        <v>0</v>
      </c>
    </row>
    <row r="1139" spans="1:7">
      <c r="A1139" s="3">
        <v>12</v>
      </c>
      <c r="B1139" s="3">
        <v>4</v>
      </c>
      <c r="C1139" s="3">
        <v>50</v>
      </c>
      <c r="D1139" s="3">
        <v>14</v>
      </c>
      <c r="E1139" s="3">
        <v>-212.999</v>
      </c>
      <c r="F1139" s="4" t="str">
        <f>HYPERLINK("http://141.218.60.56/~jnz1568/getInfo.php?workbook=12_04.xlsx&amp;sheet=A0&amp;row=1139&amp;col=6&amp;number=0.308&amp;sourceID=14","0.308")</f>
        <v>0.308</v>
      </c>
      <c r="G1139" s="4" t="str">
        <f>HYPERLINK("http://141.218.60.56/~jnz1568/getInfo.php?workbook=12_04.xlsx&amp;sheet=A0&amp;row=1139&amp;col=7&amp;number=0&amp;sourceID=14","0")</f>
        <v>0</v>
      </c>
    </row>
    <row r="1140" spans="1:7">
      <c r="A1140" s="3">
        <v>12</v>
      </c>
      <c r="B1140" s="3">
        <v>4</v>
      </c>
      <c r="C1140" s="3">
        <v>51</v>
      </c>
      <c r="D1140" s="3">
        <v>14</v>
      </c>
      <c r="E1140" s="3">
        <v>-212.881</v>
      </c>
      <c r="F1140" s="4" t="str">
        <f>HYPERLINK("http://141.218.60.56/~jnz1568/getInfo.php?workbook=12_04.xlsx&amp;sheet=A0&amp;row=1140&amp;col=6&amp;number=290000&amp;sourceID=14","290000")</f>
        <v>290000</v>
      </c>
      <c r="G1140" s="4" t="str">
        <f>HYPERLINK("http://141.218.60.56/~jnz1568/getInfo.php?workbook=12_04.xlsx&amp;sheet=A0&amp;row=1140&amp;col=7&amp;number=0&amp;sourceID=14","0")</f>
        <v>0</v>
      </c>
    </row>
    <row r="1141" spans="1:7">
      <c r="A1141" s="3">
        <v>12</v>
      </c>
      <c r="B1141" s="3">
        <v>4</v>
      </c>
      <c r="C1141" s="3">
        <v>52</v>
      </c>
      <c r="D1141" s="3">
        <v>14</v>
      </c>
      <c r="E1141" s="3">
        <v>212.233</v>
      </c>
      <c r="F1141" s="4" t="str">
        <f>HYPERLINK("http://141.218.60.56/~jnz1568/getInfo.php?workbook=12_04.xlsx&amp;sheet=A0&amp;row=1141&amp;col=6&amp;number=0.536&amp;sourceID=14","0.536")</f>
        <v>0.536</v>
      </c>
      <c r="G1141" s="4" t="str">
        <f>HYPERLINK("http://141.218.60.56/~jnz1568/getInfo.php?workbook=12_04.xlsx&amp;sheet=A0&amp;row=1141&amp;col=7&amp;number=0&amp;sourceID=14","0")</f>
        <v>0</v>
      </c>
    </row>
    <row r="1142" spans="1:7">
      <c r="A1142" s="3">
        <v>12</v>
      </c>
      <c r="B1142" s="3">
        <v>4</v>
      </c>
      <c r="C1142" s="3">
        <v>53</v>
      </c>
      <c r="D1142" s="3">
        <v>14</v>
      </c>
      <c r="E1142" s="3">
        <v>207.267</v>
      </c>
      <c r="F1142" s="4" t="str">
        <f>HYPERLINK("http://141.218.60.56/~jnz1568/getInfo.php?workbook=12_04.xlsx&amp;sheet=A0&amp;row=1142&amp;col=6&amp;number=24700000000&amp;sourceID=14","24700000000")</f>
        <v>24700000000</v>
      </c>
      <c r="G1142" s="4" t="str">
        <f>HYPERLINK("http://141.218.60.56/~jnz1568/getInfo.php?workbook=12_04.xlsx&amp;sheet=A0&amp;row=1142&amp;col=7&amp;number=0&amp;sourceID=14","0")</f>
        <v>0</v>
      </c>
    </row>
    <row r="1143" spans="1:7">
      <c r="A1143" s="3">
        <v>12</v>
      </c>
      <c r="B1143" s="3">
        <v>4</v>
      </c>
      <c r="C1143" s="3">
        <v>54</v>
      </c>
      <c r="D1143" s="3">
        <v>14</v>
      </c>
      <c r="E1143" s="3">
        <v>207.267</v>
      </c>
      <c r="F1143" s="4" t="str">
        <f>HYPERLINK("http://141.218.60.56/~jnz1568/getInfo.php?workbook=12_04.xlsx&amp;sheet=A0&amp;row=1143&amp;col=6&amp;number=2.62&amp;sourceID=14","2.62")</f>
        <v>2.62</v>
      </c>
      <c r="G1143" s="4" t="str">
        <f>HYPERLINK("http://141.218.60.56/~jnz1568/getInfo.php?workbook=12_04.xlsx&amp;sheet=A0&amp;row=1143&amp;col=7&amp;number=0&amp;sourceID=14","0")</f>
        <v>0</v>
      </c>
    </row>
    <row r="1144" spans="1:7">
      <c r="A1144" s="3">
        <v>12</v>
      </c>
      <c r="B1144" s="3">
        <v>4</v>
      </c>
      <c r="C1144" s="3">
        <v>55</v>
      </c>
      <c r="D1144" s="3">
        <v>14</v>
      </c>
      <c r="E1144" s="3">
        <v>207.233</v>
      </c>
      <c r="F1144" s="4" t="str">
        <f>HYPERLINK("http://141.218.60.56/~jnz1568/getInfo.php?workbook=12_04.xlsx&amp;sheet=A0&amp;row=1144&amp;col=6&amp;number=17.5&amp;sourceID=14","17.5")</f>
        <v>17.5</v>
      </c>
      <c r="G1144" s="4" t="str">
        <f>HYPERLINK("http://141.218.60.56/~jnz1568/getInfo.php?workbook=12_04.xlsx&amp;sheet=A0&amp;row=1144&amp;col=7&amp;number=0&amp;sourceID=14","0")</f>
        <v>0</v>
      </c>
    </row>
    <row r="1145" spans="1:7">
      <c r="A1145" s="3">
        <v>12</v>
      </c>
      <c r="B1145" s="3">
        <v>4</v>
      </c>
      <c r="C1145" s="3">
        <v>56</v>
      </c>
      <c r="D1145" s="3">
        <v>14</v>
      </c>
      <c r="E1145" s="3">
        <v>203.92</v>
      </c>
      <c r="F1145" s="4" t="str">
        <f>HYPERLINK("http://141.218.60.56/~jnz1568/getInfo.php?workbook=12_04.xlsx&amp;sheet=A0&amp;row=1145&amp;col=6&amp;number=14.4&amp;sourceID=14","14.4")</f>
        <v>14.4</v>
      </c>
      <c r="G1145" s="4" t="str">
        <f>HYPERLINK("http://141.218.60.56/~jnz1568/getInfo.php?workbook=12_04.xlsx&amp;sheet=A0&amp;row=1145&amp;col=7&amp;number=0&amp;sourceID=14","0")</f>
        <v>0</v>
      </c>
    </row>
    <row r="1146" spans="1:7">
      <c r="A1146" s="3">
        <v>12</v>
      </c>
      <c r="B1146" s="3">
        <v>4</v>
      </c>
      <c r="C1146" s="3">
        <v>57</v>
      </c>
      <c r="D1146" s="3">
        <v>14</v>
      </c>
      <c r="E1146" s="3">
        <v>-203.084</v>
      </c>
      <c r="F1146" s="4" t="str">
        <f>HYPERLINK("http://141.218.60.56/~jnz1568/getInfo.php?workbook=12_04.xlsx&amp;sheet=A0&amp;row=1146&amp;col=6&amp;number=2070000&amp;sourceID=14","2070000")</f>
        <v>2070000</v>
      </c>
      <c r="G1146" s="4" t="str">
        <f>HYPERLINK("http://141.218.60.56/~jnz1568/getInfo.php?workbook=12_04.xlsx&amp;sheet=A0&amp;row=1146&amp;col=7&amp;number=0&amp;sourceID=14","0")</f>
        <v>0</v>
      </c>
    </row>
    <row r="1147" spans="1:7">
      <c r="A1147" s="3">
        <v>12</v>
      </c>
      <c r="B1147" s="3">
        <v>4</v>
      </c>
      <c r="C1147" s="3">
        <v>58</v>
      </c>
      <c r="D1147" s="3">
        <v>14</v>
      </c>
      <c r="E1147" s="3">
        <v>-203.072</v>
      </c>
      <c r="F1147" s="4" t="str">
        <f>HYPERLINK("http://141.218.60.56/~jnz1568/getInfo.php?workbook=12_04.xlsx&amp;sheet=A0&amp;row=1147&amp;col=6&amp;number=0.000684&amp;sourceID=14","0.000684")</f>
        <v>0.000684</v>
      </c>
      <c r="G1147" s="4" t="str">
        <f>HYPERLINK("http://141.218.60.56/~jnz1568/getInfo.php?workbook=12_04.xlsx&amp;sheet=A0&amp;row=1147&amp;col=7&amp;number=0&amp;sourceID=14","0")</f>
        <v>0</v>
      </c>
    </row>
    <row r="1148" spans="1:7">
      <c r="A1148" s="3">
        <v>12</v>
      </c>
      <c r="B1148" s="3">
        <v>4</v>
      </c>
      <c r="C1148" s="3">
        <v>59</v>
      </c>
      <c r="D1148" s="3">
        <v>14</v>
      </c>
      <c r="E1148" s="3">
        <v>-203.057</v>
      </c>
      <c r="F1148" s="4" t="str">
        <f>HYPERLINK("http://141.218.60.56/~jnz1568/getInfo.php?workbook=12_04.xlsx&amp;sheet=A0&amp;row=1148&amp;col=6&amp;number=0.000379&amp;sourceID=14","0.000379")</f>
        <v>0.000379</v>
      </c>
      <c r="G1148" s="4" t="str">
        <f>HYPERLINK("http://141.218.60.56/~jnz1568/getInfo.php?workbook=12_04.xlsx&amp;sheet=A0&amp;row=1148&amp;col=7&amp;number=0&amp;sourceID=14","0")</f>
        <v>0</v>
      </c>
    </row>
    <row r="1149" spans="1:7">
      <c r="A1149" s="3">
        <v>12</v>
      </c>
      <c r="B1149" s="3">
        <v>4</v>
      </c>
      <c r="C1149" s="3">
        <v>60</v>
      </c>
      <c r="D1149" s="3">
        <v>14</v>
      </c>
      <c r="E1149" s="3">
        <v>-202.021</v>
      </c>
      <c r="F1149" s="4" t="str">
        <f>HYPERLINK("http://141.218.60.56/~jnz1568/getInfo.php?workbook=12_04.xlsx&amp;sheet=A0&amp;row=1149&amp;col=6&amp;number=0.00203&amp;sourceID=14","0.00203")</f>
        <v>0.00203</v>
      </c>
      <c r="G1149" s="4" t="str">
        <f>HYPERLINK("http://141.218.60.56/~jnz1568/getInfo.php?workbook=12_04.xlsx&amp;sheet=A0&amp;row=1149&amp;col=7&amp;number=0&amp;sourceID=14","0")</f>
        <v>0</v>
      </c>
    </row>
    <row r="1150" spans="1:7">
      <c r="A1150" s="3">
        <v>12</v>
      </c>
      <c r="B1150" s="3">
        <v>4</v>
      </c>
      <c r="C1150" s="3">
        <v>62</v>
      </c>
      <c r="D1150" s="3">
        <v>14</v>
      </c>
      <c r="E1150" s="3">
        <v>-163.499</v>
      </c>
      <c r="F1150" s="4" t="str">
        <f>HYPERLINK("http://141.218.60.56/~jnz1568/getInfo.php?workbook=12_04.xlsx&amp;sheet=A0&amp;row=1150&amp;col=6&amp;number=0.0187&amp;sourceID=14","0.0187")</f>
        <v>0.0187</v>
      </c>
      <c r="G1150" s="4" t="str">
        <f>HYPERLINK("http://141.218.60.56/~jnz1568/getInfo.php?workbook=12_04.xlsx&amp;sheet=A0&amp;row=1150&amp;col=7&amp;number=0&amp;sourceID=14","0")</f>
        <v>0</v>
      </c>
    </row>
    <row r="1151" spans="1:7">
      <c r="A1151" s="3">
        <v>12</v>
      </c>
      <c r="B1151" s="3">
        <v>4</v>
      </c>
      <c r="C1151" s="3">
        <v>63</v>
      </c>
      <c r="D1151" s="3">
        <v>14</v>
      </c>
      <c r="E1151" s="3">
        <v>-162.706</v>
      </c>
      <c r="F1151" s="4" t="str">
        <f>HYPERLINK("http://141.218.60.56/~jnz1568/getInfo.php?workbook=12_04.xlsx&amp;sheet=A0&amp;row=1151&amp;col=6&amp;number=91.9&amp;sourceID=14","91.9")</f>
        <v>91.9</v>
      </c>
      <c r="G1151" s="4" t="str">
        <f>HYPERLINK("http://141.218.60.56/~jnz1568/getInfo.php?workbook=12_04.xlsx&amp;sheet=A0&amp;row=1151&amp;col=7&amp;number=0&amp;sourceID=14","0")</f>
        <v>0</v>
      </c>
    </row>
    <row r="1152" spans="1:7">
      <c r="A1152" s="3">
        <v>12</v>
      </c>
      <c r="B1152" s="3">
        <v>4</v>
      </c>
      <c r="C1152" s="3">
        <v>64</v>
      </c>
      <c r="D1152" s="3">
        <v>14</v>
      </c>
      <c r="E1152" s="3">
        <v>-161.071</v>
      </c>
      <c r="F1152" s="4" t="str">
        <f>HYPERLINK("http://141.218.60.56/~jnz1568/getInfo.php?workbook=12_04.xlsx&amp;sheet=A0&amp;row=1152&amp;col=6&amp;number=0.0283&amp;sourceID=14","0.0283")</f>
        <v>0.0283</v>
      </c>
      <c r="G1152" s="4" t="str">
        <f>HYPERLINK("http://141.218.60.56/~jnz1568/getInfo.php?workbook=12_04.xlsx&amp;sheet=A0&amp;row=1152&amp;col=7&amp;number=0&amp;sourceID=14","0")</f>
        <v>0</v>
      </c>
    </row>
    <row r="1153" spans="1:7">
      <c r="A1153" s="3">
        <v>12</v>
      </c>
      <c r="B1153" s="3">
        <v>4</v>
      </c>
      <c r="C1153" s="3">
        <v>65</v>
      </c>
      <c r="D1153" s="3">
        <v>14</v>
      </c>
      <c r="E1153" s="3">
        <v>-159.141</v>
      </c>
      <c r="F1153" s="4" t="str">
        <f>HYPERLINK("http://141.218.60.56/~jnz1568/getInfo.php?workbook=12_04.xlsx&amp;sheet=A0&amp;row=1153&amp;col=6&amp;number=21400&amp;sourceID=14","21400")</f>
        <v>21400</v>
      </c>
      <c r="G1153" s="4" t="str">
        <f>HYPERLINK("http://141.218.60.56/~jnz1568/getInfo.php?workbook=12_04.xlsx&amp;sheet=A0&amp;row=1153&amp;col=7&amp;number=0&amp;sourceID=14","0")</f>
        <v>0</v>
      </c>
    </row>
    <row r="1154" spans="1:7">
      <c r="A1154" s="3">
        <v>12</v>
      </c>
      <c r="B1154" s="3">
        <v>4</v>
      </c>
      <c r="C1154" s="3">
        <v>66</v>
      </c>
      <c r="D1154" s="3">
        <v>14</v>
      </c>
      <c r="E1154" s="3">
        <v>-158.498</v>
      </c>
      <c r="F1154" s="4" t="str">
        <f>HYPERLINK("http://141.218.60.56/~jnz1568/getInfo.php?workbook=12_04.xlsx&amp;sheet=A0&amp;row=1154&amp;col=6&amp;number=5700000&amp;sourceID=14","5700000")</f>
        <v>5700000</v>
      </c>
      <c r="G1154" s="4" t="str">
        <f>HYPERLINK("http://141.218.60.56/~jnz1568/getInfo.php?workbook=12_04.xlsx&amp;sheet=A0&amp;row=1154&amp;col=7&amp;number=0&amp;sourceID=14","0")</f>
        <v>0</v>
      </c>
    </row>
    <row r="1155" spans="1:7">
      <c r="A1155" s="3">
        <v>12</v>
      </c>
      <c r="B1155" s="3">
        <v>4</v>
      </c>
      <c r="C1155" s="3">
        <v>67</v>
      </c>
      <c r="D1155" s="3">
        <v>14</v>
      </c>
      <c r="E1155" s="3">
        <v>-158.385</v>
      </c>
      <c r="F1155" s="4" t="str">
        <f>HYPERLINK("http://141.218.60.56/~jnz1568/getInfo.php?workbook=12_04.xlsx&amp;sheet=A0&amp;row=1155&amp;col=6&amp;number=0.0355&amp;sourceID=14","0.0355")</f>
        <v>0.0355</v>
      </c>
      <c r="G1155" s="4" t="str">
        <f>HYPERLINK("http://141.218.60.56/~jnz1568/getInfo.php?workbook=12_04.xlsx&amp;sheet=A0&amp;row=1155&amp;col=7&amp;number=0&amp;sourceID=14","0")</f>
        <v>0</v>
      </c>
    </row>
    <row r="1156" spans="1:7">
      <c r="A1156" s="3">
        <v>12</v>
      </c>
      <c r="B1156" s="3">
        <v>4</v>
      </c>
      <c r="C1156" s="3">
        <v>68</v>
      </c>
      <c r="D1156" s="3">
        <v>14</v>
      </c>
      <c r="E1156" s="3">
        <v>158.171</v>
      </c>
      <c r="F1156" s="4" t="str">
        <f>HYPERLINK("http://141.218.60.56/~jnz1568/getInfo.php?workbook=12_04.xlsx&amp;sheet=A0&amp;row=1156&amp;col=6&amp;number=0.0309&amp;sourceID=14","0.0309")</f>
        <v>0.0309</v>
      </c>
      <c r="G1156" s="4" t="str">
        <f>HYPERLINK("http://141.218.60.56/~jnz1568/getInfo.php?workbook=12_04.xlsx&amp;sheet=A0&amp;row=1156&amp;col=7&amp;number=0&amp;sourceID=14","0")</f>
        <v>0</v>
      </c>
    </row>
    <row r="1157" spans="1:7">
      <c r="A1157" s="3">
        <v>12</v>
      </c>
      <c r="B1157" s="3">
        <v>4</v>
      </c>
      <c r="C1157" s="3">
        <v>69</v>
      </c>
      <c r="D1157" s="3">
        <v>14</v>
      </c>
      <c r="E1157" s="3">
        <v>-157.057</v>
      </c>
      <c r="F1157" s="4" t="str">
        <f>HYPERLINK("http://141.218.60.56/~jnz1568/getInfo.php?workbook=12_04.xlsx&amp;sheet=A0&amp;row=1157&amp;col=6&amp;number=29100000&amp;sourceID=14","29100000")</f>
        <v>29100000</v>
      </c>
      <c r="G1157" s="4" t="str">
        <f>HYPERLINK("http://141.218.60.56/~jnz1568/getInfo.php?workbook=12_04.xlsx&amp;sheet=A0&amp;row=1157&amp;col=7&amp;number=0&amp;sourceID=14","0")</f>
        <v>0</v>
      </c>
    </row>
    <row r="1158" spans="1:7">
      <c r="A1158" s="3">
        <v>12</v>
      </c>
      <c r="B1158" s="3">
        <v>4</v>
      </c>
      <c r="C1158" s="3">
        <v>71</v>
      </c>
      <c r="D1158" s="3">
        <v>14</v>
      </c>
      <c r="E1158" s="3">
        <v>-156.428</v>
      </c>
      <c r="F1158" s="4" t="str">
        <f>HYPERLINK("http://141.218.60.56/~jnz1568/getInfo.php?workbook=12_04.xlsx&amp;sheet=A0&amp;row=1158&amp;col=6&amp;number=15700000&amp;sourceID=14","15700000")</f>
        <v>15700000</v>
      </c>
      <c r="G1158" s="4" t="str">
        <f>HYPERLINK("http://141.218.60.56/~jnz1568/getInfo.php?workbook=12_04.xlsx&amp;sheet=A0&amp;row=1158&amp;col=7&amp;number=0&amp;sourceID=14","0")</f>
        <v>0</v>
      </c>
    </row>
    <row r="1159" spans="1:7">
      <c r="A1159" s="3">
        <v>12</v>
      </c>
      <c r="B1159" s="3">
        <v>4</v>
      </c>
      <c r="C1159" s="3">
        <v>72</v>
      </c>
      <c r="D1159" s="3">
        <v>14</v>
      </c>
      <c r="E1159" s="3">
        <v>156.777</v>
      </c>
      <c r="F1159" s="4" t="str">
        <f>HYPERLINK("http://141.218.60.56/~jnz1568/getInfo.php?workbook=12_04.xlsx&amp;sheet=A0&amp;row=1159&amp;col=6&amp;number=0.0281&amp;sourceID=14","0.0281")</f>
        <v>0.0281</v>
      </c>
      <c r="G1159" s="4" t="str">
        <f>HYPERLINK("http://141.218.60.56/~jnz1568/getInfo.php?workbook=12_04.xlsx&amp;sheet=A0&amp;row=1159&amp;col=7&amp;number=0&amp;sourceID=14","0")</f>
        <v>0</v>
      </c>
    </row>
    <row r="1160" spans="1:7">
      <c r="A1160" s="3">
        <v>12</v>
      </c>
      <c r="B1160" s="3">
        <v>4</v>
      </c>
      <c r="C1160" s="3">
        <v>73</v>
      </c>
      <c r="D1160" s="3">
        <v>14</v>
      </c>
      <c r="E1160" s="3">
        <v>-155.575</v>
      </c>
      <c r="F1160" s="4" t="str">
        <f>HYPERLINK("http://141.218.60.56/~jnz1568/getInfo.php?workbook=12_04.xlsx&amp;sheet=A0&amp;row=1160&amp;col=6&amp;number=6680&amp;sourceID=14","6680")</f>
        <v>6680</v>
      </c>
      <c r="G1160" s="4" t="str">
        <f>HYPERLINK("http://141.218.60.56/~jnz1568/getInfo.php?workbook=12_04.xlsx&amp;sheet=A0&amp;row=1160&amp;col=7&amp;number=0&amp;sourceID=14","0")</f>
        <v>0</v>
      </c>
    </row>
    <row r="1161" spans="1:7">
      <c r="A1161" s="3">
        <v>12</v>
      </c>
      <c r="B1161" s="3">
        <v>4</v>
      </c>
      <c r="C1161" s="3">
        <v>74</v>
      </c>
      <c r="D1161" s="3">
        <v>14</v>
      </c>
      <c r="E1161" s="3">
        <v>-155.114</v>
      </c>
      <c r="F1161" s="4" t="str">
        <f>HYPERLINK("http://141.218.60.56/~jnz1568/getInfo.php?workbook=12_04.xlsx&amp;sheet=A0&amp;row=1161&amp;col=6&amp;number=8.13e-06&amp;sourceID=14","8.13e-06")</f>
        <v>8.13e-06</v>
      </c>
      <c r="G1161" s="4" t="str">
        <f>HYPERLINK("http://141.218.60.56/~jnz1568/getInfo.php?workbook=12_04.xlsx&amp;sheet=A0&amp;row=1161&amp;col=7&amp;number=0&amp;sourceID=14","0")</f>
        <v>0</v>
      </c>
    </row>
    <row r="1162" spans="1:7">
      <c r="A1162" s="3">
        <v>12</v>
      </c>
      <c r="B1162" s="3">
        <v>4</v>
      </c>
      <c r="C1162" s="3">
        <v>75</v>
      </c>
      <c r="D1162" s="3">
        <v>14</v>
      </c>
      <c r="E1162" s="3">
        <v>155.35</v>
      </c>
      <c r="F1162" s="4" t="str">
        <f>HYPERLINK("http://141.218.60.56/~jnz1568/getInfo.php?workbook=12_04.xlsx&amp;sheet=A0&amp;row=1162&amp;col=6&amp;number=5590&amp;sourceID=14","5590")</f>
        <v>5590</v>
      </c>
      <c r="G1162" s="4" t="str">
        <f>HYPERLINK("http://141.218.60.56/~jnz1568/getInfo.php?workbook=12_04.xlsx&amp;sheet=A0&amp;row=1162&amp;col=7&amp;number=0&amp;sourceID=14","0")</f>
        <v>0</v>
      </c>
    </row>
    <row r="1163" spans="1:7">
      <c r="A1163" s="3">
        <v>12</v>
      </c>
      <c r="B1163" s="3">
        <v>4</v>
      </c>
      <c r="C1163" s="3">
        <v>76</v>
      </c>
      <c r="D1163" s="3">
        <v>14</v>
      </c>
      <c r="E1163" s="3">
        <v>155.381</v>
      </c>
      <c r="F1163" s="4" t="str">
        <f>HYPERLINK("http://141.218.60.56/~jnz1568/getInfo.php?workbook=12_04.xlsx&amp;sheet=A0&amp;row=1163&amp;col=6&amp;number=0.00143&amp;sourceID=14","0.00143")</f>
        <v>0.00143</v>
      </c>
      <c r="G1163" s="4" t="str">
        <f>HYPERLINK("http://141.218.60.56/~jnz1568/getInfo.php?workbook=12_04.xlsx&amp;sheet=A0&amp;row=1163&amp;col=7&amp;number=0&amp;sourceID=14","0")</f>
        <v>0</v>
      </c>
    </row>
    <row r="1164" spans="1:7">
      <c r="A1164" s="3">
        <v>12</v>
      </c>
      <c r="B1164" s="3">
        <v>4</v>
      </c>
      <c r="C1164" s="3">
        <v>77</v>
      </c>
      <c r="D1164" s="3">
        <v>14</v>
      </c>
      <c r="E1164" s="3">
        <v>-154.593</v>
      </c>
      <c r="F1164" s="4" t="str">
        <f>HYPERLINK("http://141.218.60.56/~jnz1568/getInfo.php?workbook=12_04.xlsx&amp;sheet=A0&amp;row=1164&amp;col=6&amp;number=1.09e-05&amp;sourceID=14","1.09e-05")</f>
        <v>1.09e-05</v>
      </c>
      <c r="G1164" s="4" t="str">
        <f>HYPERLINK("http://141.218.60.56/~jnz1568/getInfo.php?workbook=12_04.xlsx&amp;sheet=A0&amp;row=1164&amp;col=7&amp;number=0&amp;sourceID=14","0")</f>
        <v>0</v>
      </c>
    </row>
    <row r="1165" spans="1:7">
      <c r="A1165" s="3">
        <v>12</v>
      </c>
      <c r="B1165" s="3">
        <v>4</v>
      </c>
      <c r="C1165" s="3">
        <v>78</v>
      </c>
      <c r="D1165" s="3">
        <v>14</v>
      </c>
      <c r="E1165" s="3">
        <v>-153.878</v>
      </c>
      <c r="F1165" s="4" t="str">
        <f>HYPERLINK("http://141.218.60.56/~jnz1568/getInfo.php?workbook=12_04.xlsx&amp;sheet=A0&amp;row=1165&amp;col=6&amp;number=0.00136&amp;sourceID=14","0.00136")</f>
        <v>0.00136</v>
      </c>
      <c r="G1165" s="4" t="str">
        <f>HYPERLINK("http://141.218.60.56/~jnz1568/getInfo.php?workbook=12_04.xlsx&amp;sheet=A0&amp;row=1165&amp;col=7&amp;number=0&amp;sourceID=14","0")</f>
        <v>0</v>
      </c>
    </row>
    <row r="1166" spans="1:7">
      <c r="A1166" s="3">
        <v>12</v>
      </c>
      <c r="B1166" s="3">
        <v>4</v>
      </c>
      <c r="C1166" s="3">
        <v>79</v>
      </c>
      <c r="D1166" s="3">
        <v>14</v>
      </c>
      <c r="E1166" s="3">
        <v>-153.732</v>
      </c>
      <c r="F1166" s="4" t="str">
        <f>HYPERLINK("http://141.218.60.56/~jnz1568/getInfo.php?workbook=12_04.xlsx&amp;sheet=A0&amp;row=1166&amp;col=6&amp;number=2060&amp;sourceID=14","2060")</f>
        <v>2060</v>
      </c>
      <c r="G1166" s="4" t="str">
        <f>HYPERLINK("http://141.218.60.56/~jnz1568/getInfo.php?workbook=12_04.xlsx&amp;sheet=A0&amp;row=1166&amp;col=7&amp;number=0&amp;sourceID=14","0")</f>
        <v>0</v>
      </c>
    </row>
    <row r="1167" spans="1:7">
      <c r="A1167" s="3">
        <v>12</v>
      </c>
      <c r="B1167" s="3">
        <v>4</v>
      </c>
      <c r="C1167" s="3">
        <v>80</v>
      </c>
      <c r="D1167" s="3">
        <v>14</v>
      </c>
      <c r="E1167" s="3">
        <v>-153.439</v>
      </c>
      <c r="F1167" s="4" t="str">
        <f>HYPERLINK("http://141.218.60.56/~jnz1568/getInfo.php?workbook=12_04.xlsx&amp;sheet=A0&amp;row=1167&amp;col=6&amp;number=0.0415&amp;sourceID=14","0.0415")</f>
        <v>0.0415</v>
      </c>
      <c r="G1167" s="4" t="str">
        <f>HYPERLINK("http://141.218.60.56/~jnz1568/getInfo.php?workbook=12_04.xlsx&amp;sheet=A0&amp;row=1167&amp;col=7&amp;number=0&amp;sourceID=14","0")</f>
        <v>0</v>
      </c>
    </row>
    <row r="1168" spans="1:7">
      <c r="A1168" s="3">
        <v>12</v>
      </c>
      <c r="B1168" s="3">
        <v>4</v>
      </c>
      <c r="C1168" s="3">
        <v>81</v>
      </c>
      <c r="D1168" s="3">
        <v>14</v>
      </c>
      <c r="E1168" s="3">
        <v>153.669</v>
      </c>
      <c r="F1168" s="4" t="str">
        <f>HYPERLINK("http://141.218.60.56/~jnz1568/getInfo.php?workbook=12_04.xlsx&amp;sheet=A0&amp;row=1168&amp;col=6&amp;number=3.03e-05&amp;sourceID=14","3.03e-05")</f>
        <v>3.03e-05</v>
      </c>
      <c r="G1168" s="4" t="str">
        <f>HYPERLINK("http://141.218.60.56/~jnz1568/getInfo.php?workbook=12_04.xlsx&amp;sheet=A0&amp;row=1168&amp;col=7&amp;number=0&amp;sourceID=14","0")</f>
        <v>0</v>
      </c>
    </row>
    <row r="1169" spans="1:7">
      <c r="A1169" s="3">
        <v>12</v>
      </c>
      <c r="B1169" s="3">
        <v>4</v>
      </c>
      <c r="C1169" s="3">
        <v>82</v>
      </c>
      <c r="D1169" s="3">
        <v>14</v>
      </c>
      <c r="E1169" s="3">
        <v>-153.354</v>
      </c>
      <c r="F1169" s="4" t="str">
        <f>HYPERLINK("http://141.218.60.56/~jnz1568/getInfo.php?workbook=12_04.xlsx&amp;sheet=A0&amp;row=1169&amp;col=6&amp;number=0.73&amp;sourceID=14","0.73")</f>
        <v>0.73</v>
      </c>
      <c r="G1169" s="4" t="str">
        <f>HYPERLINK("http://141.218.60.56/~jnz1568/getInfo.php?workbook=12_04.xlsx&amp;sheet=A0&amp;row=1169&amp;col=7&amp;number=0&amp;sourceID=14","0")</f>
        <v>0</v>
      </c>
    </row>
    <row r="1170" spans="1:7">
      <c r="A1170" s="3">
        <v>12</v>
      </c>
      <c r="B1170" s="3">
        <v>4</v>
      </c>
      <c r="C1170" s="3">
        <v>83</v>
      </c>
      <c r="D1170" s="3">
        <v>14</v>
      </c>
      <c r="E1170" s="3">
        <v>-153.352</v>
      </c>
      <c r="F1170" s="4" t="str">
        <f>HYPERLINK("http://141.218.60.56/~jnz1568/getInfo.php?workbook=12_04.xlsx&amp;sheet=A0&amp;row=1170&amp;col=6&amp;number=0.826&amp;sourceID=14","0.826")</f>
        <v>0.826</v>
      </c>
      <c r="G1170" s="4" t="str">
        <f>HYPERLINK("http://141.218.60.56/~jnz1568/getInfo.php?workbook=12_04.xlsx&amp;sheet=A0&amp;row=1170&amp;col=7&amp;number=0&amp;sourceID=14","0")</f>
        <v>0</v>
      </c>
    </row>
    <row r="1171" spans="1:7">
      <c r="A1171" s="3">
        <v>12</v>
      </c>
      <c r="B1171" s="3">
        <v>4</v>
      </c>
      <c r="C1171" s="3">
        <v>85</v>
      </c>
      <c r="D1171" s="3">
        <v>14</v>
      </c>
      <c r="E1171" s="3">
        <v>153.386</v>
      </c>
      <c r="F1171" s="4" t="str">
        <f>HYPERLINK("http://141.218.60.56/~jnz1568/getInfo.php?workbook=12_04.xlsx&amp;sheet=A0&amp;row=1171&amp;col=6&amp;number=4810&amp;sourceID=14","4810")</f>
        <v>4810</v>
      </c>
      <c r="G1171" s="4" t="str">
        <f>HYPERLINK("http://141.218.60.56/~jnz1568/getInfo.php?workbook=12_04.xlsx&amp;sheet=A0&amp;row=1171&amp;col=7&amp;number=0&amp;sourceID=14","0")</f>
        <v>0</v>
      </c>
    </row>
    <row r="1172" spans="1:7">
      <c r="A1172" s="3">
        <v>12</v>
      </c>
      <c r="B1172" s="3">
        <v>4</v>
      </c>
      <c r="C1172" s="3">
        <v>86</v>
      </c>
      <c r="D1172" s="3">
        <v>14</v>
      </c>
      <c r="E1172" s="3">
        <v>153.264</v>
      </c>
      <c r="F1172" s="4" t="str">
        <f>HYPERLINK("http://141.218.60.56/~jnz1568/getInfo.php?workbook=12_04.xlsx&amp;sheet=A0&amp;row=1172&amp;col=6&amp;number=0.000679&amp;sourceID=14","0.000679")</f>
        <v>0.000679</v>
      </c>
      <c r="G1172" s="4" t="str">
        <f>HYPERLINK("http://141.218.60.56/~jnz1568/getInfo.php?workbook=12_04.xlsx&amp;sheet=A0&amp;row=1172&amp;col=7&amp;number=0&amp;sourceID=14","0")</f>
        <v>0</v>
      </c>
    </row>
    <row r="1173" spans="1:7">
      <c r="A1173" s="3">
        <v>12</v>
      </c>
      <c r="B1173" s="3">
        <v>4</v>
      </c>
      <c r="C1173" s="3">
        <v>88</v>
      </c>
      <c r="D1173" s="3">
        <v>14</v>
      </c>
      <c r="E1173" s="3">
        <v>-152.525</v>
      </c>
      <c r="F1173" s="4" t="str">
        <f>HYPERLINK("http://141.218.60.56/~jnz1568/getInfo.php?workbook=12_04.xlsx&amp;sheet=A0&amp;row=1173&amp;col=6&amp;number=1.1&amp;sourceID=14","1.1")</f>
        <v>1.1</v>
      </c>
      <c r="G1173" s="4" t="str">
        <f>HYPERLINK("http://141.218.60.56/~jnz1568/getInfo.php?workbook=12_04.xlsx&amp;sheet=A0&amp;row=1173&amp;col=7&amp;number=0&amp;sourceID=14","0")</f>
        <v>0</v>
      </c>
    </row>
    <row r="1174" spans="1:7">
      <c r="A1174" s="3">
        <v>12</v>
      </c>
      <c r="B1174" s="3">
        <v>4</v>
      </c>
      <c r="C1174" s="3">
        <v>90</v>
      </c>
      <c r="D1174" s="3">
        <v>14</v>
      </c>
      <c r="E1174" s="3">
        <v>-152.099</v>
      </c>
      <c r="F1174" s="4" t="str">
        <f>HYPERLINK("http://141.218.60.56/~jnz1568/getInfo.php?workbook=12_04.xlsx&amp;sheet=A0&amp;row=1174&amp;col=6&amp;number=4e-07&amp;sourceID=14","4e-07")</f>
        <v>4e-07</v>
      </c>
      <c r="G1174" s="4" t="str">
        <f>HYPERLINK("http://141.218.60.56/~jnz1568/getInfo.php?workbook=12_04.xlsx&amp;sheet=A0&amp;row=1174&amp;col=7&amp;number=0&amp;sourceID=14","0")</f>
        <v>0</v>
      </c>
    </row>
    <row r="1175" spans="1:7">
      <c r="A1175" s="3">
        <v>12</v>
      </c>
      <c r="B1175" s="3">
        <v>4</v>
      </c>
      <c r="C1175" s="3">
        <v>91</v>
      </c>
      <c r="D1175" s="3">
        <v>14</v>
      </c>
      <c r="E1175" s="3">
        <v>-151.817</v>
      </c>
      <c r="F1175" s="4" t="str">
        <f>HYPERLINK("http://141.218.60.56/~jnz1568/getInfo.php?workbook=12_04.xlsx&amp;sheet=A0&amp;row=1175&amp;col=6&amp;number=0.616&amp;sourceID=14","0.616")</f>
        <v>0.616</v>
      </c>
      <c r="G1175" s="4" t="str">
        <f>HYPERLINK("http://141.218.60.56/~jnz1568/getInfo.php?workbook=12_04.xlsx&amp;sheet=A0&amp;row=1175&amp;col=7&amp;number=0&amp;sourceID=14","0")</f>
        <v>0</v>
      </c>
    </row>
    <row r="1176" spans="1:7">
      <c r="A1176" s="3">
        <v>12</v>
      </c>
      <c r="B1176" s="3">
        <v>4</v>
      </c>
      <c r="C1176" s="3">
        <v>93</v>
      </c>
      <c r="D1176" s="3">
        <v>14</v>
      </c>
      <c r="E1176" s="3">
        <v>-151.691</v>
      </c>
      <c r="F1176" s="4" t="str">
        <f>HYPERLINK("http://141.218.60.56/~jnz1568/getInfo.php?workbook=12_04.xlsx&amp;sheet=A0&amp;row=1176&amp;col=6&amp;number=0.27&amp;sourceID=14","0.27")</f>
        <v>0.27</v>
      </c>
      <c r="G1176" s="4" t="str">
        <f>HYPERLINK("http://141.218.60.56/~jnz1568/getInfo.php?workbook=12_04.xlsx&amp;sheet=A0&amp;row=1176&amp;col=7&amp;number=0&amp;sourceID=14","0")</f>
        <v>0</v>
      </c>
    </row>
    <row r="1177" spans="1:7">
      <c r="A1177" s="3">
        <v>12</v>
      </c>
      <c r="B1177" s="3">
        <v>4</v>
      </c>
      <c r="C1177" s="3">
        <v>94</v>
      </c>
      <c r="D1177" s="3">
        <v>14</v>
      </c>
      <c r="E1177" s="3">
        <v>-151.468</v>
      </c>
      <c r="F1177" s="4" t="str">
        <f>HYPERLINK("http://141.218.60.56/~jnz1568/getInfo.php?workbook=12_04.xlsx&amp;sheet=A0&amp;row=1177&amp;col=6&amp;number=511000000&amp;sourceID=14","511000000")</f>
        <v>511000000</v>
      </c>
      <c r="G1177" s="4" t="str">
        <f>HYPERLINK("http://141.218.60.56/~jnz1568/getInfo.php?workbook=12_04.xlsx&amp;sheet=A0&amp;row=1177&amp;col=7&amp;number=0&amp;sourceID=14","0")</f>
        <v>0</v>
      </c>
    </row>
    <row r="1178" spans="1:7">
      <c r="A1178" s="3">
        <v>12</v>
      </c>
      <c r="B1178" s="3">
        <v>4</v>
      </c>
      <c r="C1178" s="3">
        <v>96</v>
      </c>
      <c r="D1178" s="3">
        <v>14</v>
      </c>
      <c r="E1178" s="3">
        <v>-151.189</v>
      </c>
      <c r="F1178" s="4" t="str">
        <f>HYPERLINK("http://141.218.60.56/~jnz1568/getInfo.php?workbook=12_04.xlsx&amp;sheet=A0&amp;row=1178&amp;col=6&amp;number=0.931&amp;sourceID=14","0.931")</f>
        <v>0.931</v>
      </c>
      <c r="G1178" s="4" t="str">
        <f>HYPERLINK("http://141.218.60.56/~jnz1568/getInfo.php?workbook=12_04.xlsx&amp;sheet=A0&amp;row=1178&amp;col=7&amp;number=0&amp;sourceID=14","0")</f>
        <v>0</v>
      </c>
    </row>
    <row r="1179" spans="1:7">
      <c r="A1179" s="3">
        <v>12</v>
      </c>
      <c r="B1179" s="3">
        <v>4</v>
      </c>
      <c r="C1179" s="3">
        <v>97</v>
      </c>
      <c r="D1179" s="3">
        <v>14</v>
      </c>
      <c r="E1179" s="3">
        <v>151.729</v>
      </c>
      <c r="F1179" s="4" t="str">
        <f>HYPERLINK("http://141.218.60.56/~jnz1568/getInfo.php?workbook=12_04.xlsx&amp;sheet=A0&amp;row=1179&amp;col=6&amp;number=6.29e-05&amp;sourceID=14","6.29e-05")</f>
        <v>6.29e-05</v>
      </c>
      <c r="G1179" s="4" t="str">
        <f>HYPERLINK("http://141.218.60.56/~jnz1568/getInfo.php?workbook=12_04.xlsx&amp;sheet=A0&amp;row=1179&amp;col=7&amp;number=0&amp;sourceID=14","0")</f>
        <v>0</v>
      </c>
    </row>
    <row r="1180" spans="1:7">
      <c r="A1180" s="3">
        <v>12</v>
      </c>
      <c r="B1180" s="3">
        <v>4</v>
      </c>
      <c r="C1180" s="3">
        <v>98</v>
      </c>
      <c r="D1180" s="3">
        <v>14</v>
      </c>
      <c r="E1180" s="3">
        <v>151.33</v>
      </c>
      <c r="F1180" s="4" t="str">
        <f>HYPERLINK("http://141.218.60.56/~jnz1568/getInfo.php?workbook=12_04.xlsx&amp;sheet=A0&amp;row=1180&amp;col=6&amp;number=0.00372&amp;sourceID=14","0.00372")</f>
        <v>0.00372</v>
      </c>
      <c r="G1180" s="4" t="str">
        <f>HYPERLINK("http://141.218.60.56/~jnz1568/getInfo.php?workbook=12_04.xlsx&amp;sheet=A0&amp;row=1180&amp;col=7&amp;number=0&amp;sourceID=14","0")</f>
        <v>0</v>
      </c>
    </row>
    <row r="1181" spans="1:7">
      <c r="A1181" s="3">
        <v>12</v>
      </c>
      <c r="B1181" s="3">
        <v>4</v>
      </c>
      <c r="C1181" s="3">
        <v>17</v>
      </c>
      <c r="D1181" s="3">
        <v>15</v>
      </c>
      <c r="E1181" s="3">
        <v>2981.52</v>
      </c>
      <c r="F1181" s="4" t="str">
        <f>HYPERLINK("http://141.218.60.56/~jnz1568/getInfo.php?workbook=12_04.xlsx&amp;sheet=A0&amp;row=1181&amp;col=6&amp;number=12500000&amp;sourceID=14","12500000")</f>
        <v>12500000</v>
      </c>
      <c r="G1181" s="4" t="str">
        <f>HYPERLINK("http://141.218.60.56/~jnz1568/getInfo.php?workbook=12_04.xlsx&amp;sheet=A0&amp;row=1181&amp;col=7&amp;number=0&amp;sourceID=14","0")</f>
        <v>0</v>
      </c>
    </row>
    <row r="1182" spans="1:7">
      <c r="A1182" s="3">
        <v>12</v>
      </c>
      <c r="B1182" s="3">
        <v>4</v>
      </c>
      <c r="C1182" s="3">
        <v>18</v>
      </c>
      <c r="D1182" s="3">
        <v>15</v>
      </c>
      <c r="E1182" s="3">
        <v>2970.008</v>
      </c>
      <c r="F1182" s="4" t="str">
        <f>HYPERLINK("http://141.218.60.56/~jnz1568/getInfo.php?workbook=12_04.xlsx&amp;sheet=A0&amp;row=1182&amp;col=6&amp;number=22800000&amp;sourceID=14","22800000")</f>
        <v>22800000</v>
      </c>
      <c r="G1182" s="4" t="str">
        <f>HYPERLINK("http://141.218.60.56/~jnz1568/getInfo.php?workbook=12_04.xlsx&amp;sheet=A0&amp;row=1182&amp;col=7&amp;number=0&amp;sourceID=14","0")</f>
        <v>0</v>
      </c>
    </row>
    <row r="1183" spans="1:7">
      <c r="A1183" s="3">
        <v>12</v>
      </c>
      <c r="B1183" s="3">
        <v>4</v>
      </c>
      <c r="C1183" s="3">
        <v>19</v>
      </c>
      <c r="D1183" s="3">
        <v>15</v>
      </c>
      <c r="E1183" s="3">
        <v>2956.836</v>
      </c>
      <c r="F1183" s="4" t="str">
        <f>HYPERLINK("http://141.218.60.56/~jnz1568/getInfo.php?workbook=12_04.xlsx&amp;sheet=A0&amp;row=1183&amp;col=6&amp;number=2.21e-05&amp;sourceID=14","2.21e-05")</f>
        <v>2.21e-05</v>
      </c>
      <c r="G1183" s="4" t="str">
        <f>HYPERLINK("http://141.218.60.56/~jnz1568/getInfo.php?workbook=12_04.xlsx&amp;sheet=A0&amp;row=1183&amp;col=7&amp;number=0&amp;sourceID=14","0")</f>
        <v>0</v>
      </c>
    </row>
    <row r="1184" spans="1:7">
      <c r="A1184" s="3">
        <v>12</v>
      </c>
      <c r="B1184" s="3">
        <v>4</v>
      </c>
      <c r="C1184" s="3">
        <v>20</v>
      </c>
      <c r="D1184" s="3">
        <v>15</v>
      </c>
      <c r="E1184" s="3">
        <v>1751.93</v>
      </c>
      <c r="F1184" s="4" t="str">
        <f>HYPERLINK("http://141.218.60.56/~jnz1568/getInfo.php?workbook=12_04.xlsx&amp;sheet=A0&amp;row=1184&amp;col=6&amp;number=3930000&amp;sourceID=14","3930000")</f>
        <v>3930000</v>
      </c>
      <c r="G1184" s="4" t="str">
        <f>HYPERLINK("http://141.218.60.56/~jnz1568/getInfo.php?workbook=12_04.xlsx&amp;sheet=A0&amp;row=1184&amp;col=7&amp;number=0&amp;sourceID=14","0")</f>
        <v>0</v>
      </c>
    </row>
    <row r="1185" spans="1:7">
      <c r="A1185" s="3">
        <v>12</v>
      </c>
      <c r="B1185" s="3">
        <v>4</v>
      </c>
      <c r="C1185" s="3">
        <v>21</v>
      </c>
      <c r="D1185" s="3">
        <v>15</v>
      </c>
      <c r="E1185" s="3">
        <v>887.786</v>
      </c>
      <c r="F1185" s="4" t="str">
        <f>HYPERLINK("http://141.218.60.56/~jnz1568/getInfo.php?workbook=12_04.xlsx&amp;sheet=A0&amp;row=1185&amp;col=6&amp;number=0.00271&amp;sourceID=14","0.00271")</f>
        <v>0.00271</v>
      </c>
      <c r="G1185" s="4" t="str">
        <f>HYPERLINK("http://141.218.60.56/~jnz1568/getInfo.php?workbook=12_04.xlsx&amp;sheet=A0&amp;row=1185&amp;col=7&amp;number=0&amp;sourceID=14","0")</f>
        <v>0</v>
      </c>
    </row>
    <row r="1186" spans="1:7">
      <c r="A1186" s="3">
        <v>12</v>
      </c>
      <c r="B1186" s="3">
        <v>4</v>
      </c>
      <c r="C1186" s="3">
        <v>22</v>
      </c>
      <c r="D1186" s="3">
        <v>15</v>
      </c>
      <c r="E1186" s="3">
        <v>879.122</v>
      </c>
      <c r="F1186" s="4" t="str">
        <f>HYPERLINK("http://141.218.60.56/~jnz1568/getInfo.php?workbook=12_04.xlsx&amp;sheet=A0&amp;row=1186&amp;col=6&amp;number=0.232&amp;sourceID=14","0.232")</f>
        <v>0.232</v>
      </c>
      <c r="G1186" s="4" t="str">
        <f>HYPERLINK("http://141.218.60.56/~jnz1568/getInfo.php?workbook=12_04.xlsx&amp;sheet=A0&amp;row=1186&amp;col=7&amp;number=0&amp;sourceID=14","0")</f>
        <v>0</v>
      </c>
    </row>
    <row r="1187" spans="1:7">
      <c r="A1187" s="3">
        <v>12</v>
      </c>
      <c r="B1187" s="3">
        <v>4</v>
      </c>
      <c r="C1187" s="3">
        <v>23</v>
      </c>
      <c r="D1187" s="3">
        <v>15</v>
      </c>
      <c r="E1187" s="3">
        <v>859.108</v>
      </c>
      <c r="F1187" s="4" t="str">
        <f>HYPERLINK("http://141.218.60.56/~jnz1568/getInfo.php?workbook=12_04.xlsx&amp;sheet=A0&amp;row=1187&amp;col=6&amp;number=0.332&amp;sourceID=14","0.332")</f>
        <v>0.332</v>
      </c>
      <c r="G1187" s="4" t="str">
        <f>HYPERLINK("http://141.218.60.56/~jnz1568/getInfo.php?workbook=12_04.xlsx&amp;sheet=A0&amp;row=1187&amp;col=7&amp;number=0&amp;sourceID=14","0")</f>
        <v>0</v>
      </c>
    </row>
    <row r="1188" spans="1:7">
      <c r="A1188" s="3">
        <v>12</v>
      </c>
      <c r="B1188" s="3">
        <v>4</v>
      </c>
      <c r="C1188" s="3">
        <v>24</v>
      </c>
      <c r="D1188" s="3">
        <v>15</v>
      </c>
      <c r="E1188" s="3">
        <v>687.098</v>
      </c>
      <c r="F1188" s="4" t="str">
        <f>HYPERLINK("http://141.218.60.56/~jnz1568/getInfo.php?workbook=12_04.xlsx&amp;sheet=A0&amp;row=1188&amp;col=6&amp;number=13.3&amp;sourceID=14","13.3")</f>
        <v>13.3</v>
      </c>
      <c r="G1188" s="4" t="str">
        <f>HYPERLINK("http://141.218.60.56/~jnz1568/getInfo.php?workbook=12_04.xlsx&amp;sheet=A0&amp;row=1188&amp;col=7&amp;number=0&amp;sourceID=14","0")</f>
        <v>0</v>
      </c>
    </row>
    <row r="1189" spans="1:7">
      <c r="A1189" s="3">
        <v>12</v>
      </c>
      <c r="B1189" s="3">
        <v>4</v>
      </c>
      <c r="C1189" s="3">
        <v>25</v>
      </c>
      <c r="D1189" s="3">
        <v>15</v>
      </c>
      <c r="E1189" s="3">
        <v>663.924</v>
      </c>
      <c r="F1189" s="4" t="str">
        <f>HYPERLINK("http://141.218.60.56/~jnz1568/getInfo.php?workbook=12_04.xlsx&amp;sheet=A0&amp;row=1189&amp;col=6&amp;number=3400000&amp;sourceID=14","3400000")</f>
        <v>3400000</v>
      </c>
      <c r="G1189" s="4" t="str">
        <f>HYPERLINK("http://141.218.60.56/~jnz1568/getInfo.php?workbook=12_04.xlsx&amp;sheet=A0&amp;row=1189&amp;col=7&amp;number=0&amp;sourceID=14","0")</f>
        <v>0</v>
      </c>
    </row>
    <row r="1190" spans="1:7">
      <c r="A1190" s="3">
        <v>12</v>
      </c>
      <c r="B1190" s="3">
        <v>4</v>
      </c>
      <c r="C1190" s="3">
        <v>26</v>
      </c>
      <c r="D1190" s="3">
        <v>15</v>
      </c>
      <c r="E1190" s="3">
        <v>633.033</v>
      </c>
      <c r="F1190" s="4" t="str">
        <f>HYPERLINK("http://141.218.60.56/~jnz1568/getInfo.php?workbook=12_04.xlsx&amp;sheet=A0&amp;row=1190&amp;col=6&amp;number=373000000&amp;sourceID=14","373000000")</f>
        <v>373000000</v>
      </c>
      <c r="G1190" s="4" t="str">
        <f>HYPERLINK("http://141.218.60.56/~jnz1568/getInfo.php?workbook=12_04.xlsx&amp;sheet=A0&amp;row=1190&amp;col=7&amp;number=0&amp;sourceID=14","0")</f>
        <v>0</v>
      </c>
    </row>
    <row r="1191" spans="1:7">
      <c r="A1191" s="3">
        <v>12</v>
      </c>
      <c r="B1191" s="3">
        <v>4</v>
      </c>
      <c r="C1191" s="3">
        <v>27</v>
      </c>
      <c r="D1191" s="3">
        <v>15</v>
      </c>
      <c r="E1191" s="3">
        <v>629.051</v>
      </c>
      <c r="F1191" s="4" t="str">
        <f>HYPERLINK("http://141.218.60.56/~jnz1568/getInfo.php?workbook=12_04.xlsx&amp;sheet=A0&amp;row=1191&amp;col=6&amp;number=589000000&amp;sourceID=14","589000000")</f>
        <v>589000000</v>
      </c>
      <c r="G1191" s="4" t="str">
        <f>HYPERLINK("http://141.218.60.56/~jnz1568/getInfo.php?workbook=12_04.xlsx&amp;sheet=A0&amp;row=1191&amp;col=7&amp;number=0&amp;sourceID=14","0")</f>
        <v>0</v>
      </c>
    </row>
    <row r="1192" spans="1:7">
      <c r="A1192" s="3">
        <v>12</v>
      </c>
      <c r="B1192" s="3">
        <v>4</v>
      </c>
      <c r="C1192" s="3">
        <v>28</v>
      </c>
      <c r="D1192" s="3">
        <v>15</v>
      </c>
      <c r="E1192" s="3">
        <v>619.311</v>
      </c>
      <c r="F1192" s="4" t="str">
        <f>HYPERLINK("http://141.218.60.56/~jnz1568/getInfo.php?workbook=12_04.xlsx&amp;sheet=A0&amp;row=1192&amp;col=6&amp;number=0.0154&amp;sourceID=14","0.0154")</f>
        <v>0.0154</v>
      </c>
      <c r="G1192" s="4" t="str">
        <f>HYPERLINK("http://141.218.60.56/~jnz1568/getInfo.php?workbook=12_04.xlsx&amp;sheet=A0&amp;row=1192&amp;col=7&amp;number=0&amp;sourceID=14","0")</f>
        <v>0</v>
      </c>
    </row>
    <row r="1193" spans="1:7">
      <c r="A1193" s="3">
        <v>12</v>
      </c>
      <c r="B1193" s="3">
        <v>4</v>
      </c>
      <c r="C1193" s="3">
        <v>29</v>
      </c>
      <c r="D1193" s="3">
        <v>15</v>
      </c>
      <c r="E1193" s="3">
        <v>578.437</v>
      </c>
      <c r="F1193" s="4" t="str">
        <f>HYPERLINK("http://141.218.60.56/~jnz1568/getInfo.php?workbook=12_04.xlsx&amp;sheet=A0&amp;row=1193&amp;col=6&amp;number=361000000&amp;sourceID=14","361000000")</f>
        <v>361000000</v>
      </c>
      <c r="G1193" s="4" t="str">
        <f>HYPERLINK("http://141.218.60.56/~jnz1568/getInfo.php?workbook=12_04.xlsx&amp;sheet=A0&amp;row=1193&amp;col=7&amp;number=0&amp;sourceID=14","0")</f>
        <v>0</v>
      </c>
    </row>
    <row r="1194" spans="1:7">
      <c r="A1194" s="3">
        <v>12</v>
      </c>
      <c r="B1194" s="3">
        <v>4</v>
      </c>
      <c r="C1194" s="3">
        <v>30</v>
      </c>
      <c r="D1194" s="3">
        <v>15</v>
      </c>
      <c r="E1194" s="3">
        <v>-549.442</v>
      </c>
      <c r="F1194" s="4" t="str">
        <f>HYPERLINK("http://141.218.60.56/~jnz1568/getInfo.php?workbook=12_04.xlsx&amp;sheet=A0&amp;row=1194&amp;col=6&amp;number=1020000000&amp;sourceID=14","1020000000")</f>
        <v>1020000000</v>
      </c>
      <c r="G1194" s="4" t="str">
        <f>HYPERLINK("http://141.218.60.56/~jnz1568/getInfo.php?workbook=12_04.xlsx&amp;sheet=A0&amp;row=1194&amp;col=7&amp;number=0&amp;sourceID=14","0")</f>
        <v>0</v>
      </c>
    </row>
    <row r="1195" spans="1:7">
      <c r="A1195" s="3">
        <v>12</v>
      </c>
      <c r="B1195" s="3">
        <v>4</v>
      </c>
      <c r="C1195" s="3">
        <v>31</v>
      </c>
      <c r="D1195" s="3">
        <v>15</v>
      </c>
      <c r="E1195" s="3">
        <v>551.908</v>
      </c>
      <c r="F1195" s="4" t="str">
        <f>HYPERLINK("http://141.218.60.56/~jnz1568/getInfo.php?workbook=12_04.xlsx&amp;sheet=A0&amp;row=1195&amp;col=6&amp;number=329000000&amp;sourceID=14","329000000")</f>
        <v>329000000</v>
      </c>
      <c r="G1195" s="4" t="str">
        <f>HYPERLINK("http://141.218.60.56/~jnz1568/getInfo.php?workbook=12_04.xlsx&amp;sheet=A0&amp;row=1195&amp;col=7&amp;number=0&amp;sourceID=14","0")</f>
        <v>0</v>
      </c>
    </row>
    <row r="1196" spans="1:7">
      <c r="A1196" s="3">
        <v>12</v>
      </c>
      <c r="B1196" s="3">
        <v>4</v>
      </c>
      <c r="C1196" s="3">
        <v>32</v>
      </c>
      <c r="D1196" s="3">
        <v>15</v>
      </c>
      <c r="E1196" s="3">
        <v>547.976</v>
      </c>
      <c r="F1196" s="4" t="str">
        <f>HYPERLINK("http://141.218.60.56/~jnz1568/getInfo.php?workbook=12_04.xlsx&amp;sheet=A0&amp;row=1196&amp;col=6&amp;number=300000000&amp;sourceID=14","300000000")</f>
        <v>300000000</v>
      </c>
      <c r="G1196" s="4" t="str">
        <f>HYPERLINK("http://141.218.60.56/~jnz1568/getInfo.php?workbook=12_04.xlsx&amp;sheet=A0&amp;row=1196&amp;col=7&amp;number=0&amp;sourceID=14","0")</f>
        <v>0</v>
      </c>
    </row>
    <row r="1197" spans="1:7">
      <c r="A1197" s="3">
        <v>12</v>
      </c>
      <c r="B1197" s="3">
        <v>4</v>
      </c>
      <c r="C1197" s="3">
        <v>33</v>
      </c>
      <c r="D1197" s="3">
        <v>15</v>
      </c>
      <c r="E1197" s="3">
        <v>-525.683</v>
      </c>
      <c r="F1197" s="4" t="str">
        <f>HYPERLINK("http://141.218.60.56/~jnz1568/getInfo.php?workbook=12_04.xlsx&amp;sheet=A0&amp;row=1197&amp;col=6&amp;number=239&amp;sourceID=14","239")</f>
        <v>239</v>
      </c>
      <c r="G1197" s="4" t="str">
        <f>HYPERLINK("http://141.218.60.56/~jnz1568/getInfo.php?workbook=12_04.xlsx&amp;sheet=A0&amp;row=1197&amp;col=7&amp;number=0&amp;sourceID=14","0")</f>
        <v>0</v>
      </c>
    </row>
    <row r="1198" spans="1:7">
      <c r="A1198" s="3">
        <v>12</v>
      </c>
      <c r="B1198" s="3">
        <v>4</v>
      </c>
      <c r="C1198" s="3">
        <v>34</v>
      </c>
      <c r="D1198" s="3">
        <v>15</v>
      </c>
      <c r="E1198" s="3">
        <v>-520.089</v>
      </c>
      <c r="F1198" s="4" t="str">
        <f>HYPERLINK("http://141.218.60.56/~jnz1568/getInfo.php?workbook=12_04.xlsx&amp;sheet=A0&amp;row=1198&amp;col=6&amp;number=357&amp;sourceID=14","357")</f>
        <v>357</v>
      </c>
      <c r="G1198" s="4" t="str">
        <f>HYPERLINK("http://141.218.60.56/~jnz1568/getInfo.php?workbook=12_04.xlsx&amp;sheet=A0&amp;row=1198&amp;col=7&amp;number=0&amp;sourceID=14","0")</f>
        <v>0</v>
      </c>
    </row>
    <row r="1199" spans="1:7">
      <c r="A1199" s="3">
        <v>12</v>
      </c>
      <c r="B1199" s="3">
        <v>4</v>
      </c>
      <c r="C1199" s="3">
        <v>35</v>
      </c>
      <c r="D1199" s="3">
        <v>15</v>
      </c>
      <c r="E1199" s="3">
        <v>520.455</v>
      </c>
      <c r="F1199" s="4" t="str">
        <f>HYPERLINK("http://141.218.60.56/~jnz1568/getInfo.php?workbook=12_04.xlsx&amp;sheet=A0&amp;row=1199&amp;col=6&amp;number=12.4&amp;sourceID=14","12.4")</f>
        <v>12.4</v>
      </c>
      <c r="G1199" s="4" t="str">
        <f>HYPERLINK("http://141.218.60.56/~jnz1568/getInfo.php?workbook=12_04.xlsx&amp;sheet=A0&amp;row=1199&amp;col=7&amp;number=0&amp;sourceID=14","0")</f>
        <v>0</v>
      </c>
    </row>
    <row r="1200" spans="1:7">
      <c r="A1200" s="3">
        <v>12</v>
      </c>
      <c r="B1200" s="3">
        <v>4</v>
      </c>
      <c r="C1200" s="3">
        <v>36</v>
      </c>
      <c r="D1200" s="3">
        <v>15</v>
      </c>
      <c r="E1200" s="3">
        <v>-514.696</v>
      </c>
      <c r="F1200" s="4" t="str">
        <f>HYPERLINK("http://141.218.60.56/~jnz1568/getInfo.php?workbook=12_04.xlsx&amp;sheet=A0&amp;row=1200&amp;col=6&amp;number=6.93e-08&amp;sourceID=14","6.93e-08")</f>
        <v>6.93e-08</v>
      </c>
      <c r="G1200" s="4" t="str">
        <f>HYPERLINK("http://141.218.60.56/~jnz1568/getInfo.php?workbook=12_04.xlsx&amp;sheet=A0&amp;row=1200&amp;col=7&amp;number=0&amp;sourceID=14","0")</f>
        <v>0</v>
      </c>
    </row>
    <row r="1201" spans="1:7">
      <c r="A1201" s="3">
        <v>12</v>
      </c>
      <c r="B1201" s="3">
        <v>4</v>
      </c>
      <c r="C1201" s="3">
        <v>37</v>
      </c>
      <c r="D1201" s="3">
        <v>15</v>
      </c>
      <c r="E1201" s="3">
        <v>504.109</v>
      </c>
      <c r="F1201" s="4" t="str">
        <f>HYPERLINK("http://141.218.60.56/~jnz1568/getInfo.php?workbook=12_04.xlsx&amp;sheet=A0&amp;row=1201&amp;col=6&amp;number=5110000&amp;sourceID=14","5110000")</f>
        <v>5110000</v>
      </c>
      <c r="G1201" s="4" t="str">
        <f>HYPERLINK("http://141.218.60.56/~jnz1568/getInfo.php?workbook=12_04.xlsx&amp;sheet=A0&amp;row=1201&amp;col=7&amp;number=0&amp;sourceID=14","0")</f>
        <v>0</v>
      </c>
    </row>
    <row r="1202" spans="1:7">
      <c r="A1202" s="3">
        <v>12</v>
      </c>
      <c r="B1202" s="3">
        <v>4</v>
      </c>
      <c r="C1202" s="3">
        <v>38</v>
      </c>
      <c r="D1202" s="3">
        <v>15</v>
      </c>
      <c r="E1202" s="3">
        <v>476.6</v>
      </c>
      <c r="F1202" s="4" t="str">
        <f>HYPERLINK("http://141.218.60.56/~jnz1568/getInfo.php?workbook=12_04.xlsx&amp;sheet=A0&amp;row=1202&amp;col=6&amp;number=3.1&amp;sourceID=14","3.1")</f>
        <v>3.1</v>
      </c>
      <c r="G1202" s="4" t="str">
        <f>HYPERLINK("http://141.218.60.56/~jnz1568/getInfo.php?workbook=12_04.xlsx&amp;sheet=A0&amp;row=1202&amp;col=7&amp;number=0&amp;sourceID=14","0")</f>
        <v>0</v>
      </c>
    </row>
    <row r="1203" spans="1:7">
      <c r="A1203" s="3">
        <v>12</v>
      </c>
      <c r="B1203" s="3">
        <v>4</v>
      </c>
      <c r="C1203" s="3">
        <v>39</v>
      </c>
      <c r="D1203" s="3">
        <v>15</v>
      </c>
      <c r="E1203" s="3">
        <v>475.376</v>
      </c>
      <c r="F1203" s="4" t="str">
        <f>HYPERLINK("http://141.218.60.56/~jnz1568/getInfo.php?workbook=12_04.xlsx&amp;sheet=A0&amp;row=1203&amp;col=6&amp;number=1.23&amp;sourceID=14","1.23")</f>
        <v>1.23</v>
      </c>
      <c r="G1203" s="4" t="str">
        <f>HYPERLINK("http://141.218.60.56/~jnz1568/getInfo.php?workbook=12_04.xlsx&amp;sheet=A0&amp;row=1203&amp;col=7&amp;number=0&amp;sourceID=14","0")</f>
        <v>0</v>
      </c>
    </row>
    <row r="1204" spans="1:7">
      <c r="A1204" s="3">
        <v>12</v>
      </c>
      <c r="B1204" s="3">
        <v>4</v>
      </c>
      <c r="C1204" s="3">
        <v>40</v>
      </c>
      <c r="D1204" s="3">
        <v>15</v>
      </c>
      <c r="E1204" s="3">
        <v>473.127</v>
      </c>
      <c r="F1204" s="4" t="str">
        <f>HYPERLINK("http://141.218.60.56/~jnz1568/getInfo.php?workbook=12_04.xlsx&amp;sheet=A0&amp;row=1204&amp;col=6&amp;number=3.48&amp;sourceID=14","3.48")</f>
        <v>3.48</v>
      </c>
      <c r="G1204" s="4" t="str">
        <f>HYPERLINK("http://141.218.60.56/~jnz1568/getInfo.php?workbook=12_04.xlsx&amp;sheet=A0&amp;row=1204&amp;col=7&amp;number=0&amp;sourceID=14","0")</f>
        <v>0</v>
      </c>
    </row>
    <row r="1205" spans="1:7">
      <c r="A1205" s="3">
        <v>12</v>
      </c>
      <c r="B1205" s="3">
        <v>4</v>
      </c>
      <c r="C1205" s="3">
        <v>41</v>
      </c>
      <c r="D1205" s="3">
        <v>15</v>
      </c>
      <c r="E1205" s="3">
        <v>459.306</v>
      </c>
      <c r="F1205" s="4" t="str">
        <f>HYPERLINK("http://141.218.60.56/~jnz1568/getInfo.php?workbook=12_04.xlsx&amp;sheet=A0&amp;row=1205&amp;col=6&amp;number=77&amp;sourceID=14","77")</f>
        <v>77</v>
      </c>
      <c r="G1205" s="4" t="str">
        <f>HYPERLINK("http://141.218.60.56/~jnz1568/getInfo.php?workbook=12_04.xlsx&amp;sheet=A0&amp;row=1205&amp;col=7&amp;number=0&amp;sourceID=14","0")</f>
        <v>0</v>
      </c>
    </row>
    <row r="1206" spans="1:7">
      <c r="A1206" s="3">
        <v>12</v>
      </c>
      <c r="B1206" s="3">
        <v>4</v>
      </c>
      <c r="C1206" s="3">
        <v>42</v>
      </c>
      <c r="D1206" s="3">
        <v>15</v>
      </c>
      <c r="E1206" s="3">
        <v>457.227</v>
      </c>
      <c r="F1206" s="4" t="str">
        <f>HYPERLINK("http://141.218.60.56/~jnz1568/getInfo.php?workbook=12_04.xlsx&amp;sheet=A0&amp;row=1206&amp;col=6&amp;number=37.7&amp;sourceID=14","37.7")</f>
        <v>37.7</v>
      </c>
      <c r="G1206" s="4" t="str">
        <f>HYPERLINK("http://141.218.60.56/~jnz1568/getInfo.php?workbook=12_04.xlsx&amp;sheet=A0&amp;row=1206&amp;col=7&amp;number=0&amp;sourceID=14","0")</f>
        <v>0</v>
      </c>
    </row>
    <row r="1207" spans="1:7">
      <c r="A1207" s="3">
        <v>12</v>
      </c>
      <c r="B1207" s="3">
        <v>4</v>
      </c>
      <c r="C1207" s="3">
        <v>43</v>
      </c>
      <c r="D1207" s="3">
        <v>15</v>
      </c>
      <c r="E1207" s="3">
        <v>456.143</v>
      </c>
      <c r="F1207" s="4" t="str">
        <f>HYPERLINK("http://141.218.60.56/~jnz1568/getInfo.php?workbook=12_04.xlsx&amp;sheet=A0&amp;row=1207&amp;col=6&amp;number=0.0476&amp;sourceID=14","0.0476")</f>
        <v>0.0476</v>
      </c>
      <c r="G1207" s="4" t="str">
        <f>HYPERLINK("http://141.218.60.56/~jnz1568/getInfo.php?workbook=12_04.xlsx&amp;sheet=A0&amp;row=1207&amp;col=7&amp;number=0&amp;sourceID=14","0")</f>
        <v>0</v>
      </c>
    </row>
    <row r="1208" spans="1:7">
      <c r="A1208" s="3">
        <v>12</v>
      </c>
      <c r="B1208" s="3">
        <v>4</v>
      </c>
      <c r="C1208" s="3">
        <v>44</v>
      </c>
      <c r="D1208" s="3">
        <v>15</v>
      </c>
      <c r="E1208" s="3">
        <v>-423.753</v>
      </c>
      <c r="F1208" s="4" t="str">
        <f>HYPERLINK("http://141.218.60.56/~jnz1568/getInfo.php?workbook=12_04.xlsx&amp;sheet=A0&amp;row=1208&amp;col=6&amp;number=48000000&amp;sourceID=14","48000000")</f>
        <v>48000000</v>
      </c>
      <c r="G1208" s="4" t="str">
        <f>HYPERLINK("http://141.218.60.56/~jnz1568/getInfo.php?workbook=12_04.xlsx&amp;sheet=A0&amp;row=1208&amp;col=7&amp;number=0&amp;sourceID=14","0")</f>
        <v>0</v>
      </c>
    </row>
    <row r="1209" spans="1:7">
      <c r="A1209" s="3">
        <v>12</v>
      </c>
      <c r="B1209" s="3">
        <v>4</v>
      </c>
      <c r="C1209" s="3">
        <v>45</v>
      </c>
      <c r="D1209" s="3">
        <v>15</v>
      </c>
      <c r="E1209" s="3">
        <v>421.604</v>
      </c>
      <c r="F1209" s="4" t="str">
        <f>HYPERLINK("http://141.218.60.56/~jnz1568/getInfo.php?workbook=12_04.xlsx&amp;sheet=A0&amp;row=1209&amp;col=6&amp;number=241&amp;sourceID=14","241")</f>
        <v>241</v>
      </c>
      <c r="G1209" s="4" t="str">
        <f>HYPERLINK("http://141.218.60.56/~jnz1568/getInfo.php?workbook=12_04.xlsx&amp;sheet=A0&amp;row=1209&amp;col=7&amp;number=0&amp;sourceID=14","0")</f>
        <v>0</v>
      </c>
    </row>
    <row r="1210" spans="1:7">
      <c r="A1210" s="3">
        <v>12</v>
      </c>
      <c r="B1210" s="3">
        <v>4</v>
      </c>
      <c r="C1210" s="3">
        <v>46</v>
      </c>
      <c r="D1210" s="3">
        <v>15</v>
      </c>
      <c r="E1210" s="3">
        <v>409.736</v>
      </c>
      <c r="F1210" s="4" t="str">
        <f>HYPERLINK("http://141.218.60.56/~jnz1568/getInfo.php?workbook=12_04.xlsx&amp;sheet=A0&amp;row=1210&amp;col=6&amp;number=47.2&amp;sourceID=14","47.2")</f>
        <v>47.2</v>
      </c>
      <c r="G1210" s="4" t="str">
        <f>HYPERLINK("http://141.218.60.56/~jnz1568/getInfo.php?workbook=12_04.xlsx&amp;sheet=A0&amp;row=1210&amp;col=7&amp;number=0&amp;sourceID=14","0")</f>
        <v>0</v>
      </c>
    </row>
    <row r="1211" spans="1:7">
      <c r="A1211" s="3">
        <v>12</v>
      </c>
      <c r="B1211" s="3">
        <v>4</v>
      </c>
      <c r="C1211" s="3">
        <v>47</v>
      </c>
      <c r="D1211" s="3">
        <v>15</v>
      </c>
      <c r="E1211" s="3">
        <v>-225.028</v>
      </c>
      <c r="F1211" s="4" t="str">
        <f>HYPERLINK("http://141.218.60.56/~jnz1568/getInfo.php?workbook=12_04.xlsx&amp;sheet=A0&amp;row=1211&amp;col=6&amp;number=6580000000&amp;sourceID=14","6580000000")</f>
        <v>6580000000</v>
      </c>
      <c r="G1211" s="4" t="str">
        <f>HYPERLINK("http://141.218.60.56/~jnz1568/getInfo.php?workbook=12_04.xlsx&amp;sheet=A0&amp;row=1211&amp;col=7&amp;number=0&amp;sourceID=14","0")</f>
        <v>0</v>
      </c>
    </row>
    <row r="1212" spans="1:7">
      <c r="A1212" s="3">
        <v>12</v>
      </c>
      <c r="B1212" s="3">
        <v>4</v>
      </c>
      <c r="C1212" s="3">
        <v>48</v>
      </c>
      <c r="D1212" s="3">
        <v>15</v>
      </c>
      <c r="E1212" s="3">
        <v>-220.041</v>
      </c>
      <c r="F1212" s="4" t="str">
        <f>HYPERLINK("http://141.218.60.56/~jnz1568/getInfo.php?workbook=12_04.xlsx&amp;sheet=A0&amp;row=1212&amp;col=6&amp;number=439000000&amp;sourceID=14","439000000")</f>
        <v>439000000</v>
      </c>
      <c r="G1212" s="4" t="str">
        <f>HYPERLINK("http://141.218.60.56/~jnz1568/getInfo.php?workbook=12_04.xlsx&amp;sheet=A0&amp;row=1212&amp;col=7&amp;number=0&amp;sourceID=14","0")</f>
        <v>0</v>
      </c>
    </row>
    <row r="1213" spans="1:7">
      <c r="A1213" s="3">
        <v>12</v>
      </c>
      <c r="B1213" s="3">
        <v>4</v>
      </c>
      <c r="C1213" s="3">
        <v>49</v>
      </c>
      <c r="D1213" s="3">
        <v>15</v>
      </c>
      <c r="E1213" s="3">
        <v>-213.226</v>
      </c>
      <c r="F1213" s="4" t="str">
        <f>HYPERLINK("http://141.218.60.56/~jnz1568/getInfo.php?workbook=12_04.xlsx&amp;sheet=A0&amp;row=1213&amp;col=6&amp;number=1.46&amp;sourceID=14","1.46")</f>
        <v>1.46</v>
      </c>
      <c r="G1213" s="4" t="str">
        <f>HYPERLINK("http://141.218.60.56/~jnz1568/getInfo.php?workbook=12_04.xlsx&amp;sheet=A0&amp;row=1213&amp;col=7&amp;number=0&amp;sourceID=14","0")</f>
        <v>0</v>
      </c>
    </row>
    <row r="1214" spans="1:7">
      <c r="A1214" s="3">
        <v>12</v>
      </c>
      <c r="B1214" s="3">
        <v>4</v>
      </c>
      <c r="C1214" s="3">
        <v>50</v>
      </c>
      <c r="D1214" s="3">
        <v>15</v>
      </c>
      <c r="E1214" s="3">
        <v>-213.173</v>
      </c>
      <c r="F1214" s="4" t="str">
        <f>HYPERLINK("http://141.218.60.56/~jnz1568/getInfo.php?workbook=12_04.xlsx&amp;sheet=A0&amp;row=1214&amp;col=6&amp;number=368000&amp;sourceID=14","368000")</f>
        <v>368000</v>
      </c>
      <c r="G1214" s="4" t="str">
        <f>HYPERLINK("http://141.218.60.56/~jnz1568/getInfo.php?workbook=12_04.xlsx&amp;sheet=A0&amp;row=1214&amp;col=7&amp;number=0&amp;sourceID=14","0")</f>
        <v>0</v>
      </c>
    </row>
    <row r="1215" spans="1:7">
      <c r="A1215" s="3">
        <v>12</v>
      </c>
      <c r="B1215" s="3">
        <v>4</v>
      </c>
      <c r="C1215" s="3">
        <v>51</v>
      </c>
      <c r="D1215" s="3">
        <v>15</v>
      </c>
      <c r="E1215" s="3">
        <v>-213.054</v>
      </c>
      <c r="F1215" s="4" t="str">
        <f>HYPERLINK("http://141.218.60.56/~jnz1568/getInfo.php?workbook=12_04.xlsx&amp;sheet=A0&amp;row=1215&amp;col=6&amp;number=640000&amp;sourceID=14","640000")</f>
        <v>640000</v>
      </c>
      <c r="G1215" s="4" t="str">
        <f>HYPERLINK("http://141.218.60.56/~jnz1568/getInfo.php?workbook=12_04.xlsx&amp;sheet=A0&amp;row=1215&amp;col=7&amp;number=0&amp;sourceID=14","0")</f>
        <v>0</v>
      </c>
    </row>
    <row r="1216" spans="1:7">
      <c r="A1216" s="3">
        <v>12</v>
      </c>
      <c r="B1216" s="3">
        <v>4</v>
      </c>
      <c r="C1216" s="3">
        <v>52</v>
      </c>
      <c r="D1216" s="3">
        <v>15</v>
      </c>
      <c r="E1216" s="3">
        <v>212.233</v>
      </c>
      <c r="F1216" s="4" t="str">
        <f>HYPERLINK("http://141.218.60.56/~jnz1568/getInfo.php?workbook=12_04.xlsx&amp;sheet=A0&amp;row=1216&amp;col=6&amp;number=22500&amp;sourceID=14","22500")</f>
        <v>22500</v>
      </c>
      <c r="G1216" s="4" t="str">
        <f>HYPERLINK("http://141.218.60.56/~jnz1568/getInfo.php?workbook=12_04.xlsx&amp;sheet=A0&amp;row=1216&amp;col=7&amp;number=0&amp;sourceID=14","0")</f>
        <v>0</v>
      </c>
    </row>
    <row r="1217" spans="1:7">
      <c r="A1217" s="3">
        <v>12</v>
      </c>
      <c r="B1217" s="3">
        <v>4</v>
      </c>
      <c r="C1217" s="3">
        <v>53</v>
      </c>
      <c r="D1217" s="3">
        <v>15</v>
      </c>
      <c r="E1217" s="3">
        <v>207.267</v>
      </c>
      <c r="F1217" s="4" t="str">
        <f>HYPERLINK("http://141.218.60.56/~jnz1568/getInfo.php?workbook=12_04.xlsx&amp;sheet=A0&amp;row=1217&amp;col=6&amp;number=18100000000&amp;sourceID=14","18100000000")</f>
        <v>18100000000</v>
      </c>
      <c r="G1217" s="4" t="str">
        <f>HYPERLINK("http://141.218.60.56/~jnz1568/getInfo.php?workbook=12_04.xlsx&amp;sheet=A0&amp;row=1217&amp;col=7&amp;number=0&amp;sourceID=14","0")</f>
        <v>0</v>
      </c>
    </row>
    <row r="1218" spans="1:7">
      <c r="A1218" s="3">
        <v>12</v>
      </c>
      <c r="B1218" s="3">
        <v>4</v>
      </c>
      <c r="C1218" s="3">
        <v>54</v>
      </c>
      <c r="D1218" s="3">
        <v>15</v>
      </c>
      <c r="E1218" s="3">
        <v>207.267</v>
      </c>
      <c r="F1218" s="4" t="str">
        <f>HYPERLINK("http://141.218.60.56/~jnz1568/getInfo.php?workbook=12_04.xlsx&amp;sheet=A0&amp;row=1218&amp;col=6&amp;number=32500000000&amp;sourceID=14","32500000000")</f>
        <v>32500000000</v>
      </c>
      <c r="G1218" s="4" t="str">
        <f>HYPERLINK("http://141.218.60.56/~jnz1568/getInfo.php?workbook=12_04.xlsx&amp;sheet=A0&amp;row=1218&amp;col=7&amp;number=0&amp;sourceID=14","0")</f>
        <v>0</v>
      </c>
    </row>
    <row r="1219" spans="1:7">
      <c r="A1219" s="3">
        <v>12</v>
      </c>
      <c r="B1219" s="3">
        <v>4</v>
      </c>
      <c r="C1219" s="3">
        <v>55</v>
      </c>
      <c r="D1219" s="3">
        <v>15</v>
      </c>
      <c r="E1219" s="3">
        <v>207.233</v>
      </c>
      <c r="F1219" s="4" t="str">
        <f>HYPERLINK("http://141.218.60.56/~jnz1568/getInfo.php?workbook=12_04.xlsx&amp;sheet=A0&amp;row=1219&amp;col=6&amp;number=41.1&amp;sourceID=14","41.1")</f>
        <v>41.1</v>
      </c>
      <c r="G1219" s="4" t="str">
        <f>HYPERLINK("http://141.218.60.56/~jnz1568/getInfo.php?workbook=12_04.xlsx&amp;sheet=A0&amp;row=1219&amp;col=7&amp;number=0&amp;sourceID=14","0")</f>
        <v>0</v>
      </c>
    </row>
    <row r="1220" spans="1:7">
      <c r="A1220" s="3">
        <v>12</v>
      </c>
      <c r="B1220" s="3">
        <v>4</v>
      </c>
      <c r="C1220" s="3">
        <v>56</v>
      </c>
      <c r="D1220" s="3">
        <v>15</v>
      </c>
      <c r="E1220" s="3">
        <v>203.92</v>
      </c>
      <c r="F1220" s="4" t="str">
        <f>HYPERLINK("http://141.218.60.56/~jnz1568/getInfo.php?workbook=12_04.xlsx&amp;sheet=A0&amp;row=1220&amp;col=6&amp;number=1010000000&amp;sourceID=14","1010000000")</f>
        <v>1010000000</v>
      </c>
      <c r="G1220" s="4" t="str">
        <f>HYPERLINK("http://141.218.60.56/~jnz1568/getInfo.php?workbook=12_04.xlsx&amp;sheet=A0&amp;row=1220&amp;col=7&amp;number=0&amp;sourceID=14","0")</f>
        <v>0</v>
      </c>
    </row>
    <row r="1221" spans="1:7">
      <c r="A1221" s="3">
        <v>12</v>
      </c>
      <c r="B1221" s="3">
        <v>4</v>
      </c>
      <c r="C1221" s="3">
        <v>57</v>
      </c>
      <c r="D1221" s="3">
        <v>15</v>
      </c>
      <c r="E1221" s="3">
        <v>-203.242</v>
      </c>
      <c r="F1221" s="4" t="str">
        <f>HYPERLINK("http://141.218.60.56/~jnz1568/getInfo.php?workbook=12_04.xlsx&amp;sheet=A0&amp;row=1221&amp;col=6&amp;number=2030000&amp;sourceID=14","2030000")</f>
        <v>2030000</v>
      </c>
      <c r="G1221" s="4" t="str">
        <f>HYPERLINK("http://141.218.60.56/~jnz1568/getInfo.php?workbook=12_04.xlsx&amp;sheet=A0&amp;row=1221&amp;col=7&amp;number=0&amp;sourceID=14","0")</f>
        <v>0</v>
      </c>
    </row>
    <row r="1222" spans="1:7">
      <c r="A1222" s="3">
        <v>12</v>
      </c>
      <c r="B1222" s="3">
        <v>4</v>
      </c>
      <c r="C1222" s="3">
        <v>58</v>
      </c>
      <c r="D1222" s="3">
        <v>15</v>
      </c>
      <c r="E1222" s="3">
        <v>-203.23</v>
      </c>
      <c r="F1222" s="4" t="str">
        <f>HYPERLINK("http://141.218.60.56/~jnz1568/getInfo.php?workbook=12_04.xlsx&amp;sheet=A0&amp;row=1222&amp;col=6&amp;number=2890000&amp;sourceID=14","2890000")</f>
        <v>2890000</v>
      </c>
      <c r="G1222" s="4" t="str">
        <f>HYPERLINK("http://141.218.60.56/~jnz1568/getInfo.php?workbook=12_04.xlsx&amp;sheet=A0&amp;row=1222&amp;col=7&amp;number=0&amp;sourceID=14","0")</f>
        <v>0</v>
      </c>
    </row>
    <row r="1223" spans="1:7">
      <c r="A1223" s="3">
        <v>12</v>
      </c>
      <c r="B1223" s="3">
        <v>4</v>
      </c>
      <c r="C1223" s="3">
        <v>59</v>
      </c>
      <c r="D1223" s="3">
        <v>15</v>
      </c>
      <c r="E1223" s="3">
        <v>-203.214</v>
      </c>
      <c r="F1223" s="4" t="str">
        <f>HYPERLINK("http://141.218.60.56/~jnz1568/getInfo.php?workbook=12_04.xlsx&amp;sheet=A0&amp;row=1223&amp;col=6&amp;number=0.00218&amp;sourceID=14","0.00218")</f>
        <v>0.00218</v>
      </c>
      <c r="G1223" s="4" t="str">
        <f>HYPERLINK("http://141.218.60.56/~jnz1568/getInfo.php?workbook=12_04.xlsx&amp;sheet=A0&amp;row=1223&amp;col=7&amp;number=0&amp;sourceID=14","0")</f>
        <v>0</v>
      </c>
    </row>
    <row r="1224" spans="1:7">
      <c r="A1224" s="3">
        <v>12</v>
      </c>
      <c r="B1224" s="3">
        <v>4</v>
      </c>
      <c r="C1224" s="3">
        <v>60</v>
      </c>
      <c r="D1224" s="3">
        <v>15</v>
      </c>
      <c r="E1224" s="3">
        <v>-202.177</v>
      </c>
      <c r="F1224" s="4" t="str">
        <f>HYPERLINK("http://141.218.60.56/~jnz1568/getInfo.php?workbook=12_04.xlsx&amp;sheet=A0&amp;row=1224&amp;col=6&amp;number=105000&amp;sourceID=14","105000")</f>
        <v>105000</v>
      </c>
      <c r="G1224" s="4" t="str">
        <f>HYPERLINK("http://141.218.60.56/~jnz1568/getInfo.php?workbook=12_04.xlsx&amp;sheet=A0&amp;row=1224&amp;col=7&amp;number=0&amp;sourceID=14","0")</f>
        <v>0</v>
      </c>
    </row>
    <row r="1225" spans="1:7">
      <c r="A1225" s="3">
        <v>12</v>
      </c>
      <c r="B1225" s="3">
        <v>4</v>
      </c>
      <c r="C1225" s="3">
        <v>61</v>
      </c>
      <c r="D1225" s="3">
        <v>15</v>
      </c>
      <c r="E1225" s="3">
        <v>-163.847</v>
      </c>
      <c r="F1225" s="4" t="str">
        <f>HYPERLINK("http://141.218.60.56/~jnz1568/getInfo.php?workbook=12_04.xlsx&amp;sheet=A0&amp;row=1225&amp;col=6&amp;number=0.00533&amp;sourceID=14","0.00533")</f>
        <v>0.00533</v>
      </c>
      <c r="G1225" s="4" t="str">
        <f>HYPERLINK("http://141.218.60.56/~jnz1568/getInfo.php?workbook=12_04.xlsx&amp;sheet=A0&amp;row=1225&amp;col=7&amp;number=0&amp;sourceID=14","0")</f>
        <v>0</v>
      </c>
    </row>
    <row r="1226" spans="1:7">
      <c r="A1226" s="3">
        <v>12</v>
      </c>
      <c r="B1226" s="3">
        <v>4</v>
      </c>
      <c r="C1226" s="3">
        <v>62</v>
      </c>
      <c r="D1226" s="3">
        <v>15</v>
      </c>
      <c r="E1226" s="3">
        <v>-163.601</v>
      </c>
      <c r="F1226" s="4" t="str">
        <f>HYPERLINK("http://141.218.60.56/~jnz1568/getInfo.php?workbook=12_04.xlsx&amp;sheet=A0&amp;row=1226&amp;col=6&amp;number=137&amp;sourceID=14","137")</f>
        <v>137</v>
      </c>
      <c r="G1226" s="4" t="str">
        <f>HYPERLINK("http://141.218.60.56/~jnz1568/getInfo.php?workbook=12_04.xlsx&amp;sheet=A0&amp;row=1226&amp;col=7&amp;number=0&amp;sourceID=14","0")</f>
        <v>0</v>
      </c>
    </row>
    <row r="1227" spans="1:7">
      <c r="A1227" s="3">
        <v>12</v>
      </c>
      <c r="B1227" s="3">
        <v>4</v>
      </c>
      <c r="C1227" s="3">
        <v>63</v>
      </c>
      <c r="D1227" s="3">
        <v>15</v>
      </c>
      <c r="E1227" s="3">
        <v>-162.807</v>
      </c>
      <c r="F1227" s="4" t="str">
        <f>HYPERLINK("http://141.218.60.56/~jnz1568/getInfo.php?workbook=12_04.xlsx&amp;sheet=A0&amp;row=1227&amp;col=6&amp;number=195&amp;sourceID=14","195")</f>
        <v>195</v>
      </c>
      <c r="G1227" s="4" t="str">
        <f>HYPERLINK("http://141.218.60.56/~jnz1568/getInfo.php?workbook=12_04.xlsx&amp;sheet=A0&amp;row=1227&amp;col=7&amp;number=0&amp;sourceID=14","0")</f>
        <v>0</v>
      </c>
    </row>
    <row r="1228" spans="1:7">
      <c r="A1228" s="3">
        <v>12</v>
      </c>
      <c r="B1228" s="3">
        <v>4</v>
      </c>
      <c r="C1228" s="3">
        <v>64</v>
      </c>
      <c r="D1228" s="3">
        <v>15</v>
      </c>
      <c r="E1228" s="3">
        <v>-161.17</v>
      </c>
      <c r="F1228" s="4" t="str">
        <f>HYPERLINK("http://141.218.60.56/~jnz1568/getInfo.php?workbook=12_04.xlsx&amp;sheet=A0&amp;row=1228&amp;col=6&amp;number=0.096&amp;sourceID=14","0.096")</f>
        <v>0.096</v>
      </c>
      <c r="G1228" s="4" t="str">
        <f>HYPERLINK("http://141.218.60.56/~jnz1568/getInfo.php?workbook=12_04.xlsx&amp;sheet=A0&amp;row=1228&amp;col=7&amp;number=0&amp;sourceID=14","0")</f>
        <v>0</v>
      </c>
    </row>
    <row r="1229" spans="1:7">
      <c r="A1229" s="3">
        <v>12</v>
      </c>
      <c r="B1229" s="3">
        <v>4</v>
      </c>
      <c r="C1229" s="3">
        <v>65</v>
      </c>
      <c r="D1229" s="3">
        <v>15</v>
      </c>
      <c r="E1229" s="3">
        <v>-159.238</v>
      </c>
      <c r="F1229" s="4" t="str">
        <f>HYPERLINK("http://141.218.60.56/~jnz1568/getInfo.php?workbook=12_04.xlsx&amp;sheet=A0&amp;row=1229&amp;col=6&amp;number=28300000&amp;sourceID=14","28300000")</f>
        <v>28300000</v>
      </c>
      <c r="G1229" s="4" t="str">
        <f>HYPERLINK("http://141.218.60.56/~jnz1568/getInfo.php?workbook=12_04.xlsx&amp;sheet=A0&amp;row=1229&amp;col=7&amp;number=0&amp;sourceID=14","0")</f>
        <v>0</v>
      </c>
    </row>
    <row r="1230" spans="1:7">
      <c r="A1230" s="3">
        <v>12</v>
      </c>
      <c r="B1230" s="3">
        <v>4</v>
      </c>
      <c r="C1230" s="3">
        <v>66</v>
      </c>
      <c r="D1230" s="3">
        <v>15</v>
      </c>
      <c r="E1230" s="3">
        <v>-158.594</v>
      </c>
      <c r="F1230" s="4" t="str">
        <f>HYPERLINK("http://141.218.60.56/~jnz1568/getInfo.php?workbook=12_04.xlsx&amp;sheet=A0&amp;row=1230&amp;col=6&amp;number=5510000&amp;sourceID=14","5510000")</f>
        <v>5510000</v>
      </c>
      <c r="G1230" s="4" t="str">
        <f>HYPERLINK("http://141.218.60.56/~jnz1568/getInfo.php?workbook=12_04.xlsx&amp;sheet=A0&amp;row=1230&amp;col=7&amp;number=0&amp;sourceID=14","0")</f>
        <v>0</v>
      </c>
    </row>
    <row r="1231" spans="1:7">
      <c r="A1231" s="3">
        <v>12</v>
      </c>
      <c r="B1231" s="3">
        <v>4</v>
      </c>
      <c r="C1231" s="3">
        <v>67</v>
      </c>
      <c r="D1231" s="3">
        <v>15</v>
      </c>
      <c r="E1231" s="3">
        <v>-158.48</v>
      </c>
      <c r="F1231" s="4" t="str">
        <f>HYPERLINK("http://141.218.60.56/~jnz1568/getInfo.php?workbook=12_04.xlsx&amp;sheet=A0&amp;row=1231&amp;col=6&amp;number=6290000&amp;sourceID=14","6290000")</f>
        <v>6290000</v>
      </c>
      <c r="G1231" s="4" t="str">
        <f>HYPERLINK("http://141.218.60.56/~jnz1568/getInfo.php?workbook=12_04.xlsx&amp;sheet=A0&amp;row=1231&amp;col=7&amp;number=0&amp;sourceID=14","0")</f>
        <v>0</v>
      </c>
    </row>
    <row r="1232" spans="1:7">
      <c r="A1232" s="3">
        <v>12</v>
      </c>
      <c r="B1232" s="3">
        <v>4</v>
      </c>
      <c r="C1232" s="3">
        <v>68</v>
      </c>
      <c r="D1232" s="3">
        <v>15</v>
      </c>
      <c r="E1232" s="3">
        <v>158.171</v>
      </c>
      <c r="F1232" s="4" t="str">
        <f>HYPERLINK("http://141.218.60.56/~jnz1568/getInfo.php?workbook=12_04.xlsx&amp;sheet=A0&amp;row=1232&amp;col=6&amp;number=0.184&amp;sourceID=14","0.184")</f>
        <v>0.184</v>
      </c>
      <c r="G1232" s="4" t="str">
        <f>HYPERLINK("http://141.218.60.56/~jnz1568/getInfo.php?workbook=12_04.xlsx&amp;sheet=A0&amp;row=1232&amp;col=7&amp;number=0&amp;sourceID=14","0")</f>
        <v>0</v>
      </c>
    </row>
    <row r="1233" spans="1:7">
      <c r="A1233" s="3">
        <v>12</v>
      </c>
      <c r="B1233" s="3">
        <v>4</v>
      </c>
      <c r="C1233" s="3">
        <v>69</v>
      </c>
      <c r="D1233" s="3">
        <v>15</v>
      </c>
      <c r="E1233" s="3">
        <v>-157.151</v>
      </c>
      <c r="F1233" s="4" t="str">
        <f>HYPERLINK("http://141.218.60.56/~jnz1568/getInfo.php?workbook=12_04.xlsx&amp;sheet=A0&amp;row=1233&amp;col=6&amp;number=80700000&amp;sourceID=14","80700000")</f>
        <v>80700000</v>
      </c>
      <c r="G1233" s="4" t="str">
        <f>HYPERLINK("http://141.218.60.56/~jnz1568/getInfo.php?workbook=12_04.xlsx&amp;sheet=A0&amp;row=1233&amp;col=7&amp;number=0&amp;sourceID=14","0")</f>
        <v>0</v>
      </c>
    </row>
    <row r="1234" spans="1:7">
      <c r="A1234" s="3">
        <v>12</v>
      </c>
      <c r="B1234" s="3">
        <v>4</v>
      </c>
      <c r="C1234" s="3">
        <v>70</v>
      </c>
      <c r="D1234" s="3">
        <v>15</v>
      </c>
      <c r="E1234" s="3">
        <v>-156.995</v>
      </c>
      <c r="F1234" s="4" t="str">
        <f>HYPERLINK("http://141.218.60.56/~jnz1568/getInfo.php?workbook=12_04.xlsx&amp;sheet=A0&amp;row=1234&amp;col=6&amp;number=861000&amp;sourceID=14","861000")</f>
        <v>861000</v>
      </c>
      <c r="G1234" s="4" t="str">
        <f>HYPERLINK("http://141.218.60.56/~jnz1568/getInfo.php?workbook=12_04.xlsx&amp;sheet=A0&amp;row=1234&amp;col=7&amp;number=0&amp;sourceID=14","0")</f>
        <v>0</v>
      </c>
    </row>
    <row r="1235" spans="1:7">
      <c r="A1235" s="3">
        <v>12</v>
      </c>
      <c r="B1235" s="3">
        <v>4</v>
      </c>
      <c r="C1235" s="3">
        <v>71</v>
      </c>
      <c r="D1235" s="3">
        <v>15</v>
      </c>
      <c r="E1235" s="3">
        <v>-156.521</v>
      </c>
      <c r="F1235" s="4" t="str">
        <f>HYPERLINK("http://141.218.60.56/~jnz1568/getInfo.php?workbook=12_04.xlsx&amp;sheet=A0&amp;row=1235&amp;col=6&amp;number=42200000&amp;sourceID=14","42200000")</f>
        <v>42200000</v>
      </c>
      <c r="G1235" s="4" t="str">
        <f>HYPERLINK("http://141.218.60.56/~jnz1568/getInfo.php?workbook=12_04.xlsx&amp;sheet=A0&amp;row=1235&amp;col=7&amp;number=0&amp;sourceID=14","0")</f>
        <v>0</v>
      </c>
    </row>
    <row r="1236" spans="1:7">
      <c r="A1236" s="3">
        <v>12</v>
      </c>
      <c r="B1236" s="3">
        <v>4</v>
      </c>
      <c r="C1236" s="3">
        <v>72</v>
      </c>
      <c r="D1236" s="3">
        <v>15</v>
      </c>
      <c r="E1236" s="3">
        <v>156.777</v>
      </c>
      <c r="F1236" s="4" t="str">
        <f>HYPERLINK("http://141.218.60.56/~jnz1568/getInfo.php?workbook=12_04.xlsx&amp;sheet=A0&amp;row=1236&amp;col=6&amp;number=47900&amp;sourceID=14","47900")</f>
        <v>47900</v>
      </c>
      <c r="G1236" s="4" t="str">
        <f>HYPERLINK("http://141.218.60.56/~jnz1568/getInfo.php?workbook=12_04.xlsx&amp;sheet=A0&amp;row=1236&amp;col=7&amp;number=0&amp;sourceID=14","0")</f>
        <v>0</v>
      </c>
    </row>
    <row r="1237" spans="1:7">
      <c r="A1237" s="3">
        <v>12</v>
      </c>
      <c r="B1237" s="3">
        <v>4</v>
      </c>
      <c r="C1237" s="3">
        <v>73</v>
      </c>
      <c r="D1237" s="3">
        <v>15</v>
      </c>
      <c r="E1237" s="3">
        <v>-155.667</v>
      </c>
      <c r="F1237" s="4" t="str">
        <f>HYPERLINK("http://141.218.60.56/~jnz1568/getInfo.php?workbook=12_04.xlsx&amp;sheet=A0&amp;row=1237&amp;col=6&amp;number=17200&amp;sourceID=14","17200")</f>
        <v>17200</v>
      </c>
      <c r="G1237" s="4" t="str">
        <f>HYPERLINK("http://141.218.60.56/~jnz1568/getInfo.php?workbook=12_04.xlsx&amp;sheet=A0&amp;row=1237&amp;col=7&amp;number=0&amp;sourceID=14","0")</f>
        <v>0</v>
      </c>
    </row>
    <row r="1238" spans="1:7">
      <c r="A1238" s="3">
        <v>12</v>
      </c>
      <c r="B1238" s="3">
        <v>4</v>
      </c>
      <c r="C1238" s="3">
        <v>74</v>
      </c>
      <c r="D1238" s="3">
        <v>15</v>
      </c>
      <c r="E1238" s="3">
        <v>-155.206</v>
      </c>
      <c r="F1238" s="4" t="str">
        <f>HYPERLINK("http://141.218.60.56/~jnz1568/getInfo.php?workbook=12_04.xlsx&amp;sheet=A0&amp;row=1238&amp;col=6&amp;number=17700&amp;sourceID=14","17700")</f>
        <v>17700</v>
      </c>
      <c r="G1238" s="4" t="str">
        <f>HYPERLINK("http://141.218.60.56/~jnz1568/getInfo.php?workbook=12_04.xlsx&amp;sheet=A0&amp;row=1238&amp;col=7&amp;number=0&amp;sourceID=14","0")</f>
        <v>0</v>
      </c>
    </row>
    <row r="1239" spans="1:7">
      <c r="A1239" s="3">
        <v>12</v>
      </c>
      <c r="B1239" s="3">
        <v>4</v>
      </c>
      <c r="C1239" s="3">
        <v>75</v>
      </c>
      <c r="D1239" s="3">
        <v>15</v>
      </c>
      <c r="E1239" s="3">
        <v>155.35</v>
      </c>
      <c r="F1239" s="4" t="str">
        <f>HYPERLINK("http://141.218.60.56/~jnz1568/getInfo.php?workbook=12_04.xlsx&amp;sheet=A0&amp;row=1239&amp;col=6&amp;number=1120&amp;sourceID=14","1120")</f>
        <v>1120</v>
      </c>
      <c r="G1239" s="4" t="str">
        <f>HYPERLINK("http://141.218.60.56/~jnz1568/getInfo.php?workbook=12_04.xlsx&amp;sheet=A0&amp;row=1239&amp;col=7&amp;number=0&amp;sourceID=14","0")</f>
        <v>0</v>
      </c>
    </row>
    <row r="1240" spans="1:7">
      <c r="A1240" s="3">
        <v>12</v>
      </c>
      <c r="B1240" s="3">
        <v>4</v>
      </c>
      <c r="C1240" s="3">
        <v>76</v>
      </c>
      <c r="D1240" s="3">
        <v>15</v>
      </c>
      <c r="E1240" s="3">
        <v>155.381</v>
      </c>
      <c r="F1240" s="4" t="str">
        <f>HYPERLINK("http://141.218.60.56/~jnz1568/getInfo.php?workbook=12_04.xlsx&amp;sheet=A0&amp;row=1240&amp;col=6&amp;number=12400000&amp;sourceID=14","12400000")</f>
        <v>12400000</v>
      </c>
      <c r="G1240" s="4" t="str">
        <f>HYPERLINK("http://141.218.60.56/~jnz1568/getInfo.php?workbook=12_04.xlsx&amp;sheet=A0&amp;row=1240&amp;col=7&amp;number=0&amp;sourceID=14","0")</f>
        <v>0</v>
      </c>
    </row>
    <row r="1241" spans="1:7">
      <c r="A1241" s="3">
        <v>12</v>
      </c>
      <c r="B1241" s="3">
        <v>4</v>
      </c>
      <c r="C1241" s="3">
        <v>77</v>
      </c>
      <c r="D1241" s="3">
        <v>15</v>
      </c>
      <c r="E1241" s="3">
        <v>-154.684</v>
      </c>
      <c r="F1241" s="4" t="str">
        <f>HYPERLINK("http://141.218.60.56/~jnz1568/getInfo.php?workbook=12_04.xlsx&amp;sheet=A0&amp;row=1241&amp;col=6&amp;number=0.000101&amp;sourceID=14","0.000101")</f>
        <v>0.000101</v>
      </c>
      <c r="G1241" s="4" t="str">
        <f>HYPERLINK("http://141.218.60.56/~jnz1568/getInfo.php?workbook=12_04.xlsx&amp;sheet=A0&amp;row=1241&amp;col=7&amp;number=0&amp;sourceID=14","0")</f>
        <v>0</v>
      </c>
    </row>
    <row r="1242" spans="1:7">
      <c r="A1242" s="3">
        <v>12</v>
      </c>
      <c r="B1242" s="3">
        <v>4</v>
      </c>
      <c r="C1242" s="3">
        <v>78</v>
      </c>
      <c r="D1242" s="3">
        <v>15</v>
      </c>
      <c r="E1242" s="3">
        <v>-153.968</v>
      </c>
      <c r="F1242" s="4" t="str">
        <f>HYPERLINK("http://141.218.60.56/~jnz1568/getInfo.php?workbook=12_04.xlsx&amp;sheet=A0&amp;row=1242&amp;col=6&amp;number=6670&amp;sourceID=14","6670")</f>
        <v>6670</v>
      </c>
      <c r="G1242" s="4" t="str">
        <f>HYPERLINK("http://141.218.60.56/~jnz1568/getInfo.php?workbook=12_04.xlsx&amp;sheet=A0&amp;row=1242&amp;col=7&amp;number=0&amp;sourceID=14","0")</f>
        <v>0</v>
      </c>
    </row>
    <row r="1243" spans="1:7">
      <c r="A1243" s="3">
        <v>12</v>
      </c>
      <c r="B1243" s="3">
        <v>4</v>
      </c>
      <c r="C1243" s="3">
        <v>79</v>
      </c>
      <c r="D1243" s="3">
        <v>15</v>
      </c>
      <c r="E1243" s="3">
        <v>-153.822</v>
      </c>
      <c r="F1243" s="4" t="str">
        <f>HYPERLINK("http://141.218.60.56/~jnz1568/getInfo.php?workbook=12_04.xlsx&amp;sheet=A0&amp;row=1243&amp;col=6&amp;number=4820&amp;sourceID=14","4820")</f>
        <v>4820</v>
      </c>
      <c r="G1243" s="4" t="str">
        <f>HYPERLINK("http://141.218.60.56/~jnz1568/getInfo.php?workbook=12_04.xlsx&amp;sheet=A0&amp;row=1243&amp;col=7&amp;number=0&amp;sourceID=14","0")</f>
        <v>0</v>
      </c>
    </row>
    <row r="1244" spans="1:7">
      <c r="A1244" s="3">
        <v>12</v>
      </c>
      <c r="B1244" s="3">
        <v>4</v>
      </c>
      <c r="C1244" s="3">
        <v>80</v>
      </c>
      <c r="D1244" s="3">
        <v>15</v>
      </c>
      <c r="E1244" s="3">
        <v>-153.529</v>
      </c>
      <c r="F1244" s="4" t="str">
        <f>HYPERLINK("http://141.218.60.56/~jnz1568/getInfo.php?workbook=12_04.xlsx&amp;sheet=A0&amp;row=1244&amp;col=6&amp;number=2.01&amp;sourceID=14","2.01")</f>
        <v>2.01</v>
      </c>
      <c r="G1244" s="4" t="str">
        <f>HYPERLINK("http://141.218.60.56/~jnz1568/getInfo.php?workbook=12_04.xlsx&amp;sheet=A0&amp;row=1244&amp;col=7&amp;number=0&amp;sourceID=14","0")</f>
        <v>0</v>
      </c>
    </row>
    <row r="1245" spans="1:7">
      <c r="A1245" s="3">
        <v>12</v>
      </c>
      <c r="B1245" s="3">
        <v>4</v>
      </c>
      <c r="C1245" s="3">
        <v>81</v>
      </c>
      <c r="D1245" s="3">
        <v>15</v>
      </c>
      <c r="E1245" s="3">
        <v>153.669</v>
      </c>
      <c r="F1245" s="4" t="str">
        <f>HYPERLINK("http://141.218.60.56/~jnz1568/getInfo.php?workbook=12_04.xlsx&amp;sheet=A0&amp;row=1245&amp;col=6&amp;number=181&amp;sourceID=14","181")</f>
        <v>181</v>
      </c>
      <c r="G1245" s="4" t="str">
        <f>HYPERLINK("http://141.218.60.56/~jnz1568/getInfo.php?workbook=12_04.xlsx&amp;sheet=A0&amp;row=1245&amp;col=7&amp;number=0&amp;sourceID=14","0")</f>
        <v>0</v>
      </c>
    </row>
    <row r="1246" spans="1:7">
      <c r="A1246" s="3">
        <v>12</v>
      </c>
      <c r="B1246" s="3">
        <v>4</v>
      </c>
      <c r="C1246" s="3">
        <v>82</v>
      </c>
      <c r="D1246" s="3">
        <v>15</v>
      </c>
      <c r="E1246" s="3">
        <v>-153.444</v>
      </c>
      <c r="F1246" s="4" t="str">
        <f>HYPERLINK("http://141.218.60.56/~jnz1568/getInfo.php?workbook=12_04.xlsx&amp;sheet=A0&amp;row=1246&amp;col=6&amp;number=20300000&amp;sourceID=14","20300000")</f>
        <v>20300000</v>
      </c>
      <c r="G1246" s="4" t="str">
        <f>HYPERLINK("http://141.218.60.56/~jnz1568/getInfo.php?workbook=12_04.xlsx&amp;sheet=A0&amp;row=1246&amp;col=7&amp;number=0&amp;sourceID=14","0")</f>
        <v>0</v>
      </c>
    </row>
    <row r="1247" spans="1:7">
      <c r="A1247" s="3">
        <v>12</v>
      </c>
      <c r="B1247" s="3">
        <v>4</v>
      </c>
      <c r="C1247" s="3">
        <v>83</v>
      </c>
      <c r="D1247" s="3">
        <v>15</v>
      </c>
      <c r="E1247" s="3">
        <v>-153.442</v>
      </c>
      <c r="F1247" s="4" t="str">
        <f>HYPERLINK("http://141.218.60.56/~jnz1568/getInfo.php?workbook=12_04.xlsx&amp;sheet=A0&amp;row=1247&amp;col=6&amp;number=1.25&amp;sourceID=14","1.25")</f>
        <v>1.25</v>
      </c>
      <c r="G1247" s="4" t="str">
        <f>HYPERLINK("http://141.218.60.56/~jnz1568/getInfo.php?workbook=12_04.xlsx&amp;sheet=A0&amp;row=1247&amp;col=7&amp;number=0&amp;sourceID=14","0")</f>
        <v>0</v>
      </c>
    </row>
    <row r="1248" spans="1:7">
      <c r="A1248" s="3">
        <v>12</v>
      </c>
      <c r="B1248" s="3">
        <v>4</v>
      </c>
      <c r="C1248" s="3">
        <v>84</v>
      </c>
      <c r="D1248" s="3">
        <v>15</v>
      </c>
      <c r="E1248" s="3">
        <v>-153.366</v>
      </c>
      <c r="F1248" s="4" t="str">
        <f>HYPERLINK("http://141.218.60.56/~jnz1568/getInfo.php?workbook=12_04.xlsx&amp;sheet=A0&amp;row=1248&amp;col=6&amp;number=1.21&amp;sourceID=14","1.21")</f>
        <v>1.21</v>
      </c>
      <c r="G1248" s="4" t="str">
        <f>HYPERLINK("http://141.218.60.56/~jnz1568/getInfo.php?workbook=12_04.xlsx&amp;sheet=A0&amp;row=1248&amp;col=7&amp;number=0&amp;sourceID=14","0")</f>
        <v>0</v>
      </c>
    </row>
    <row r="1249" spans="1:7">
      <c r="A1249" s="3">
        <v>12</v>
      </c>
      <c r="B1249" s="3">
        <v>4</v>
      </c>
      <c r="C1249" s="3">
        <v>85</v>
      </c>
      <c r="D1249" s="3">
        <v>15</v>
      </c>
      <c r="E1249" s="3">
        <v>153.386</v>
      </c>
      <c r="F1249" s="4" t="str">
        <f>HYPERLINK("http://141.218.60.56/~jnz1568/getInfo.php?workbook=12_04.xlsx&amp;sheet=A0&amp;row=1249&amp;col=6&amp;number=10200&amp;sourceID=14","10200")</f>
        <v>10200</v>
      </c>
      <c r="G1249" s="4" t="str">
        <f>HYPERLINK("http://141.218.60.56/~jnz1568/getInfo.php?workbook=12_04.xlsx&amp;sheet=A0&amp;row=1249&amp;col=7&amp;number=0&amp;sourceID=14","0")</f>
        <v>0</v>
      </c>
    </row>
    <row r="1250" spans="1:7">
      <c r="A1250" s="3">
        <v>12</v>
      </c>
      <c r="B1250" s="3">
        <v>4</v>
      </c>
      <c r="C1250" s="3">
        <v>86</v>
      </c>
      <c r="D1250" s="3">
        <v>15</v>
      </c>
      <c r="E1250" s="3">
        <v>153.264</v>
      </c>
      <c r="F1250" s="4" t="str">
        <f>HYPERLINK("http://141.218.60.56/~jnz1568/getInfo.php?workbook=12_04.xlsx&amp;sheet=A0&amp;row=1250&amp;col=6&amp;number=7420&amp;sourceID=14","7420")</f>
        <v>7420</v>
      </c>
      <c r="G1250" s="4" t="str">
        <f>HYPERLINK("http://141.218.60.56/~jnz1568/getInfo.php?workbook=12_04.xlsx&amp;sheet=A0&amp;row=1250&amp;col=7&amp;number=0&amp;sourceID=14","0")</f>
        <v>0</v>
      </c>
    </row>
    <row r="1251" spans="1:7">
      <c r="A1251" s="3">
        <v>12</v>
      </c>
      <c r="B1251" s="3">
        <v>4</v>
      </c>
      <c r="C1251" s="3">
        <v>87</v>
      </c>
      <c r="D1251" s="3">
        <v>15</v>
      </c>
      <c r="E1251" s="3">
        <v>-152.796</v>
      </c>
      <c r="F1251" s="4" t="str">
        <f>HYPERLINK("http://141.218.60.56/~jnz1568/getInfo.php?workbook=12_04.xlsx&amp;sheet=A0&amp;row=1251&amp;col=6&amp;number=0.00122&amp;sourceID=14","0.00122")</f>
        <v>0.00122</v>
      </c>
      <c r="G1251" s="4" t="str">
        <f>HYPERLINK("http://141.218.60.56/~jnz1568/getInfo.php?workbook=12_04.xlsx&amp;sheet=A0&amp;row=1251&amp;col=7&amp;number=0&amp;sourceID=14","0")</f>
        <v>0</v>
      </c>
    </row>
    <row r="1252" spans="1:7">
      <c r="A1252" s="3">
        <v>12</v>
      </c>
      <c r="B1252" s="3">
        <v>4</v>
      </c>
      <c r="C1252" s="3">
        <v>88</v>
      </c>
      <c r="D1252" s="3">
        <v>15</v>
      </c>
      <c r="E1252" s="3">
        <v>-152.614</v>
      </c>
      <c r="F1252" s="4" t="str">
        <f>HYPERLINK("http://141.218.60.56/~jnz1568/getInfo.php?workbook=12_04.xlsx&amp;sheet=A0&amp;row=1252&amp;col=6&amp;number=1.03&amp;sourceID=14","1.03")</f>
        <v>1.03</v>
      </c>
      <c r="G1252" s="4" t="str">
        <f>HYPERLINK("http://141.218.60.56/~jnz1568/getInfo.php?workbook=12_04.xlsx&amp;sheet=A0&amp;row=1252&amp;col=7&amp;number=0&amp;sourceID=14","0")</f>
        <v>0</v>
      </c>
    </row>
    <row r="1253" spans="1:7">
      <c r="A1253" s="3">
        <v>12</v>
      </c>
      <c r="B1253" s="3">
        <v>4</v>
      </c>
      <c r="C1253" s="3">
        <v>89</v>
      </c>
      <c r="D1253" s="3">
        <v>15</v>
      </c>
      <c r="E1253" s="3">
        <v>-152.506</v>
      </c>
      <c r="F1253" s="4" t="str">
        <f>HYPERLINK("http://141.218.60.56/~jnz1568/getInfo.php?workbook=12_04.xlsx&amp;sheet=A0&amp;row=1253&amp;col=6&amp;number=2.28&amp;sourceID=14","2.28")</f>
        <v>2.28</v>
      </c>
      <c r="G1253" s="4" t="str">
        <f>HYPERLINK("http://141.218.60.56/~jnz1568/getInfo.php?workbook=12_04.xlsx&amp;sheet=A0&amp;row=1253&amp;col=7&amp;number=0&amp;sourceID=14","0")</f>
        <v>0</v>
      </c>
    </row>
    <row r="1254" spans="1:7">
      <c r="A1254" s="3">
        <v>12</v>
      </c>
      <c r="B1254" s="3">
        <v>4</v>
      </c>
      <c r="C1254" s="3">
        <v>90</v>
      </c>
      <c r="D1254" s="3">
        <v>15</v>
      </c>
      <c r="E1254" s="3">
        <v>-152.187</v>
      </c>
      <c r="F1254" s="4" t="str">
        <f>HYPERLINK("http://141.218.60.56/~jnz1568/getInfo.php?workbook=12_04.xlsx&amp;sheet=A0&amp;row=1254&amp;col=6&amp;number=7.17e-07&amp;sourceID=14","7.17e-07")</f>
        <v>7.17e-07</v>
      </c>
      <c r="G1254" s="4" t="str">
        <f>HYPERLINK("http://141.218.60.56/~jnz1568/getInfo.php?workbook=12_04.xlsx&amp;sheet=A0&amp;row=1254&amp;col=7&amp;number=0&amp;sourceID=14","0")</f>
        <v>0</v>
      </c>
    </row>
    <row r="1255" spans="1:7">
      <c r="A1255" s="3">
        <v>12</v>
      </c>
      <c r="B1255" s="3">
        <v>4</v>
      </c>
      <c r="C1255" s="3">
        <v>91</v>
      </c>
      <c r="D1255" s="3">
        <v>15</v>
      </c>
      <c r="E1255" s="3">
        <v>-151.905</v>
      </c>
      <c r="F1255" s="4" t="str">
        <f>HYPERLINK("http://141.218.60.56/~jnz1568/getInfo.php?workbook=12_04.xlsx&amp;sheet=A0&amp;row=1255&amp;col=6&amp;number=1.17&amp;sourceID=14","1.17")</f>
        <v>1.17</v>
      </c>
      <c r="G1255" s="4" t="str">
        <f>HYPERLINK("http://141.218.60.56/~jnz1568/getInfo.php?workbook=12_04.xlsx&amp;sheet=A0&amp;row=1255&amp;col=7&amp;number=0&amp;sourceID=14","0")</f>
        <v>0</v>
      </c>
    </row>
    <row r="1256" spans="1:7">
      <c r="A1256" s="3">
        <v>12</v>
      </c>
      <c r="B1256" s="3">
        <v>4</v>
      </c>
      <c r="C1256" s="3">
        <v>92</v>
      </c>
      <c r="D1256" s="3">
        <v>15</v>
      </c>
      <c r="E1256" s="3">
        <v>-151.839</v>
      </c>
      <c r="F1256" s="4" t="str">
        <f>HYPERLINK("http://141.218.60.56/~jnz1568/getInfo.php?workbook=12_04.xlsx&amp;sheet=A0&amp;row=1256&amp;col=6&amp;number=0.0625&amp;sourceID=14","0.0625")</f>
        <v>0.0625</v>
      </c>
      <c r="G1256" s="4" t="str">
        <f>HYPERLINK("http://141.218.60.56/~jnz1568/getInfo.php?workbook=12_04.xlsx&amp;sheet=A0&amp;row=1256&amp;col=7&amp;number=0&amp;sourceID=14","0")</f>
        <v>0</v>
      </c>
    </row>
    <row r="1257" spans="1:7">
      <c r="A1257" s="3">
        <v>12</v>
      </c>
      <c r="B1257" s="3">
        <v>4</v>
      </c>
      <c r="C1257" s="3">
        <v>93</v>
      </c>
      <c r="D1257" s="3">
        <v>15</v>
      </c>
      <c r="E1257" s="3">
        <v>-151.779</v>
      </c>
      <c r="F1257" s="4" t="str">
        <f>HYPERLINK("http://141.218.60.56/~jnz1568/getInfo.php?workbook=12_04.xlsx&amp;sheet=A0&amp;row=1257&amp;col=6&amp;number=473000000&amp;sourceID=14","473000000")</f>
        <v>473000000</v>
      </c>
      <c r="G1257" s="4" t="str">
        <f>HYPERLINK("http://141.218.60.56/~jnz1568/getInfo.php?workbook=12_04.xlsx&amp;sheet=A0&amp;row=1257&amp;col=7&amp;number=0&amp;sourceID=14","0")</f>
        <v>0</v>
      </c>
    </row>
    <row r="1258" spans="1:7">
      <c r="A1258" s="3">
        <v>12</v>
      </c>
      <c r="B1258" s="3">
        <v>4</v>
      </c>
      <c r="C1258" s="3">
        <v>94</v>
      </c>
      <c r="D1258" s="3">
        <v>15</v>
      </c>
      <c r="E1258" s="3">
        <v>-151.556</v>
      </c>
      <c r="F1258" s="4" t="str">
        <f>HYPERLINK("http://141.218.60.56/~jnz1568/getInfo.php?workbook=12_04.xlsx&amp;sheet=A0&amp;row=1258&amp;col=6&amp;number=375000000&amp;sourceID=14","375000000")</f>
        <v>375000000</v>
      </c>
      <c r="G1258" s="4" t="str">
        <f>HYPERLINK("http://141.218.60.56/~jnz1568/getInfo.php?workbook=12_04.xlsx&amp;sheet=A0&amp;row=1258&amp;col=7&amp;number=0&amp;sourceID=14","0")</f>
        <v>0</v>
      </c>
    </row>
    <row r="1259" spans="1:7">
      <c r="A1259" s="3">
        <v>12</v>
      </c>
      <c r="B1259" s="3">
        <v>4</v>
      </c>
      <c r="C1259" s="3">
        <v>95</v>
      </c>
      <c r="D1259" s="3">
        <v>15</v>
      </c>
      <c r="E1259" s="3">
        <v>-151.411</v>
      </c>
      <c r="F1259" s="4" t="str">
        <f>HYPERLINK("http://141.218.60.56/~jnz1568/getInfo.php?workbook=12_04.xlsx&amp;sheet=A0&amp;row=1259&amp;col=6&amp;number=47900000&amp;sourceID=14","47900000")</f>
        <v>47900000</v>
      </c>
      <c r="G1259" s="4" t="str">
        <f>HYPERLINK("http://141.218.60.56/~jnz1568/getInfo.php?workbook=12_04.xlsx&amp;sheet=A0&amp;row=1259&amp;col=7&amp;number=0&amp;sourceID=14","0")</f>
        <v>0</v>
      </c>
    </row>
    <row r="1260" spans="1:7">
      <c r="A1260" s="3">
        <v>12</v>
      </c>
      <c r="B1260" s="3">
        <v>4</v>
      </c>
      <c r="C1260" s="3">
        <v>96</v>
      </c>
      <c r="D1260" s="3">
        <v>15</v>
      </c>
      <c r="E1260" s="3">
        <v>-151.276</v>
      </c>
      <c r="F1260" s="4" t="str">
        <f>HYPERLINK("http://141.218.60.56/~jnz1568/getInfo.php?workbook=12_04.xlsx&amp;sheet=A0&amp;row=1260&amp;col=6&amp;number=203000000&amp;sourceID=14","203000000")</f>
        <v>203000000</v>
      </c>
      <c r="G1260" s="4" t="str">
        <f>HYPERLINK("http://141.218.60.56/~jnz1568/getInfo.php?workbook=12_04.xlsx&amp;sheet=A0&amp;row=1260&amp;col=7&amp;number=0&amp;sourceID=14","0")</f>
        <v>0</v>
      </c>
    </row>
    <row r="1261" spans="1:7">
      <c r="A1261" s="3">
        <v>12</v>
      </c>
      <c r="B1261" s="3">
        <v>4</v>
      </c>
      <c r="C1261" s="3">
        <v>97</v>
      </c>
      <c r="D1261" s="3">
        <v>15</v>
      </c>
      <c r="E1261" s="3">
        <v>151.729</v>
      </c>
      <c r="F1261" s="4" t="str">
        <f>HYPERLINK("http://141.218.60.56/~jnz1568/getInfo.php?workbook=12_04.xlsx&amp;sheet=A0&amp;row=1261&amp;col=6&amp;number=8600&amp;sourceID=14","8600")</f>
        <v>8600</v>
      </c>
      <c r="G1261" s="4" t="str">
        <f>HYPERLINK("http://141.218.60.56/~jnz1568/getInfo.php?workbook=12_04.xlsx&amp;sheet=A0&amp;row=1261&amp;col=7&amp;number=0&amp;sourceID=14","0")</f>
        <v>0</v>
      </c>
    </row>
    <row r="1262" spans="1:7">
      <c r="A1262" s="3">
        <v>12</v>
      </c>
      <c r="B1262" s="3">
        <v>4</v>
      </c>
      <c r="C1262" s="3">
        <v>98</v>
      </c>
      <c r="D1262" s="3">
        <v>15</v>
      </c>
      <c r="E1262" s="3">
        <v>151.33</v>
      </c>
      <c r="F1262" s="4" t="str">
        <f>HYPERLINK("http://141.218.60.56/~jnz1568/getInfo.php?workbook=12_04.xlsx&amp;sheet=A0&amp;row=1262&amp;col=6&amp;number=6300&amp;sourceID=14","6300")</f>
        <v>6300</v>
      </c>
      <c r="G1262" s="4" t="str">
        <f>HYPERLINK("http://141.218.60.56/~jnz1568/getInfo.php?workbook=12_04.xlsx&amp;sheet=A0&amp;row=1262&amp;col=7&amp;number=0&amp;sourceID=14","0")</f>
        <v>0</v>
      </c>
    </row>
    <row r="1263" spans="1:7">
      <c r="A1263" s="3">
        <v>12</v>
      </c>
      <c r="B1263" s="3">
        <v>4</v>
      </c>
      <c r="C1263" s="3">
        <v>17</v>
      </c>
      <c r="D1263" s="3">
        <v>16</v>
      </c>
      <c r="E1263" s="3">
        <v>2981.52</v>
      </c>
      <c r="F1263" s="4" t="str">
        <f>HYPERLINK("http://141.218.60.56/~jnz1568/getInfo.php?workbook=12_04.xlsx&amp;sheet=A0&amp;row=1263&amp;col=6&amp;number=852000&amp;sourceID=14","852000")</f>
        <v>852000</v>
      </c>
      <c r="G1263" s="4" t="str">
        <f>HYPERLINK("http://141.218.60.56/~jnz1568/getInfo.php?workbook=12_04.xlsx&amp;sheet=A0&amp;row=1263&amp;col=7&amp;number=0&amp;sourceID=14","0")</f>
        <v>0</v>
      </c>
    </row>
    <row r="1264" spans="1:7">
      <c r="A1264" s="3">
        <v>12</v>
      </c>
      <c r="B1264" s="3">
        <v>4</v>
      </c>
      <c r="C1264" s="3">
        <v>18</v>
      </c>
      <c r="D1264" s="3">
        <v>16</v>
      </c>
      <c r="E1264" s="3">
        <v>2970.008</v>
      </c>
      <c r="F1264" s="4" t="str">
        <f>HYPERLINK("http://141.218.60.56/~jnz1568/getInfo.php?workbook=12_04.xlsx&amp;sheet=A0&amp;row=1264&amp;col=6&amp;number=7770000&amp;sourceID=14","7770000")</f>
        <v>7770000</v>
      </c>
      <c r="G1264" s="4" t="str">
        <f>HYPERLINK("http://141.218.60.56/~jnz1568/getInfo.php?workbook=12_04.xlsx&amp;sheet=A0&amp;row=1264&amp;col=7&amp;number=0&amp;sourceID=14","0")</f>
        <v>0</v>
      </c>
    </row>
    <row r="1265" spans="1:7">
      <c r="A1265" s="3">
        <v>12</v>
      </c>
      <c r="B1265" s="3">
        <v>4</v>
      </c>
      <c r="C1265" s="3">
        <v>19</v>
      </c>
      <c r="D1265" s="3">
        <v>16</v>
      </c>
      <c r="E1265" s="3">
        <v>2956.836</v>
      </c>
      <c r="F1265" s="4" t="str">
        <f>HYPERLINK("http://141.218.60.56/~jnz1568/getInfo.php?workbook=12_04.xlsx&amp;sheet=A0&amp;row=1265&amp;col=6&amp;number=31600000&amp;sourceID=14","31600000")</f>
        <v>31600000</v>
      </c>
      <c r="G1265" s="4" t="str">
        <f>HYPERLINK("http://141.218.60.56/~jnz1568/getInfo.php?workbook=12_04.xlsx&amp;sheet=A0&amp;row=1265&amp;col=7&amp;number=0&amp;sourceID=14","0")</f>
        <v>0</v>
      </c>
    </row>
    <row r="1266" spans="1:7">
      <c r="A1266" s="3">
        <v>12</v>
      </c>
      <c r="B1266" s="3">
        <v>4</v>
      </c>
      <c r="C1266" s="3">
        <v>20</v>
      </c>
      <c r="D1266" s="3">
        <v>16</v>
      </c>
      <c r="E1266" s="3">
        <v>1751.93</v>
      </c>
      <c r="F1266" s="4" t="str">
        <f>HYPERLINK("http://141.218.60.56/~jnz1568/getInfo.php?workbook=12_04.xlsx&amp;sheet=A0&amp;row=1266&amp;col=6&amp;number=535&amp;sourceID=14","535")</f>
        <v>535</v>
      </c>
      <c r="G1266" s="4" t="str">
        <f>HYPERLINK("http://141.218.60.56/~jnz1568/getInfo.php?workbook=12_04.xlsx&amp;sheet=A0&amp;row=1266&amp;col=7&amp;number=0&amp;sourceID=14","0")</f>
        <v>0</v>
      </c>
    </row>
    <row r="1267" spans="1:7">
      <c r="A1267" s="3">
        <v>12</v>
      </c>
      <c r="B1267" s="3">
        <v>4</v>
      </c>
      <c r="C1267" s="3">
        <v>21</v>
      </c>
      <c r="D1267" s="3">
        <v>16</v>
      </c>
      <c r="E1267" s="3">
        <v>887.786</v>
      </c>
      <c r="F1267" s="4" t="str">
        <f>HYPERLINK("http://141.218.60.56/~jnz1568/getInfo.php?workbook=12_04.xlsx&amp;sheet=A0&amp;row=1267&amp;col=6&amp;number=0.361&amp;sourceID=14","0.361")</f>
        <v>0.361</v>
      </c>
      <c r="G1267" s="4" t="str">
        <f>HYPERLINK("http://141.218.60.56/~jnz1568/getInfo.php?workbook=12_04.xlsx&amp;sheet=A0&amp;row=1267&amp;col=7&amp;number=0&amp;sourceID=14","0")</f>
        <v>0</v>
      </c>
    </row>
    <row r="1268" spans="1:7">
      <c r="A1268" s="3">
        <v>12</v>
      </c>
      <c r="B1268" s="3">
        <v>4</v>
      </c>
      <c r="C1268" s="3">
        <v>22</v>
      </c>
      <c r="D1268" s="3">
        <v>16</v>
      </c>
      <c r="E1268" s="3">
        <v>879.122</v>
      </c>
      <c r="F1268" s="4" t="str">
        <f>HYPERLINK("http://141.218.60.56/~jnz1568/getInfo.php?workbook=12_04.xlsx&amp;sheet=A0&amp;row=1268&amp;col=6&amp;number=0.372&amp;sourceID=14","0.372")</f>
        <v>0.372</v>
      </c>
      <c r="G1268" s="4" t="str">
        <f>HYPERLINK("http://141.218.60.56/~jnz1568/getInfo.php?workbook=12_04.xlsx&amp;sheet=A0&amp;row=1268&amp;col=7&amp;number=0&amp;sourceID=14","0")</f>
        <v>0</v>
      </c>
    </row>
    <row r="1269" spans="1:7">
      <c r="A1269" s="3">
        <v>12</v>
      </c>
      <c r="B1269" s="3">
        <v>4</v>
      </c>
      <c r="C1269" s="3">
        <v>23</v>
      </c>
      <c r="D1269" s="3">
        <v>16</v>
      </c>
      <c r="E1269" s="3">
        <v>859.108</v>
      </c>
      <c r="F1269" s="4" t="str">
        <f>HYPERLINK("http://141.218.60.56/~jnz1568/getInfo.php?workbook=12_04.xlsx&amp;sheet=A0&amp;row=1269&amp;col=6&amp;number=0.18&amp;sourceID=14","0.18")</f>
        <v>0.18</v>
      </c>
      <c r="G1269" s="4" t="str">
        <f>HYPERLINK("http://141.218.60.56/~jnz1568/getInfo.php?workbook=12_04.xlsx&amp;sheet=A0&amp;row=1269&amp;col=7&amp;number=0&amp;sourceID=14","0")</f>
        <v>0</v>
      </c>
    </row>
    <row r="1270" spans="1:7">
      <c r="A1270" s="3">
        <v>12</v>
      </c>
      <c r="B1270" s="3">
        <v>4</v>
      </c>
      <c r="C1270" s="3">
        <v>24</v>
      </c>
      <c r="D1270" s="3">
        <v>16</v>
      </c>
      <c r="E1270" s="3">
        <v>687.098</v>
      </c>
      <c r="F1270" s="4" t="str">
        <f>HYPERLINK("http://141.218.60.56/~jnz1568/getInfo.php?workbook=12_04.xlsx&amp;sheet=A0&amp;row=1270&amp;col=6&amp;number=0.247&amp;sourceID=14","0.247")</f>
        <v>0.247</v>
      </c>
      <c r="G1270" s="4" t="str">
        <f>HYPERLINK("http://141.218.60.56/~jnz1568/getInfo.php?workbook=12_04.xlsx&amp;sheet=A0&amp;row=1270&amp;col=7&amp;number=0&amp;sourceID=14","0")</f>
        <v>0</v>
      </c>
    </row>
    <row r="1271" spans="1:7">
      <c r="A1271" s="3">
        <v>12</v>
      </c>
      <c r="B1271" s="3">
        <v>4</v>
      </c>
      <c r="C1271" s="3">
        <v>25</v>
      </c>
      <c r="D1271" s="3">
        <v>16</v>
      </c>
      <c r="E1271" s="3">
        <v>663.924</v>
      </c>
      <c r="F1271" s="4" t="str">
        <f>HYPERLINK("http://141.218.60.56/~jnz1568/getInfo.php?workbook=12_04.xlsx&amp;sheet=A0&amp;row=1271&amp;col=6&amp;number=486000&amp;sourceID=14","486000")</f>
        <v>486000</v>
      </c>
      <c r="G1271" s="4" t="str">
        <f>HYPERLINK("http://141.218.60.56/~jnz1568/getInfo.php?workbook=12_04.xlsx&amp;sheet=A0&amp;row=1271&amp;col=7&amp;number=0&amp;sourceID=14","0")</f>
        <v>0</v>
      </c>
    </row>
    <row r="1272" spans="1:7">
      <c r="A1272" s="3">
        <v>12</v>
      </c>
      <c r="B1272" s="3">
        <v>4</v>
      </c>
      <c r="C1272" s="3">
        <v>26</v>
      </c>
      <c r="D1272" s="3">
        <v>16</v>
      </c>
      <c r="E1272" s="3">
        <v>633.033</v>
      </c>
      <c r="F1272" s="4" t="str">
        <f>HYPERLINK("http://141.218.60.56/~jnz1568/getInfo.php?workbook=12_04.xlsx&amp;sheet=A0&amp;row=1272&amp;col=6&amp;number=32800000&amp;sourceID=14","32800000")</f>
        <v>32800000</v>
      </c>
      <c r="G1272" s="4" t="str">
        <f>HYPERLINK("http://141.218.60.56/~jnz1568/getInfo.php?workbook=12_04.xlsx&amp;sheet=A0&amp;row=1272&amp;col=7&amp;number=0&amp;sourceID=14","0")</f>
        <v>0</v>
      </c>
    </row>
    <row r="1273" spans="1:7">
      <c r="A1273" s="3">
        <v>12</v>
      </c>
      <c r="B1273" s="3">
        <v>4</v>
      </c>
      <c r="C1273" s="3">
        <v>27</v>
      </c>
      <c r="D1273" s="3">
        <v>16</v>
      </c>
      <c r="E1273" s="3">
        <v>629.051</v>
      </c>
      <c r="F1273" s="4" t="str">
        <f>HYPERLINK("http://141.218.60.56/~jnz1568/getInfo.php?workbook=12_04.xlsx&amp;sheet=A0&amp;row=1273&amp;col=6&amp;number=235000000&amp;sourceID=14","235000000")</f>
        <v>235000000</v>
      </c>
      <c r="G1273" s="4" t="str">
        <f>HYPERLINK("http://141.218.60.56/~jnz1568/getInfo.php?workbook=12_04.xlsx&amp;sheet=A0&amp;row=1273&amp;col=7&amp;number=0&amp;sourceID=14","0")</f>
        <v>0</v>
      </c>
    </row>
    <row r="1274" spans="1:7">
      <c r="A1274" s="3">
        <v>12</v>
      </c>
      <c r="B1274" s="3">
        <v>4</v>
      </c>
      <c r="C1274" s="3">
        <v>28</v>
      </c>
      <c r="D1274" s="3">
        <v>16</v>
      </c>
      <c r="E1274" s="3">
        <v>619.311</v>
      </c>
      <c r="F1274" s="4" t="str">
        <f>HYPERLINK("http://141.218.60.56/~jnz1568/getInfo.php?workbook=12_04.xlsx&amp;sheet=A0&amp;row=1274&amp;col=6&amp;number=875000000&amp;sourceID=14","875000000")</f>
        <v>875000000</v>
      </c>
      <c r="G1274" s="4" t="str">
        <f>HYPERLINK("http://141.218.60.56/~jnz1568/getInfo.php?workbook=12_04.xlsx&amp;sheet=A0&amp;row=1274&amp;col=7&amp;number=0&amp;sourceID=14","0")</f>
        <v>0</v>
      </c>
    </row>
    <row r="1275" spans="1:7">
      <c r="A1275" s="3">
        <v>12</v>
      </c>
      <c r="B1275" s="3">
        <v>4</v>
      </c>
      <c r="C1275" s="3">
        <v>29</v>
      </c>
      <c r="D1275" s="3">
        <v>16</v>
      </c>
      <c r="E1275" s="3">
        <v>578.437</v>
      </c>
      <c r="F1275" s="4" t="str">
        <f>HYPERLINK("http://141.218.60.56/~jnz1568/getInfo.php?workbook=12_04.xlsx&amp;sheet=A0&amp;row=1275&amp;col=6&amp;number=843000000&amp;sourceID=14","843000000")</f>
        <v>843000000</v>
      </c>
      <c r="G1275" s="4" t="str">
        <f>HYPERLINK("http://141.218.60.56/~jnz1568/getInfo.php?workbook=12_04.xlsx&amp;sheet=A0&amp;row=1275&amp;col=7&amp;number=0&amp;sourceID=14","0")</f>
        <v>0</v>
      </c>
    </row>
    <row r="1276" spans="1:7">
      <c r="A1276" s="3">
        <v>12</v>
      </c>
      <c r="B1276" s="3">
        <v>4</v>
      </c>
      <c r="C1276" s="3">
        <v>30</v>
      </c>
      <c r="D1276" s="3">
        <v>16</v>
      </c>
      <c r="E1276" s="3">
        <v>-551.187</v>
      </c>
      <c r="F1276" s="4" t="str">
        <f>HYPERLINK("http://141.218.60.56/~jnz1568/getInfo.php?workbook=12_04.xlsx&amp;sheet=A0&amp;row=1276&amp;col=6&amp;number=0.175&amp;sourceID=14","0.175")</f>
        <v>0.175</v>
      </c>
      <c r="G1276" s="4" t="str">
        <f>HYPERLINK("http://141.218.60.56/~jnz1568/getInfo.php?workbook=12_04.xlsx&amp;sheet=A0&amp;row=1276&amp;col=7&amp;number=0&amp;sourceID=14","0")</f>
        <v>0</v>
      </c>
    </row>
    <row r="1277" spans="1:7">
      <c r="A1277" s="3">
        <v>12</v>
      </c>
      <c r="B1277" s="3">
        <v>4</v>
      </c>
      <c r="C1277" s="3">
        <v>31</v>
      </c>
      <c r="D1277" s="3">
        <v>16</v>
      </c>
      <c r="E1277" s="3">
        <v>551.908</v>
      </c>
      <c r="F1277" s="4" t="str">
        <f>HYPERLINK("http://141.218.60.56/~jnz1568/getInfo.php?workbook=12_04.xlsx&amp;sheet=A0&amp;row=1277&amp;col=6&amp;number=285000000&amp;sourceID=14","285000000")</f>
        <v>285000000</v>
      </c>
      <c r="G1277" s="4" t="str">
        <f>HYPERLINK("http://141.218.60.56/~jnz1568/getInfo.php?workbook=12_04.xlsx&amp;sheet=A0&amp;row=1277&amp;col=7&amp;number=0&amp;sourceID=14","0")</f>
        <v>0</v>
      </c>
    </row>
    <row r="1278" spans="1:7">
      <c r="A1278" s="3">
        <v>12</v>
      </c>
      <c r="B1278" s="3">
        <v>4</v>
      </c>
      <c r="C1278" s="3">
        <v>32</v>
      </c>
      <c r="D1278" s="3">
        <v>16</v>
      </c>
      <c r="E1278" s="3">
        <v>547.976</v>
      </c>
      <c r="F1278" s="4" t="str">
        <f>HYPERLINK("http://141.218.60.56/~jnz1568/getInfo.php?workbook=12_04.xlsx&amp;sheet=A0&amp;row=1278&amp;col=6&amp;number=771000000&amp;sourceID=14","771000000")</f>
        <v>771000000</v>
      </c>
      <c r="G1278" s="4" t="str">
        <f>HYPERLINK("http://141.218.60.56/~jnz1568/getInfo.php?workbook=12_04.xlsx&amp;sheet=A0&amp;row=1278&amp;col=7&amp;number=0&amp;sourceID=14","0")</f>
        <v>0</v>
      </c>
    </row>
    <row r="1279" spans="1:7">
      <c r="A1279" s="3">
        <v>12</v>
      </c>
      <c r="B1279" s="3">
        <v>4</v>
      </c>
      <c r="C1279" s="3">
        <v>33</v>
      </c>
      <c r="D1279" s="3">
        <v>16</v>
      </c>
      <c r="E1279" s="3">
        <v>-527.28</v>
      </c>
      <c r="F1279" s="4" t="str">
        <f>HYPERLINK("http://141.218.60.56/~jnz1568/getInfo.php?workbook=12_04.xlsx&amp;sheet=A0&amp;row=1279&amp;col=6&amp;number=27.8&amp;sourceID=14","27.8")</f>
        <v>27.8</v>
      </c>
      <c r="G1279" s="4" t="str">
        <f>HYPERLINK("http://141.218.60.56/~jnz1568/getInfo.php?workbook=12_04.xlsx&amp;sheet=A0&amp;row=1279&amp;col=7&amp;number=0&amp;sourceID=14","0")</f>
        <v>0</v>
      </c>
    </row>
    <row r="1280" spans="1:7">
      <c r="A1280" s="3">
        <v>12</v>
      </c>
      <c r="B1280" s="3">
        <v>4</v>
      </c>
      <c r="C1280" s="3">
        <v>34</v>
      </c>
      <c r="D1280" s="3">
        <v>16</v>
      </c>
      <c r="E1280" s="3">
        <v>-521.652</v>
      </c>
      <c r="F1280" s="4" t="str">
        <f>HYPERLINK("http://141.218.60.56/~jnz1568/getInfo.php?workbook=12_04.xlsx&amp;sheet=A0&amp;row=1280&amp;col=6&amp;number=178&amp;sourceID=14","178")</f>
        <v>178</v>
      </c>
      <c r="G1280" s="4" t="str">
        <f>HYPERLINK("http://141.218.60.56/~jnz1568/getInfo.php?workbook=12_04.xlsx&amp;sheet=A0&amp;row=1280&amp;col=7&amp;number=0&amp;sourceID=14","0")</f>
        <v>0</v>
      </c>
    </row>
    <row r="1281" spans="1:7">
      <c r="A1281" s="3">
        <v>12</v>
      </c>
      <c r="B1281" s="3">
        <v>4</v>
      </c>
      <c r="C1281" s="3">
        <v>35</v>
      </c>
      <c r="D1281" s="3">
        <v>16</v>
      </c>
      <c r="E1281" s="3">
        <v>520.455</v>
      </c>
      <c r="F1281" s="4" t="str">
        <f>HYPERLINK("http://141.218.60.56/~jnz1568/getInfo.php?workbook=12_04.xlsx&amp;sheet=A0&amp;row=1281&amp;col=6&amp;number=6.64&amp;sourceID=14","6.64")</f>
        <v>6.64</v>
      </c>
      <c r="G1281" s="4" t="str">
        <f>HYPERLINK("http://141.218.60.56/~jnz1568/getInfo.php?workbook=12_04.xlsx&amp;sheet=A0&amp;row=1281&amp;col=7&amp;number=0&amp;sourceID=14","0")</f>
        <v>0</v>
      </c>
    </row>
    <row r="1282" spans="1:7">
      <c r="A1282" s="3">
        <v>12</v>
      </c>
      <c r="B1282" s="3">
        <v>4</v>
      </c>
      <c r="C1282" s="3">
        <v>36</v>
      </c>
      <c r="D1282" s="3">
        <v>16</v>
      </c>
      <c r="E1282" s="3">
        <v>-516.226</v>
      </c>
      <c r="F1282" s="4" t="str">
        <f>HYPERLINK("http://141.218.60.56/~jnz1568/getInfo.php?workbook=12_04.xlsx&amp;sheet=A0&amp;row=1282&amp;col=6&amp;number=559&amp;sourceID=14","559")</f>
        <v>559</v>
      </c>
      <c r="G1282" s="4" t="str">
        <f>HYPERLINK("http://141.218.60.56/~jnz1568/getInfo.php?workbook=12_04.xlsx&amp;sheet=A0&amp;row=1282&amp;col=7&amp;number=0&amp;sourceID=14","0")</f>
        <v>0</v>
      </c>
    </row>
    <row r="1283" spans="1:7">
      <c r="A1283" s="3">
        <v>12</v>
      </c>
      <c r="B1283" s="3">
        <v>4</v>
      </c>
      <c r="C1283" s="3">
        <v>37</v>
      </c>
      <c r="D1283" s="3">
        <v>16</v>
      </c>
      <c r="E1283" s="3">
        <v>504.109</v>
      </c>
      <c r="F1283" s="4" t="str">
        <f>HYPERLINK("http://141.218.60.56/~jnz1568/getInfo.php?workbook=12_04.xlsx&amp;sheet=A0&amp;row=1283&amp;col=6&amp;number=6180000&amp;sourceID=14","6180000")</f>
        <v>6180000</v>
      </c>
      <c r="G1283" s="4" t="str">
        <f>HYPERLINK("http://141.218.60.56/~jnz1568/getInfo.php?workbook=12_04.xlsx&amp;sheet=A0&amp;row=1283&amp;col=7&amp;number=0&amp;sourceID=14","0")</f>
        <v>0</v>
      </c>
    </row>
    <row r="1284" spans="1:7">
      <c r="A1284" s="3">
        <v>12</v>
      </c>
      <c r="B1284" s="3">
        <v>4</v>
      </c>
      <c r="C1284" s="3">
        <v>38</v>
      </c>
      <c r="D1284" s="3">
        <v>16</v>
      </c>
      <c r="E1284" s="3">
        <v>476.6</v>
      </c>
      <c r="F1284" s="4" t="str">
        <f>HYPERLINK("http://141.218.60.56/~jnz1568/getInfo.php?workbook=12_04.xlsx&amp;sheet=A0&amp;row=1284&amp;col=6&amp;number=0.242&amp;sourceID=14","0.242")</f>
        <v>0.242</v>
      </c>
      <c r="G1284" s="4" t="str">
        <f>HYPERLINK("http://141.218.60.56/~jnz1568/getInfo.php?workbook=12_04.xlsx&amp;sheet=A0&amp;row=1284&amp;col=7&amp;number=0&amp;sourceID=14","0")</f>
        <v>0</v>
      </c>
    </row>
    <row r="1285" spans="1:7">
      <c r="A1285" s="3">
        <v>12</v>
      </c>
      <c r="B1285" s="3">
        <v>4</v>
      </c>
      <c r="C1285" s="3">
        <v>39</v>
      </c>
      <c r="D1285" s="3">
        <v>16</v>
      </c>
      <c r="E1285" s="3">
        <v>475.376</v>
      </c>
      <c r="F1285" s="4" t="str">
        <f>HYPERLINK("http://141.218.60.56/~jnz1568/getInfo.php?workbook=12_04.xlsx&amp;sheet=A0&amp;row=1285&amp;col=6&amp;number=0.223&amp;sourceID=14","0.223")</f>
        <v>0.223</v>
      </c>
      <c r="G1285" s="4" t="str">
        <f>HYPERLINK("http://141.218.60.56/~jnz1568/getInfo.php?workbook=12_04.xlsx&amp;sheet=A0&amp;row=1285&amp;col=7&amp;number=0&amp;sourceID=14","0")</f>
        <v>0</v>
      </c>
    </row>
    <row r="1286" spans="1:7">
      <c r="A1286" s="3">
        <v>12</v>
      </c>
      <c r="B1286" s="3">
        <v>4</v>
      </c>
      <c r="C1286" s="3">
        <v>40</v>
      </c>
      <c r="D1286" s="3">
        <v>16</v>
      </c>
      <c r="E1286" s="3">
        <v>473.127</v>
      </c>
      <c r="F1286" s="4" t="str">
        <f>HYPERLINK("http://141.218.60.56/~jnz1568/getInfo.php?workbook=12_04.xlsx&amp;sheet=A0&amp;row=1286&amp;col=6&amp;number=0.276&amp;sourceID=14","0.276")</f>
        <v>0.276</v>
      </c>
      <c r="G1286" s="4" t="str">
        <f>HYPERLINK("http://141.218.60.56/~jnz1568/getInfo.php?workbook=12_04.xlsx&amp;sheet=A0&amp;row=1286&amp;col=7&amp;number=0&amp;sourceID=14","0")</f>
        <v>0</v>
      </c>
    </row>
    <row r="1287" spans="1:7">
      <c r="A1287" s="3">
        <v>12</v>
      </c>
      <c r="B1287" s="3">
        <v>4</v>
      </c>
      <c r="C1287" s="3">
        <v>41</v>
      </c>
      <c r="D1287" s="3">
        <v>16</v>
      </c>
      <c r="E1287" s="3">
        <v>459.306</v>
      </c>
      <c r="F1287" s="4" t="str">
        <f>HYPERLINK("http://141.218.60.56/~jnz1568/getInfo.php?workbook=12_04.xlsx&amp;sheet=A0&amp;row=1287&amp;col=6&amp;number=63.1&amp;sourceID=14","63.1")</f>
        <v>63.1</v>
      </c>
      <c r="G1287" s="4" t="str">
        <f>HYPERLINK("http://141.218.60.56/~jnz1568/getInfo.php?workbook=12_04.xlsx&amp;sheet=A0&amp;row=1287&amp;col=7&amp;number=0&amp;sourceID=14","0")</f>
        <v>0</v>
      </c>
    </row>
    <row r="1288" spans="1:7">
      <c r="A1288" s="3">
        <v>12</v>
      </c>
      <c r="B1288" s="3">
        <v>4</v>
      </c>
      <c r="C1288" s="3">
        <v>42</v>
      </c>
      <c r="D1288" s="3">
        <v>16</v>
      </c>
      <c r="E1288" s="3">
        <v>457.227</v>
      </c>
      <c r="F1288" s="4" t="str">
        <f>HYPERLINK("http://141.218.60.56/~jnz1568/getInfo.php?workbook=12_04.xlsx&amp;sheet=A0&amp;row=1288&amp;col=6&amp;number=135&amp;sourceID=14","135")</f>
        <v>135</v>
      </c>
      <c r="G1288" s="4" t="str">
        <f>HYPERLINK("http://141.218.60.56/~jnz1568/getInfo.php?workbook=12_04.xlsx&amp;sheet=A0&amp;row=1288&amp;col=7&amp;number=0&amp;sourceID=14","0")</f>
        <v>0</v>
      </c>
    </row>
    <row r="1289" spans="1:7">
      <c r="A1289" s="3">
        <v>12</v>
      </c>
      <c r="B1289" s="3">
        <v>4</v>
      </c>
      <c r="C1289" s="3">
        <v>43</v>
      </c>
      <c r="D1289" s="3">
        <v>16</v>
      </c>
      <c r="E1289" s="3">
        <v>456.143</v>
      </c>
      <c r="F1289" s="4" t="str">
        <f>HYPERLINK("http://141.218.60.56/~jnz1568/getInfo.php?workbook=12_04.xlsx&amp;sheet=A0&amp;row=1289&amp;col=6&amp;number=182&amp;sourceID=14","182")</f>
        <v>182</v>
      </c>
      <c r="G1289" s="4" t="str">
        <f>HYPERLINK("http://141.218.60.56/~jnz1568/getInfo.php?workbook=12_04.xlsx&amp;sheet=A0&amp;row=1289&amp;col=7&amp;number=0&amp;sourceID=14","0")</f>
        <v>0</v>
      </c>
    </row>
    <row r="1290" spans="1:7">
      <c r="A1290" s="3">
        <v>12</v>
      </c>
      <c r="B1290" s="3">
        <v>4</v>
      </c>
      <c r="C1290" s="3">
        <v>44</v>
      </c>
      <c r="D1290" s="3">
        <v>16</v>
      </c>
      <c r="E1290" s="3">
        <v>-424.79</v>
      </c>
      <c r="F1290" s="4" t="str">
        <f>HYPERLINK("http://141.218.60.56/~jnz1568/getInfo.php?workbook=12_04.xlsx&amp;sheet=A0&amp;row=1290&amp;col=6&amp;number=0.224&amp;sourceID=14","0.224")</f>
        <v>0.224</v>
      </c>
      <c r="G1290" s="4" t="str">
        <f>HYPERLINK("http://141.218.60.56/~jnz1568/getInfo.php?workbook=12_04.xlsx&amp;sheet=A0&amp;row=1290&amp;col=7&amp;number=0&amp;sourceID=14","0")</f>
        <v>0</v>
      </c>
    </row>
    <row r="1291" spans="1:7">
      <c r="A1291" s="3">
        <v>12</v>
      </c>
      <c r="B1291" s="3">
        <v>4</v>
      </c>
      <c r="C1291" s="3">
        <v>45</v>
      </c>
      <c r="D1291" s="3">
        <v>16</v>
      </c>
      <c r="E1291" s="3">
        <v>421.604</v>
      </c>
      <c r="F1291" s="4" t="str">
        <f>HYPERLINK("http://141.218.60.56/~jnz1568/getInfo.php?workbook=12_04.xlsx&amp;sheet=A0&amp;row=1291&amp;col=6&amp;number=0.432&amp;sourceID=14","0.432")</f>
        <v>0.432</v>
      </c>
      <c r="G1291" s="4" t="str">
        <f>HYPERLINK("http://141.218.60.56/~jnz1568/getInfo.php?workbook=12_04.xlsx&amp;sheet=A0&amp;row=1291&amp;col=7&amp;number=0&amp;sourceID=14","0")</f>
        <v>0</v>
      </c>
    </row>
    <row r="1292" spans="1:7">
      <c r="A1292" s="3">
        <v>12</v>
      </c>
      <c r="B1292" s="3">
        <v>4</v>
      </c>
      <c r="C1292" s="3">
        <v>46</v>
      </c>
      <c r="D1292" s="3">
        <v>16</v>
      </c>
      <c r="E1292" s="3">
        <v>409.736</v>
      </c>
      <c r="F1292" s="4" t="str">
        <f>HYPERLINK("http://141.218.60.56/~jnz1568/getInfo.php?workbook=12_04.xlsx&amp;sheet=A0&amp;row=1292&amp;col=6&amp;number=0.346&amp;sourceID=14","0.346")</f>
        <v>0.346</v>
      </c>
      <c r="G1292" s="4" t="str">
        <f>HYPERLINK("http://141.218.60.56/~jnz1568/getInfo.php?workbook=12_04.xlsx&amp;sheet=A0&amp;row=1292&amp;col=7&amp;number=0&amp;sourceID=14","0")</f>
        <v>0</v>
      </c>
    </row>
    <row r="1293" spans="1:7">
      <c r="A1293" s="3">
        <v>12</v>
      </c>
      <c r="B1293" s="3">
        <v>4</v>
      </c>
      <c r="C1293" s="3">
        <v>47</v>
      </c>
      <c r="D1293" s="3">
        <v>16</v>
      </c>
      <c r="E1293" s="3">
        <v>-225.32</v>
      </c>
      <c r="F1293" s="4" t="str">
        <f>HYPERLINK("http://141.218.60.56/~jnz1568/getInfo.php?workbook=12_04.xlsx&amp;sheet=A0&amp;row=1293&amp;col=6&amp;number=11400000000&amp;sourceID=14","11400000000")</f>
        <v>11400000000</v>
      </c>
      <c r="G1293" s="4" t="str">
        <f>HYPERLINK("http://141.218.60.56/~jnz1568/getInfo.php?workbook=12_04.xlsx&amp;sheet=A0&amp;row=1293&amp;col=7&amp;number=0&amp;sourceID=14","0")</f>
        <v>0</v>
      </c>
    </row>
    <row r="1294" spans="1:7">
      <c r="A1294" s="3">
        <v>12</v>
      </c>
      <c r="B1294" s="3">
        <v>4</v>
      </c>
      <c r="C1294" s="3">
        <v>48</v>
      </c>
      <c r="D1294" s="3">
        <v>16</v>
      </c>
      <c r="E1294" s="3">
        <v>-220.321</v>
      </c>
      <c r="F1294" s="4" t="str">
        <f>HYPERLINK("http://141.218.60.56/~jnz1568/getInfo.php?workbook=12_04.xlsx&amp;sheet=A0&amp;row=1294&amp;col=6&amp;number=31.9&amp;sourceID=14","31.9")</f>
        <v>31.9</v>
      </c>
      <c r="G1294" s="4" t="str">
        <f>HYPERLINK("http://141.218.60.56/~jnz1568/getInfo.php?workbook=12_04.xlsx&amp;sheet=A0&amp;row=1294&amp;col=7&amp;number=0&amp;sourceID=14","0")</f>
        <v>0</v>
      </c>
    </row>
    <row r="1295" spans="1:7">
      <c r="A1295" s="3">
        <v>12</v>
      </c>
      <c r="B1295" s="3">
        <v>4</v>
      </c>
      <c r="C1295" s="3">
        <v>49</v>
      </c>
      <c r="D1295" s="3">
        <v>16</v>
      </c>
      <c r="E1295" s="3">
        <v>-213.488</v>
      </c>
      <c r="F1295" s="4" t="str">
        <f>HYPERLINK("http://141.218.60.56/~jnz1568/getInfo.php?workbook=12_04.xlsx&amp;sheet=A0&amp;row=1295&amp;col=6&amp;number=1470000&amp;sourceID=14","1470000")</f>
        <v>1470000</v>
      </c>
      <c r="G1295" s="4" t="str">
        <f>HYPERLINK("http://141.218.60.56/~jnz1568/getInfo.php?workbook=12_04.xlsx&amp;sheet=A0&amp;row=1295&amp;col=7&amp;number=0&amp;sourceID=14","0")</f>
        <v>0</v>
      </c>
    </row>
    <row r="1296" spans="1:7">
      <c r="A1296" s="3">
        <v>12</v>
      </c>
      <c r="B1296" s="3">
        <v>4</v>
      </c>
      <c r="C1296" s="3">
        <v>50</v>
      </c>
      <c r="D1296" s="3">
        <v>16</v>
      </c>
      <c r="E1296" s="3">
        <v>-213.435</v>
      </c>
      <c r="F1296" s="4" t="str">
        <f>HYPERLINK("http://141.218.60.56/~jnz1568/getInfo.php?workbook=12_04.xlsx&amp;sheet=A0&amp;row=1296&amp;col=6&amp;number=1100000&amp;sourceID=14","1100000")</f>
        <v>1100000</v>
      </c>
      <c r="G1296" s="4" t="str">
        <f>HYPERLINK("http://141.218.60.56/~jnz1568/getInfo.php?workbook=12_04.xlsx&amp;sheet=A0&amp;row=1296&amp;col=7&amp;number=0&amp;sourceID=14","0")</f>
        <v>0</v>
      </c>
    </row>
    <row r="1297" spans="1:7">
      <c r="A1297" s="3">
        <v>12</v>
      </c>
      <c r="B1297" s="3">
        <v>4</v>
      </c>
      <c r="C1297" s="3">
        <v>51</v>
      </c>
      <c r="D1297" s="3">
        <v>16</v>
      </c>
      <c r="E1297" s="3">
        <v>-213.315</v>
      </c>
      <c r="F1297" s="4" t="str">
        <f>HYPERLINK("http://141.218.60.56/~jnz1568/getInfo.php?workbook=12_04.xlsx&amp;sheet=A0&amp;row=1297&amp;col=6&amp;number=515000&amp;sourceID=14","515000")</f>
        <v>515000</v>
      </c>
      <c r="G1297" s="4" t="str">
        <f>HYPERLINK("http://141.218.60.56/~jnz1568/getInfo.php?workbook=12_04.xlsx&amp;sheet=A0&amp;row=1297&amp;col=7&amp;number=0&amp;sourceID=14","0")</f>
        <v>0</v>
      </c>
    </row>
    <row r="1298" spans="1:7">
      <c r="A1298" s="3">
        <v>12</v>
      </c>
      <c r="B1298" s="3">
        <v>4</v>
      </c>
      <c r="C1298" s="3">
        <v>52</v>
      </c>
      <c r="D1298" s="3">
        <v>16</v>
      </c>
      <c r="E1298" s="3">
        <v>212.233</v>
      </c>
      <c r="F1298" s="4" t="str">
        <f>HYPERLINK("http://141.218.60.56/~jnz1568/getInfo.php?workbook=12_04.xlsx&amp;sheet=A0&amp;row=1298&amp;col=6&amp;number=3830&amp;sourceID=14","3830")</f>
        <v>3830</v>
      </c>
      <c r="G1298" s="4" t="str">
        <f>HYPERLINK("http://141.218.60.56/~jnz1568/getInfo.php?workbook=12_04.xlsx&amp;sheet=A0&amp;row=1298&amp;col=7&amp;number=0&amp;sourceID=14","0")</f>
        <v>0</v>
      </c>
    </row>
    <row r="1299" spans="1:7">
      <c r="A1299" s="3">
        <v>12</v>
      </c>
      <c r="B1299" s="3">
        <v>4</v>
      </c>
      <c r="C1299" s="3">
        <v>53</v>
      </c>
      <c r="D1299" s="3">
        <v>16</v>
      </c>
      <c r="E1299" s="3">
        <v>207.267</v>
      </c>
      <c r="F1299" s="4" t="str">
        <f>HYPERLINK("http://141.218.60.56/~jnz1568/getInfo.php?workbook=12_04.xlsx&amp;sheet=A0&amp;row=1299&amp;col=6&amp;number=1240000000&amp;sourceID=14","1240000000")</f>
        <v>1240000000</v>
      </c>
      <c r="G1299" s="4" t="str">
        <f>HYPERLINK("http://141.218.60.56/~jnz1568/getInfo.php?workbook=12_04.xlsx&amp;sheet=A0&amp;row=1299&amp;col=7&amp;number=0&amp;sourceID=14","0")</f>
        <v>0</v>
      </c>
    </row>
    <row r="1300" spans="1:7">
      <c r="A1300" s="3">
        <v>12</v>
      </c>
      <c r="B1300" s="3">
        <v>4</v>
      </c>
      <c r="C1300" s="3">
        <v>54</v>
      </c>
      <c r="D1300" s="3">
        <v>16</v>
      </c>
      <c r="E1300" s="3">
        <v>207.267</v>
      </c>
      <c r="F1300" s="4" t="str">
        <f>HYPERLINK("http://141.218.60.56/~jnz1568/getInfo.php?workbook=12_04.xlsx&amp;sheet=A0&amp;row=1300&amp;col=6&amp;number=11200000000&amp;sourceID=14","11200000000")</f>
        <v>11200000000</v>
      </c>
      <c r="G1300" s="4" t="str">
        <f>HYPERLINK("http://141.218.60.56/~jnz1568/getInfo.php?workbook=12_04.xlsx&amp;sheet=A0&amp;row=1300&amp;col=7&amp;number=0&amp;sourceID=14","0")</f>
        <v>0</v>
      </c>
    </row>
    <row r="1301" spans="1:7">
      <c r="A1301" s="3">
        <v>12</v>
      </c>
      <c r="B1301" s="3">
        <v>4</v>
      </c>
      <c r="C1301" s="3">
        <v>55</v>
      </c>
      <c r="D1301" s="3">
        <v>16</v>
      </c>
      <c r="E1301" s="3">
        <v>207.233</v>
      </c>
      <c r="F1301" s="4" t="str">
        <f>HYPERLINK("http://141.218.60.56/~jnz1568/getInfo.php?workbook=12_04.xlsx&amp;sheet=A0&amp;row=1301&amp;col=6&amp;number=44800000000&amp;sourceID=14","44800000000")</f>
        <v>44800000000</v>
      </c>
      <c r="G1301" s="4" t="str">
        <f>HYPERLINK("http://141.218.60.56/~jnz1568/getInfo.php?workbook=12_04.xlsx&amp;sheet=A0&amp;row=1301&amp;col=7&amp;number=0&amp;sourceID=14","0")</f>
        <v>0</v>
      </c>
    </row>
    <row r="1302" spans="1:7">
      <c r="A1302" s="3">
        <v>12</v>
      </c>
      <c r="B1302" s="3">
        <v>4</v>
      </c>
      <c r="C1302" s="3">
        <v>56</v>
      </c>
      <c r="D1302" s="3">
        <v>16</v>
      </c>
      <c r="E1302" s="3">
        <v>203.92</v>
      </c>
      <c r="F1302" s="4" t="str">
        <f>HYPERLINK("http://141.218.60.56/~jnz1568/getInfo.php?workbook=12_04.xlsx&amp;sheet=A0&amp;row=1302&amp;col=6&amp;number=400000&amp;sourceID=14","400000")</f>
        <v>400000</v>
      </c>
      <c r="G1302" s="4" t="str">
        <f>HYPERLINK("http://141.218.60.56/~jnz1568/getInfo.php?workbook=12_04.xlsx&amp;sheet=A0&amp;row=1302&amp;col=7&amp;number=0&amp;sourceID=14","0")</f>
        <v>0</v>
      </c>
    </row>
    <row r="1303" spans="1:7">
      <c r="A1303" s="3">
        <v>12</v>
      </c>
      <c r="B1303" s="3">
        <v>4</v>
      </c>
      <c r="C1303" s="3">
        <v>57</v>
      </c>
      <c r="D1303" s="3">
        <v>16</v>
      </c>
      <c r="E1303" s="3">
        <v>-203.48</v>
      </c>
      <c r="F1303" s="4" t="str">
        <f>HYPERLINK("http://141.218.60.56/~jnz1568/getInfo.php?workbook=12_04.xlsx&amp;sheet=A0&amp;row=1303&amp;col=6&amp;number=298000&amp;sourceID=14","298000")</f>
        <v>298000</v>
      </c>
      <c r="G1303" s="4" t="str">
        <f>HYPERLINK("http://141.218.60.56/~jnz1568/getInfo.php?workbook=12_04.xlsx&amp;sheet=A0&amp;row=1303&amp;col=7&amp;number=0&amp;sourceID=14","0")</f>
        <v>0</v>
      </c>
    </row>
    <row r="1304" spans="1:7">
      <c r="A1304" s="3">
        <v>12</v>
      </c>
      <c r="B1304" s="3">
        <v>4</v>
      </c>
      <c r="C1304" s="3">
        <v>58</v>
      </c>
      <c r="D1304" s="3">
        <v>16</v>
      </c>
      <c r="E1304" s="3">
        <v>-203.468</v>
      </c>
      <c r="F1304" s="4" t="str">
        <f>HYPERLINK("http://141.218.60.56/~jnz1568/getInfo.php?workbook=12_04.xlsx&amp;sheet=A0&amp;row=1304&amp;col=6&amp;number=1490000&amp;sourceID=14","1490000")</f>
        <v>1490000</v>
      </c>
      <c r="G1304" s="4" t="str">
        <f>HYPERLINK("http://141.218.60.56/~jnz1568/getInfo.php?workbook=12_04.xlsx&amp;sheet=A0&amp;row=1304&amp;col=7&amp;number=0&amp;sourceID=14","0")</f>
        <v>0</v>
      </c>
    </row>
    <row r="1305" spans="1:7">
      <c r="A1305" s="3">
        <v>12</v>
      </c>
      <c r="B1305" s="3">
        <v>4</v>
      </c>
      <c r="C1305" s="3">
        <v>59</v>
      </c>
      <c r="D1305" s="3">
        <v>16</v>
      </c>
      <c r="E1305" s="3">
        <v>-203.452</v>
      </c>
      <c r="F1305" s="4" t="str">
        <f>HYPERLINK("http://141.218.60.56/~jnz1568/getInfo.php?workbook=12_04.xlsx&amp;sheet=A0&amp;row=1305&amp;col=6&amp;number=4470000&amp;sourceID=14","4470000")</f>
        <v>4470000</v>
      </c>
      <c r="G1305" s="4" t="str">
        <f>HYPERLINK("http://141.218.60.56/~jnz1568/getInfo.php?workbook=12_04.xlsx&amp;sheet=A0&amp;row=1305&amp;col=7&amp;number=0&amp;sourceID=14","0")</f>
        <v>0</v>
      </c>
    </row>
    <row r="1306" spans="1:7">
      <c r="A1306" s="3">
        <v>12</v>
      </c>
      <c r="B1306" s="3">
        <v>4</v>
      </c>
      <c r="C1306" s="3">
        <v>60</v>
      </c>
      <c r="D1306" s="3">
        <v>16</v>
      </c>
      <c r="E1306" s="3">
        <v>-202.412</v>
      </c>
      <c r="F1306" s="4" t="str">
        <f>HYPERLINK("http://141.218.60.56/~jnz1568/getInfo.php?workbook=12_04.xlsx&amp;sheet=A0&amp;row=1306&amp;col=6&amp;number=108&amp;sourceID=14","108")</f>
        <v>108</v>
      </c>
      <c r="G1306" s="4" t="str">
        <f>HYPERLINK("http://141.218.60.56/~jnz1568/getInfo.php?workbook=12_04.xlsx&amp;sheet=A0&amp;row=1306&amp;col=7&amp;number=0&amp;sourceID=14","0")</f>
        <v>0</v>
      </c>
    </row>
    <row r="1307" spans="1:7">
      <c r="A1307" s="3">
        <v>12</v>
      </c>
      <c r="B1307" s="3">
        <v>4</v>
      </c>
      <c r="C1307" s="3">
        <v>61</v>
      </c>
      <c r="D1307" s="3">
        <v>16</v>
      </c>
      <c r="E1307" s="3">
        <v>-164.002</v>
      </c>
      <c r="F1307" s="4" t="str">
        <f>HYPERLINK("http://141.218.60.56/~jnz1568/getInfo.php?workbook=12_04.xlsx&amp;sheet=A0&amp;row=1307&amp;col=6&amp;number=558&amp;sourceID=14","558")</f>
        <v>558</v>
      </c>
      <c r="G1307" s="4" t="str">
        <f>HYPERLINK("http://141.218.60.56/~jnz1568/getInfo.php?workbook=12_04.xlsx&amp;sheet=A0&amp;row=1307&amp;col=7&amp;number=0&amp;sourceID=14","0")</f>
        <v>0</v>
      </c>
    </row>
    <row r="1308" spans="1:7">
      <c r="A1308" s="3">
        <v>12</v>
      </c>
      <c r="B1308" s="3">
        <v>4</v>
      </c>
      <c r="C1308" s="3">
        <v>62</v>
      </c>
      <c r="D1308" s="3">
        <v>16</v>
      </c>
      <c r="E1308" s="3">
        <v>-163.755</v>
      </c>
      <c r="F1308" s="4" t="str">
        <f>HYPERLINK("http://141.218.60.56/~jnz1568/getInfo.php?workbook=12_04.xlsx&amp;sheet=A0&amp;row=1308&amp;col=6&amp;number=387&amp;sourceID=14","387")</f>
        <v>387</v>
      </c>
      <c r="G1308" s="4" t="str">
        <f>HYPERLINK("http://141.218.60.56/~jnz1568/getInfo.php?workbook=12_04.xlsx&amp;sheet=A0&amp;row=1308&amp;col=7&amp;number=0&amp;sourceID=14","0")</f>
        <v>0</v>
      </c>
    </row>
    <row r="1309" spans="1:7">
      <c r="A1309" s="3">
        <v>12</v>
      </c>
      <c r="B1309" s="3">
        <v>4</v>
      </c>
      <c r="C1309" s="3">
        <v>63</v>
      </c>
      <c r="D1309" s="3">
        <v>16</v>
      </c>
      <c r="E1309" s="3">
        <v>-162.96</v>
      </c>
      <c r="F1309" s="4" t="str">
        <f>HYPERLINK("http://141.218.60.56/~jnz1568/getInfo.php?workbook=12_04.xlsx&amp;sheet=A0&amp;row=1309&amp;col=6&amp;number=174&amp;sourceID=14","174")</f>
        <v>174</v>
      </c>
      <c r="G1309" s="4" t="str">
        <f>HYPERLINK("http://141.218.60.56/~jnz1568/getInfo.php?workbook=12_04.xlsx&amp;sheet=A0&amp;row=1309&amp;col=7&amp;number=0&amp;sourceID=14","0")</f>
        <v>0</v>
      </c>
    </row>
    <row r="1310" spans="1:7">
      <c r="A1310" s="3">
        <v>12</v>
      </c>
      <c r="B1310" s="3">
        <v>4</v>
      </c>
      <c r="C1310" s="3">
        <v>64</v>
      </c>
      <c r="D1310" s="3">
        <v>16</v>
      </c>
      <c r="E1310" s="3">
        <v>-161.32</v>
      </c>
      <c r="F1310" s="4" t="str">
        <f>HYPERLINK("http://141.218.60.56/~jnz1568/getInfo.php?workbook=12_04.xlsx&amp;sheet=A0&amp;row=1310&amp;col=6&amp;number=16.8&amp;sourceID=14","16.8")</f>
        <v>16.8</v>
      </c>
      <c r="G1310" s="4" t="str">
        <f>HYPERLINK("http://141.218.60.56/~jnz1568/getInfo.php?workbook=12_04.xlsx&amp;sheet=A0&amp;row=1310&amp;col=7&amp;number=0&amp;sourceID=14","0")</f>
        <v>0</v>
      </c>
    </row>
    <row r="1311" spans="1:7">
      <c r="A1311" s="3">
        <v>12</v>
      </c>
      <c r="B1311" s="3">
        <v>4</v>
      </c>
      <c r="C1311" s="3">
        <v>65</v>
      </c>
      <c r="D1311" s="3">
        <v>16</v>
      </c>
      <c r="E1311" s="3">
        <v>-159.384</v>
      </c>
      <c r="F1311" s="4" t="str">
        <f>HYPERLINK("http://141.218.60.56/~jnz1568/getInfo.php?workbook=12_04.xlsx&amp;sheet=A0&amp;row=1311&amp;col=6&amp;number=2330000&amp;sourceID=14","2330000")</f>
        <v>2330000</v>
      </c>
      <c r="G1311" s="4" t="str">
        <f>HYPERLINK("http://141.218.60.56/~jnz1568/getInfo.php?workbook=12_04.xlsx&amp;sheet=A0&amp;row=1311&amp;col=7&amp;number=0&amp;sourceID=14","0")</f>
        <v>0</v>
      </c>
    </row>
    <row r="1312" spans="1:7">
      <c r="A1312" s="3">
        <v>12</v>
      </c>
      <c r="B1312" s="3">
        <v>4</v>
      </c>
      <c r="C1312" s="3">
        <v>66</v>
      </c>
      <c r="D1312" s="3">
        <v>16</v>
      </c>
      <c r="E1312" s="3">
        <v>-158.739</v>
      </c>
      <c r="F1312" s="4" t="str">
        <f>HYPERLINK("http://141.218.60.56/~jnz1568/getInfo.php?workbook=12_04.xlsx&amp;sheet=A0&amp;row=1312&amp;col=6&amp;number=5410000&amp;sourceID=14","5410000")</f>
        <v>5410000</v>
      </c>
      <c r="G1312" s="4" t="str">
        <f>HYPERLINK("http://141.218.60.56/~jnz1568/getInfo.php?workbook=12_04.xlsx&amp;sheet=A0&amp;row=1312&amp;col=7&amp;number=0&amp;sourceID=14","0")</f>
        <v>0</v>
      </c>
    </row>
    <row r="1313" spans="1:7">
      <c r="A1313" s="3">
        <v>12</v>
      </c>
      <c r="B1313" s="3">
        <v>4</v>
      </c>
      <c r="C1313" s="3">
        <v>67</v>
      </c>
      <c r="D1313" s="3">
        <v>16</v>
      </c>
      <c r="E1313" s="3">
        <v>-158.625</v>
      </c>
      <c r="F1313" s="4" t="str">
        <f>HYPERLINK("http://141.218.60.56/~jnz1568/getInfo.php?workbook=12_04.xlsx&amp;sheet=A0&amp;row=1313&amp;col=6&amp;number=1250000&amp;sourceID=14","1250000")</f>
        <v>1250000</v>
      </c>
      <c r="G1313" s="4" t="str">
        <f>HYPERLINK("http://141.218.60.56/~jnz1568/getInfo.php?workbook=12_04.xlsx&amp;sheet=A0&amp;row=1313&amp;col=7&amp;number=0&amp;sourceID=14","0")</f>
        <v>0</v>
      </c>
    </row>
    <row r="1314" spans="1:7">
      <c r="A1314" s="3">
        <v>12</v>
      </c>
      <c r="B1314" s="3">
        <v>4</v>
      </c>
      <c r="C1314" s="3">
        <v>68</v>
      </c>
      <c r="D1314" s="3">
        <v>16</v>
      </c>
      <c r="E1314" s="3">
        <v>158.171</v>
      </c>
      <c r="F1314" s="4" t="str">
        <f>HYPERLINK("http://141.218.60.56/~jnz1568/getInfo.php?workbook=12_04.xlsx&amp;sheet=A0&amp;row=1314&amp;col=6&amp;number=6280000&amp;sourceID=14","6280000")</f>
        <v>6280000</v>
      </c>
      <c r="G1314" s="4" t="str">
        <f>HYPERLINK("http://141.218.60.56/~jnz1568/getInfo.php?workbook=12_04.xlsx&amp;sheet=A0&amp;row=1314&amp;col=7&amp;number=0&amp;sourceID=14","0")</f>
        <v>0</v>
      </c>
    </row>
    <row r="1315" spans="1:7">
      <c r="A1315" s="3">
        <v>12</v>
      </c>
      <c r="B1315" s="3">
        <v>4</v>
      </c>
      <c r="C1315" s="3">
        <v>69</v>
      </c>
      <c r="D1315" s="3">
        <v>16</v>
      </c>
      <c r="E1315" s="3">
        <v>-157.294</v>
      </c>
      <c r="F1315" s="4" t="str">
        <f>HYPERLINK("http://141.218.60.56/~jnz1568/getInfo.php?workbook=12_04.xlsx&amp;sheet=A0&amp;row=1315&amp;col=6&amp;number=149000000&amp;sourceID=14","149000000")</f>
        <v>149000000</v>
      </c>
      <c r="G1315" s="4" t="str">
        <f>HYPERLINK("http://141.218.60.56/~jnz1568/getInfo.php?workbook=12_04.xlsx&amp;sheet=A0&amp;row=1315&amp;col=7&amp;number=0&amp;sourceID=14","0")</f>
        <v>0</v>
      </c>
    </row>
    <row r="1316" spans="1:7">
      <c r="A1316" s="3">
        <v>12</v>
      </c>
      <c r="B1316" s="3">
        <v>4</v>
      </c>
      <c r="C1316" s="3">
        <v>70</v>
      </c>
      <c r="D1316" s="3">
        <v>16</v>
      </c>
      <c r="E1316" s="3">
        <v>-157.138</v>
      </c>
      <c r="F1316" s="4" t="str">
        <f>HYPERLINK("http://141.218.60.56/~jnz1568/getInfo.php?workbook=12_04.xlsx&amp;sheet=A0&amp;row=1316&amp;col=6&amp;number=0.0937&amp;sourceID=14","0.0937")</f>
        <v>0.0937</v>
      </c>
      <c r="G1316" s="4" t="str">
        <f>HYPERLINK("http://141.218.60.56/~jnz1568/getInfo.php?workbook=12_04.xlsx&amp;sheet=A0&amp;row=1316&amp;col=7&amp;number=0&amp;sourceID=14","0")</f>
        <v>0</v>
      </c>
    </row>
    <row r="1317" spans="1:7">
      <c r="A1317" s="3">
        <v>12</v>
      </c>
      <c r="B1317" s="3">
        <v>4</v>
      </c>
      <c r="C1317" s="3">
        <v>71</v>
      </c>
      <c r="D1317" s="3">
        <v>16</v>
      </c>
      <c r="E1317" s="3">
        <v>-156.662</v>
      </c>
      <c r="F1317" s="4" t="str">
        <f>HYPERLINK("http://141.218.60.56/~jnz1568/getInfo.php?workbook=12_04.xlsx&amp;sheet=A0&amp;row=1317&amp;col=6&amp;number=77500000&amp;sourceID=14","77500000")</f>
        <v>77500000</v>
      </c>
      <c r="G1317" s="4" t="str">
        <f>HYPERLINK("http://141.218.60.56/~jnz1568/getInfo.php?workbook=12_04.xlsx&amp;sheet=A0&amp;row=1317&amp;col=7&amp;number=0&amp;sourceID=14","0")</f>
        <v>0</v>
      </c>
    </row>
    <row r="1318" spans="1:7">
      <c r="A1318" s="3">
        <v>12</v>
      </c>
      <c r="B1318" s="3">
        <v>4</v>
      </c>
      <c r="C1318" s="3">
        <v>72</v>
      </c>
      <c r="D1318" s="3">
        <v>16</v>
      </c>
      <c r="E1318" s="3">
        <v>156.777</v>
      </c>
      <c r="F1318" s="4" t="str">
        <f>HYPERLINK("http://141.218.60.56/~jnz1568/getInfo.php?workbook=12_04.xlsx&amp;sheet=A0&amp;row=1318&amp;col=6&amp;number=106000&amp;sourceID=14","106000")</f>
        <v>106000</v>
      </c>
      <c r="G1318" s="4" t="str">
        <f>HYPERLINK("http://141.218.60.56/~jnz1568/getInfo.php?workbook=12_04.xlsx&amp;sheet=A0&amp;row=1318&amp;col=7&amp;number=0&amp;sourceID=14","0")</f>
        <v>0</v>
      </c>
    </row>
    <row r="1319" spans="1:7">
      <c r="A1319" s="3">
        <v>12</v>
      </c>
      <c r="B1319" s="3">
        <v>4</v>
      </c>
      <c r="C1319" s="3">
        <v>73</v>
      </c>
      <c r="D1319" s="3">
        <v>16</v>
      </c>
      <c r="E1319" s="3">
        <v>-155.807</v>
      </c>
      <c r="F1319" s="4" t="str">
        <f>HYPERLINK("http://141.218.60.56/~jnz1568/getInfo.php?workbook=12_04.xlsx&amp;sheet=A0&amp;row=1319&amp;col=6&amp;number=515&amp;sourceID=14","515")</f>
        <v>515</v>
      </c>
      <c r="G1319" s="4" t="str">
        <f>HYPERLINK("http://141.218.60.56/~jnz1568/getInfo.php?workbook=12_04.xlsx&amp;sheet=A0&amp;row=1319&amp;col=7&amp;number=0&amp;sourceID=14","0")</f>
        <v>0</v>
      </c>
    </row>
    <row r="1320" spans="1:7">
      <c r="A1320" s="3">
        <v>12</v>
      </c>
      <c r="B1320" s="3">
        <v>4</v>
      </c>
      <c r="C1320" s="3">
        <v>74</v>
      </c>
      <c r="D1320" s="3">
        <v>16</v>
      </c>
      <c r="E1320" s="3">
        <v>-155.345</v>
      </c>
      <c r="F1320" s="4" t="str">
        <f>HYPERLINK("http://141.218.60.56/~jnz1568/getInfo.php?workbook=12_04.xlsx&amp;sheet=A0&amp;row=1320&amp;col=6&amp;number=5710&amp;sourceID=14","5710")</f>
        <v>5710</v>
      </c>
      <c r="G1320" s="4" t="str">
        <f>HYPERLINK("http://141.218.60.56/~jnz1568/getInfo.php?workbook=12_04.xlsx&amp;sheet=A0&amp;row=1320&amp;col=7&amp;number=0&amp;sourceID=14","0")</f>
        <v>0</v>
      </c>
    </row>
    <row r="1321" spans="1:7">
      <c r="A1321" s="3">
        <v>12</v>
      </c>
      <c r="B1321" s="3">
        <v>4</v>
      </c>
      <c r="C1321" s="3">
        <v>75</v>
      </c>
      <c r="D1321" s="3">
        <v>16</v>
      </c>
      <c r="E1321" s="3">
        <v>155.35</v>
      </c>
      <c r="F1321" s="4" t="str">
        <f>HYPERLINK("http://141.218.60.56/~jnz1568/getInfo.php?workbook=12_04.xlsx&amp;sheet=A0&amp;row=1321&amp;col=6&amp;number=1010&amp;sourceID=14","1010")</f>
        <v>1010</v>
      </c>
      <c r="G1321" s="4" t="str">
        <f>HYPERLINK("http://141.218.60.56/~jnz1568/getInfo.php?workbook=12_04.xlsx&amp;sheet=A0&amp;row=1321&amp;col=7&amp;number=0&amp;sourceID=14","0")</f>
        <v>0</v>
      </c>
    </row>
    <row r="1322" spans="1:7">
      <c r="A1322" s="3">
        <v>12</v>
      </c>
      <c r="B1322" s="3">
        <v>4</v>
      </c>
      <c r="C1322" s="3">
        <v>76</v>
      </c>
      <c r="D1322" s="3">
        <v>16</v>
      </c>
      <c r="E1322" s="3">
        <v>155.381</v>
      </c>
      <c r="F1322" s="4" t="str">
        <f>HYPERLINK("http://141.218.60.56/~jnz1568/getInfo.php?workbook=12_04.xlsx&amp;sheet=A0&amp;row=1322&amp;col=6&amp;number=217000&amp;sourceID=14","217000")</f>
        <v>217000</v>
      </c>
      <c r="G1322" s="4" t="str">
        <f>HYPERLINK("http://141.218.60.56/~jnz1568/getInfo.php?workbook=12_04.xlsx&amp;sheet=A0&amp;row=1322&amp;col=7&amp;number=0&amp;sourceID=14","0")</f>
        <v>0</v>
      </c>
    </row>
    <row r="1323" spans="1:7">
      <c r="A1323" s="3">
        <v>12</v>
      </c>
      <c r="B1323" s="3">
        <v>4</v>
      </c>
      <c r="C1323" s="3">
        <v>77</v>
      </c>
      <c r="D1323" s="3">
        <v>16</v>
      </c>
      <c r="E1323" s="3">
        <v>-154.822</v>
      </c>
      <c r="F1323" s="4" t="str">
        <f>HYPERLINK("http://141.218.60.56/~jnz1568/getInfo.php?workbook=12_04.xlsx&amp;sheet=A0&amp;row=1323&amp;col=6&amp;number=21800&amp;sourceID=14","21800")</f>
        <v>21800</v>
      </c>
      <c r="G1323" s="4" t="str">
        <f>HYPERLINK("http://141.218.60.56/~jnz1568/getInfo.php?workbook=12_04.xlsx&amp;sheet=A0&amp;row=1323&amp;col=7&amp;number=0&amp;sourceID=14","0")</f>
        <v>0</v>
      </c>
    </row>
    <row r="1324" spans="1:7">
      <c r="A1324" s="3">
        <v>12</v>
      </c>
      <c r="B1324" s="3">
        <v>4</v>
      </c>
      <c r="C1324" s="3">
        <v>78</v>
      </c>
      <c r="D1324" s="3">
        <v>16</v>
      </c>
      <c r="E1324" s="3">
        <v>-154.105</v>
      </c>
      <c r="F1324" s="4" t="str">
        <f>HYPERLINK("http://141.218.60.56/~jnz1568/getInfo.php?workbook=12_04.xlsx&amp;sheet=A0&amp;row=1324&amp;col=6&amp;number=483&amp;sourceID=14","483")</f>
        <v>483</v>
      </c>
      <c r="G1324" s="4" t="str">
        <f>HYPERLINK("http://141.218.60.56/~jnz1568/getInfo.php?workbook=12_04.xlsx&amp;sheet=A0&amp;row=1324&amp;col=7&amp;number=0&amp;sourceID=14","0")</f>
        <v>0</v>
      </c>
    </row>
    <row r="1325" spans="1:7">
      <c r="A1325" s="3">
        <v>12</v>
      </c>
      <c r="B1325" s="3">
        <v>4</v>
      </c>
      <c r="C1325" s="3">
        <v>79</v>
      </c>
      <c r="D1325" s="3">
        <v>16</v>
      </c>
      <c r="E1325" s="3">
        <v>-153.958</v>
      </c>
      <c r="F1325" s="4" t="str">
        <f>HYPERLINK("http://141.218.60.56/~jnz1568/getInfo.php?workbook=12_04.xlsx&amp;sheet=A0&amp;row=1325&amp;col=6&amp;number=56.4&amp;sourceID=14","56.4")</f>
        <v>56.4</v>
      </c>
      <c r="G1325" s="4" t="str">
        <f>HYPERLINK("http://141.218.60.56/~jnz1568/getInfo.php?workbook=12_04.xlsx&amp;sheet=A0&amp;row=1325&amp;col=7&amp;number=0&amp;sourceID=14","0")</f>
        <v>0</v>
      </c>
    </row>
    <row r="1326" spans="1:7">
      <c r="A1326" s="3">
        <v>12</v>
      </c>
      <c r="B1326" s="3">
        <v>4</v>
      </c>
      <c r="C1326" s="3">
        <v>80</v>
      </c>
      <c r="D1326" s="3">
        <v>16</v>
      </c>
      <c r="E1326" s="3">
        <v>-153.665</v>
      </c>
      <c r="F1326" s="4" t="str">
        <f>HYPERLINK("http://141.218.60.56/~jnz1568/getInfo.php?workbook=12_04.xlsx&amp;sheet=A0&amp;row=1326&amp;col=6&amp;number=55500000&amp;sourceID=14","55500000")</f>
        <v>55500000</v>
      </c>
      <c r="G1326" s="4" t="str">
        <f>HYPERLINK("http://141.218.60.56/~jnz1568/getInfo.php?workbook=12_04.xlsx&amp;sheet=A0&amp;row=1326&amp;col=7&amp;number=0&amp;sourceID=14","0")</f>
        <v>0</v>
      </c>
    </row>
    <row r="1327" spans="1:7">
      <c r="A1327" s="3">
        <v>12</v>
      </c>
      <c r="B1327" s="3">
        <v>4</v>
      </c>
      <c r="C1327" s="3">
        <v>81</v>
      </c>
      <c r="D1327" s="3">
        <v>16</v>
      </c>
      <c r="E1327" s="3">
        <v>153.669</v>
      </c>
      <c r="F1327" s="4" t="str">
        <f>HYPERLINK("http://141.218.60.56/~jnz1568/getInfo.php?workbook=12_04.xlsx&amp;sheet=A0&amp;row=1327&amp;col=6&amp;number=3250&amp;sourceID=14","3250")</f>
        <v>3250</v>
      </c>
      <c r="G1327" s="4" t="str">
        <f>HYPERLINK("http://141.218.60.56/~jnz1568/getInfo.php?workbook=12_04.xlsx&amp;sheet=A0&amp;row=1327&amp;col=7&amp;number=0&amp;sourceID=14","0")</f>
        <v>0</v>
      </c>
    </row>
    <row r="1328" spans="1:7">
      <c r="A1328" s="3">
        <v>12</v>
      </c>
      <c r="B1328" s="3">
        <v>4</v>
      </c>
      <c r="C1328" s="3">
        <v>82</v>
      </c>
      <c r="D1328" s="3">
        <v>16</v>
      </c>
      <c r="E1328" s="3">
        <v>-153.579</v>
      </c>
      <c r="F1328" s="4" t="str">
        <f>HYPERLINK("http://141.218.60.56/~jnz1568/getInfo.php?workbook=12_04.xlsx&amp;sheet=A0&amp;row=1328&amp;col=6&amp;number=8910000&amp;sourceID=14","8910000")</f>
        <v>8910000</v>
      </c>
      <c r="G1328" s="4" t="str">
        <f>HYPERLINK("http://141.218.60.56/~jnz1568/getInfo.php?workbook=12_04.xlsx&amp;sheet=A0&amp;row=1328&amp;col=7&amp;number=0&amp;sourceID=14","0")</f>
        <v>0</v>
      </c>
    </row>
    <row r="1329" spans="1:7">
      <c r="A1329" s="3">
        <v>12</v>
      </c>
      <c r="B1329" s="3">
        <v>4</v>
      </c>
      <c r="C1329" s="3">
        <v>83</v>
      </c>
      <c r="D1329" s="3">
        <v>16</v>
      </c>
      <c r="E1329" s="3">
        <v>-153.578</v>
      </c>
      <c r="F1329" s="4" t="str">
        <f>HYPERLINK("http://141.218.60.56/~jnz1568/getInfo.php?workbook=12_04.xlsx&amp;sheet=A0&amp;row=1329&amp;col=6&amp;number=34300000&amp;sourceID=14","34300000")</f>
        <v>34300000</v>
      </c>
      <c r="G1329" s="4" t="str">
        <f>HYPERLINK("http://141.218.60.56/~jnz1568/getInfo.php?workbook=12_04.xlsx&amp;sheet=A0&amp;row=1329&amp;col=7&amp;number=0&amp;sourceID=14","0")</f>
        <v>0</v>
      </c>
    </row>
    <row r="1330" spans="1:7">
      <c r="A1330" s="3">
        <v>12</v>
      </c>
      <c r="B1330" s="3">
        <v>4</v>
      </c>
      <c r="C1330" s="3">
        <v>84</v>
      </c>
      <c r="D1330" s="3">
        <v>16</v>
      </c>
      <c r="E1330" s="3">
        <v>-153.501</v>
      </c>
      <c r="F1330" s="4" t="str">
        <f>HYPERLINK("http://141.218.60.56/~jnz1568/getInfo.php?workbook=12_04.xlsx&amp;sheet=A0&amp;row=1330&amp;col=6&amp;number=1.87&amp;sourceID=14","1.87")</f>
        <v>1.87</v>
      </c>
      <c r="G1330" s="4" t="str">
        <f>HYPERLINK("http://141.218.60.56/~jnz1568/getInfo.php?workbook=12_04.xlsx&amp;sheet=A0&amp;row=1330&amp;col=7&amp;number=0&amp;sourceID=14","0")</f>
        <v>0</v>
      </c>
    </row>
    <row r="1331" spans="1:7">
      <c r="A1331" s="3">
        <v>12</v>
      </c>
      <c r="B1331" s="3">
        <v>4</v>
      </c>
      <c r="C1331" s="3">
        <v>85</v>
      </c>
      <c r="D1331" s="3">
        <v>16</v>
      </c>
      <c r="E1331" s="3">
        <v>153.386</v>
      </c>
      <c r="F1331" s="4" t="str">
        <f>HYPERLINK("http://141.218.60.56/~jnz1568/getInfo.php?workbook=12_04.xlsx&amp;sheet=A0&amp;row=1331&amp;col=6&amp;number=14900&amp;sourceID=14","14900")</f>
        <v>14900</v>
      </c>
      <c r="G1331" s="4" t="str">
        <f>HYPERLINK("http://141.218.60.56/~jnz1568/getInfo.php?workbook=12_04.xlsx&amp;sheet=A0&amp;row=1331&amp;col=7&amp;number=0&amp;sourceID=14","0")</f>
        <v>0</v>
      </c>
    </row>
    <row r="1332" spans="1:7">
      <c r="A1332" s="3">
        <v>12</v>
      </c>
      <c r="B1332" s="3">
        <v>4</v>
      </c>
      <c r="C1332" s="3">
        <v>86</v>
      </c>
      <c r="D1332" s="3">
        <v>16</v>
      </c>
      <c r="E1332" s="3">
        <v>153.264</v>
      </c>
      <c r="F1332" s="4" t="str">
        <f>HYPERLINK("http://141.218.60.56/~jnz1568/getInfo.php?workbook=12_04.xlsx&amp;sheet=A0&amp;row=1332&amp;col=6&amp;number=29000&amp;sourceID=14","29000")</f>
        <v>29000</v>
      </c>
      <c r="G1332" s="4" t="str">
        <f>HYPERLINK("http://141.218.60.56/~jnz1568/getInfo.php?workbook=12_04.xlsx&amp;sheet=A0&amp;row=1332&amp;col=7&amp;number=0&amp;sourceID=14","0")</f>
        <v>0</v>
      </c>
    </row>
    <row r="1333" spans="1:7">
      <c r="A1333" s="3">
        <v>12</v>
      </c>
      <c r="B1333" s="3">
        <v>4</v>
      </c>
      <c r="C1333" s="3">
        <v>87</v>
      </c>
      <c r="D1333" s="3">
        <v>16</v>
      </c>
      <c r="E1333" s="3">
        <v>-152.931</v>
      </c>
      <c r="F1333" s="4" t="str">
        <f>HYPERLINK("http://141.218.60.56/~jnz1568/getInfo.php?workbook=12_04.xlsx&amp;sheet=A0&amp;row=1333&amp;col=6&amp;number=38600&amp;sourceID=14","38600")</f>
        <v>38600</v>
      </c>
      <c r="G1333" s="4" t="str">
        <f>HYPERLINK("http://141.218.60.56/~jnz1568/getInfo.php?workbook=12_04.xlsx&amp;sheet=A0&amp;row=1333&amp;col=7&amp;number=0&amp;sourceID=14","0")</f>
        <v>0</v>
      </c>
    </row>
    <row r="1334" spans="1:7">
      <c r="A1334" s="3">
        <v>12</v>
      </c>
      <c r="B1334" s="3">
        <v>4</v>
      </c>
      <c r="C1334" s="3">
        <v>88</v>
      </c>
      <c r="D1334" s="3">
        <v>16</v>
      </c>
      <c r="E1334" s="3">
        <v>-152.748</v>
      </c>
      <c r="F1334" s="4" t="str">
        <f>HYPERLINK("http://141.218.60.56/~jnz1568/getInfo.php?workbook=12_04.xlsx&amp;sheet=A0&amp;row=1334&amp;col=6&amp;number=274000&amp;sourceID=14","274000")</f>
        <v>274000</v>
      </c>
      <c r="G1334" s="4" t="str">
        <f>HYPERLINK("http://141.218.60.56/~jnz1568/getInfo.php?workbook=12_04.xlsx&amp;sheet=A0&amp;row=1334&amp;col=7&amp;number=0&amp;sourceID=14","0")</f>
        <v>0</v>
      </c>
    </row>
    <row r="1335" spans="1:7">
      <c r="A1335" s="3">
        <v>12</v>
      </c>
      <c r="B1335" s="3">
        <v>4</v>
      </c>
      <c r="C1335" s="3">
        <v>89</v>
      </c>
      <c r="D1335" s="3">
        <v>16</v>
      </c>
      <c r="E1335" s="3">
        <v>-152.64</v>
      </c>
      <c r="F1335" s="4" t="str">
        <f>HYPERLINK("http://141.218.60.56/~jnz1568/getInfo.php?workbook=12_04.xlsx&amp;sheet=A0&amp;row=1335&amp;col=6&amp;number=1.84&amp;sourceID=14","1.84")</f>
        <v>1.84</v>
      </c>
      <c r="G1335" s="4" t="str">
        <f>HYPERLINK("http://141.218.60.56/~jnz1568/getInfo.php?workbook=12_04.xlsx&amp;sheet=A0&amp;row=1335&amp;col=7&amp;number=0&amp;sourceID=14","0")</f>
        <v>0</v>
      </c>
    </row>
    <row r="1336" spans="1:7">
      <c r="A1336" s="3">
        <v>12</v>
      </c>
      <c r="B1336" s="3">
        <v>4</v>
      </c>
      <c r="C1336" s="3">
        <v>90</v>
      </c>
      <c r="D1336" s="3">
        <v>16</v>
      </c>
      <c r="E1336" s="3">
        <v>-152.321</v>
      </c>
      <c r="F1336" s="4" t="str">
        <f>HYPERLINK("http://141.218.60.56/~jnz1568/getInfo.php?workbook=12_04.xlsx&amp;sheet=A0&amp;row=1336&amp;col=6&amp;number=4.25&amp;sourceID=14","4.25")</f>
        <v>4.25</v>
      </c>
      <c r="G1336" s="4" t="str">
        <f>HYPERLINK("http://141.218.60.56/~jnz1568/getInfo.php?workbook=12_04.xlsx&amp;sheet=A0&amp;row=1336&amp;col=7&amp;number=0&amp;sourceID=14","0")</f>
        <v>0</v>
      </c>
    </row>
    <row r="1337" spans="1:7">
      <c r="A1337" s="3">
        <v>12</v>
      </c>
      <c r="B1337" s="3">
        <v>4</v>
      </c>
      <c r="C1337" s="3">
        <v>91</v>
      </c>
      <c r="D1337" s="3">
        <v>16</v>
      </c>
      <c r="E1337" s="3">
        <v>-152.038</v>
      </c>
      <c r="F1337" s="4" t="str">
        <f>HYPERLINK("http://141.218.60.56/~jnz1568/getInfo.php?workbook=12_04.xlsx&amp;sheet=A0&amp;row=1337&amp;col=6&amp;number=853000000&amp;sourceID=14","853000000")</f>
        <v>853000000</v>
      </c>
      <c r="G1337" s="4" t="str">
        <f>HYPERLINK("http://141.218.60.56/~jnz1568/getInfo.php?workbook=12_04.xlsx&amp;sheet=A0&amp;row=1337&amp;col=7&amp;number=0&amp;sourceID=14","0")</f>
        <v>0</v>
      </c>
    </row>
    <row r="1338" spans="1:7">
      <c r="A1338" s="3">
        <v>12</v>
      </c>
      <c r="B1338" s="3">
        <v>4</v>
      </c>
      <c r="C1338" s="3">
        <v>92</v>
      </c>
      <c r="D1338" s="3">
        <v>16</v>
      </c>
      <c r="E1338" s="3">
        <v>-151.972</v>
      </c>
      <c r="F1338" s="4" t="str">
        <f>HYPERLINK("http://141.218.60.56/~jnz1568/getInfo.php?workbook=12_04.xlsx&amp;sheet=A0&amp;row=1338&amp;col=6&amp;number=0.234&amp;sourceID=14","0.234")</f>
        <v>0.234</v>
      </c>
      <c r="G1338" s="4" t="str">
        <f>HYPERLINK("http://141.218.60.56/~jnz1568/getInfo.php?workbook=12_04.xlsx&amp;sheet=A0&amp;row=1338&amp;col=7&amp;number=0&amp;sourceID=14","0")</f>
        <v>0</v>
      </c>
    </row>
    <row r="1339" spans="1:7">
      <c r="A1339" s="3">
        <v>12</v>
      </c>
      <c r="B1339" s="3">
        <v>4</v>
      </c>
      <c r="C1339" s="3">
        <v>93</v>
      </c>
      <c r="D1339" s="3">
        <v>16</v>
      </c>
      <c r="E1339" s="3">
        <v>-151.911</v>
      </c>
      <c r="F1339" s="4" t="str">
        <f>HYPERLINK("http://141.218.60.56/~jnz1568/getInfo.php?workbook=12_04.xlsx&amp;sheet=A0&amp;row=1339&amp;col=6&amp;number=185000000&amp;sourceID=14","185000000")</f>
        <v>185000000</v>
      </c>
      <c r="G1339" s="4" t="str">
        <f>HYPERLINK("http://141.218.60.56/~jnz1568/getInfo.php?workbook=12_04.xlsx&amp;sheet=A0&amp;row=1339&amp;col=7&amp;number=0&amp;sourceID=14","0")</f>
        <v>0</v>
      </c>
    </row>
    <row r="1340" spans="1:7">
      <c r="A1340" s="3">
        <v>12</v>
      </c>
      <c r="B1340" s="3">
        <v>4</v>
      </c>
      <c r="C1340" s="3">
        <v>94</v>
      </c>
      <c r="D1340" s="3">
        <v>16</v>
      </c>
      <c r="E1340" s="3">
        <v>-151.689</v>
      </c>
      <c r="F1340" s="4" t="str">
        <f>HYPERLINK("http://141.218.60.56/~jnz1568/getInfo.php?workbook=12_04.xlsx&amp;sheet=A0&amp;row=1340&amp;col=6&amp;number=25800000&amp;sourceID=14","25800000")</f>
        <v>25800000</v>
      </c>
      <c r="G1340" s="4" t="str">
        <f>HYPERLINK("http://141.218.60.56/~jnz1568/getInfo.php?workbook=12_04.xlsx&amp;sheet=A0&amp;row=1340&amp;col=7&amp;number=0&amp;sourceID=14","0")</f>
        <v>0</v>
      </c>
    </row>
    <row r="1341" spans="1:7">
      <c r="A1341" s="3">
        <v>12</v>
      </c>
      <c r="B1341" s="3">
        <v>4</v>
      </c>
      <c r="C1341" s="3">
        <v>95</v>
      </c>
      <c r="D1341" s="3">
        <v>16</v>
      </c>
      <c r="E1341" s="3">
        <v>-151.543</v>
      </c>
      <c r="F1341" s="4" t="str">
        <f>HYPERLINK("http://141.218.60.56/~jnz1568/getInfo.php?workbook=12_04.xlsx&amp;sheet=A0&amp;row=1341&amp;col=6&amp;number=0.215&amp;sourceID=14","0.215")</f>
        <v>0.215</v>
      </c>
      <c r="G1341" s="4" t="str">
        <f>HYPERLINK("http://141.218.60.56/~jnz1568/getInfo.php?workbook=12_04.xlsx&amp;sheet=A0&amp;row=1341&amp;col=7&amp;number=0&amp;sourceID=14","0")</f>
        <v>0</v>
      </c>
    </row>
    <row r="1342" spans="1:7">
      <c r="A1342" s="3">
        <v>12</v>
      </c>
      <c r="B1342" s="3">
        <v>4</v>
      </c>
      <c r="C1342" s="3">
        <v>96</v>
      </c>
      <c r="D1342" s="3">
        <v>16</v>
      </c>
      <c r="E1342" s="3">
        <v>-151.408</v>
      </c>
      <c r="F1342" s="4" t="str">
        <f>HYPERLINK("http://141.218.60.56/~jnz1568/getInfo.php?workbook=12_04.xlsx&amp;sheet=A0&amp;row=1342&amp;col=6&amp;number=39700000&amp;sourceID=14","39700000")</f>
        <v>39700000</v>
      </c>
      <c r="G1342" s="4" t="str">
        <f>HYPERLINK("http://141.218.60.56/~jnz1568/getInfo.php?workbook=12_04.xlsx&amp;sheet=A0&amp;row=1342&amp;col=7&amp;number=0&amp;sourceID=14","0")</f>
        <v>0</v>
      </c>
    </row>
    <row r="1343" spans="1:7">
      <c r="A1343" s="3">
        <v>12</v>
      </c>
      <c r="B1343" s="3">
        <v>4</v>
      </c>
      <c r="C1343" s="3">
        <v>97</v>
      </c>
      <c r="D1343" s="3">
        <v>16</v>
      </c>
      <c r="E1343" s="3">
        <v>151.729</v>
      </c>
      <c r="F1343" s="4" t="str">
        <f>HYPERLINK("http://141.218.60.56/~jnz1568/getInfo.php?workbook=12_04.xlsx&amp;sheet=A0&amp;row=1343&amp;col=6&amp;number=7.89&amp;sourceID=14","7.89")</f>
        <v>7.89</v>
      </c>
      <c r="G1343" s="4" t="str">
        <f>HYPERLINK("http://141.218.60.56/~jnz1568/getInfo.php?workbook=12_04.xlsx&amp;sheet=A0&amp;row=1343&amp;col=7&amp;number=0&amp;sourceID=14","0")</f>
        <v>0</v>
      </c>
    </row>
    <row r="1344" spans="1:7">
      <c r="A1344" s="3">
        <v>12</v>
      </c>
      <c r="B1344" s="3">
        <v>4</v>
      </c>
      <c r="C1344" s="3">
        <v>98</v>
      </c>
      <c r="D1344" s="3">
        <v>16</v>
      </c>
      <c r="E1344" s="3">
        <v>151.33</v>
      </c>
      <c r="F1344" s="4" t="str">
        <f>HYPERLINK("http://141.218.60.56/~jnz1568/getInfo.php?workbook=12_04.xlsx&amp;sheet=A0&amp;row=1344&amp;col=6&amp;number=116&amp;sourceID=14","116")</f>
        <v>116</v>
      </c>
      <c r="G1344" s="4" t="str">
        <f>HYPERLINK("http://141.218.60.56/~jnz1568/getInfo.php?workbook=12_04.xlsx&amp;sheet=A0&amp;row=1344&amp;col=7&amp;number=0&amp;sourceID=14","0")</f>
        <v>0</v>
      </c>
    </row>
    <row r="1345" spans="1:7">
      <c r="A1345" s="3">
        <v>12</v>
      </c>
      <c r="B1345" s="3">
        <v>4</v>
      </c>
      <c r="C1345" s="3">
        <v>18</v>
      </c>
      <c r="D1345" s="3">
        <v>17</v>
      </c>
      <c r="E1345" s="3">
        <v>769232.188</v>
      </c>
      <c r="F1345" s="4" t="str">
        <f>HYPERLINK("http://141.218.60.56/~jnz1568/getInfo.php?workbook=12_04.xlsx&amp;sheet=A0&amp;row=1345&amp;col=6&amp;number=5.32e-05&amp;sourceID=14","5.32e-05")</f>
        <v>5.32e-05</v>
      </c>
      <c r="G1345" s="4" t="str">
        <f>HYPERLINK("http://141.218.60.56/~jnz1568/getInfo.php?workbook=12_04.xlsx&amp;sheet=A0&amp;row=1345&amp;col=7&amp;number=0&amp;sourceID=14","0")</f>
        <v>0</v>
      </c>
    </row>
    <row r="1346" spans="1:7">
      <c r="A1346" s="3">
        <v>12</v>
      </c>
      <c r="B1346" s="3">
        <v>4</v>
      </c>
      <c r="C1346" s="3">
        <v>19</v>
      </c>
      <c r="D1346" s="3">
        <v>17</v>
      </c>
      <c r="E1346" s="3">
        <v>357143.5</v>
      </c>
      <c r="F1346" s="4" t="str">
        <f>HYPERLINK("http://141.218.60.56/~jnz1568/getInfo.php?workbook=12_04.xlsx&amp;sheet=A0&amp;row=1346&amp;col=6&amp;number=3.47e-12&amp;sourceID=14","3.47e-12")</f>
        <v>3.47e-12</v>
      </c>
      <c r="G1346" s="4" t="str">
        <f>HYPERLINK("http://141.218.60.56/~jnz1568/getInfo.php?workbook=12_04.xlsx&amp;sheet=A0&amp;row=1346&amp;col=7&amp;number=0&amp;sourceID=14","0")</f>
        <v>0</v>
      </c>
    </row>
    <row r="1347" spans="1:7">
      <c r="A1347" s="3">
        <v>12</v>
      </c>
      <c r="B1347" s="3">
        <v>4</v>
      </c>
      <c r="C1347" s="3">
        <v>20</v>
      </c>
      <c r="D1347" s="3">
        <v>17</v>
      </c>
      <c r="E1347" s="3">
        <v>4248.096</v>
      </c>
      <c r="F1347" s="4" t="str">
        <f>HYPERLINK("http://141.218.60.56/~jnz1568/getInfo.php?workbook=12_04.xlsx&amp;sheet=A0&amp;row=1347&amp;col=6&amp;number=0.00737&amp;sourceID=14","0.00737")</f>
        <v>0.00737</v>
      </c>
      <c r="G1347" s="4" t="str">
        <f>HYPERLINK("http://141.218.60.56/~jnz1568/getInfo.php?workbook=12_04.xlsx&amp;sheet=A0&amp;row=1347&amp;col=7&amp;number=0&amp;sourceID=14","0")</f>
        <v>0</v>
      </c>
    </row>
    <row r="1348" spans="1:7">
      <c r="A1348" s="3">
        <v>12</v>
      </c>
      <c r="B1348" s="3">
        <v>4</v>
      </c>
      <c r="C1348" s="3">
        <v>21</v>
      </c>
      <c r="D1348" s="3">
        <v>17</v>
      </c>
      <c r="E1348" s="3">
        <v>1264.225</v>
      </c>
      <c r="F1348" s="4" t="str">
        <f>HYPERLINK("http://141.218.60.56/~jnz1568/getInfo.php?workbook=12_04.xlsx&amp;sheet=A0&amp;row=1348&amp;col=6&amp;number=12900000&amp;sourceID=14","12900000")</f>
        <v>12900000</v>
      </c>
      <c r="G1348" s="4" t="str">
        <f>HYPERLINK("http://141.218.60.56/~jnz1568/getInfo.php?workbook=12_04.xlsx&amp;sheet=A0&amp;row=1348&amp;col=7&amp;number=0&amp;sourceID=14","0")</f>
        <v>0</v>
      </c>
    </row>
    <row r="1349" spans="1:7">
      <c r="A1349" s="3">
        <v>12</v>
      </c>
      <c r="B1349" s="3">
        <v>4</v>
      </c>
      <c r="C1349" s="3">
        <v>22</v>
      </c>
      <c r="D1349" s="3">
        <v>17</v>
      </c>
      <c r="E1349" s="3">
        <v>1246.73</v>
      </c>
      <c r="F1349" s="4" t="str">
        <f>HYPERLINK("http://141.218.60.56/~jnz1568/getInfo.php?workbook=12_04.xlsx&amp;sheet=A0&amp;row=1349&amp;col=6&amp;number=3320000&amp;sourceID=14","3320000")</f>
        <v>3320000</v>
      </c>
      <c r="G1349" s="4" t="str">
        <f>HYPERLINK("http://141.218.60.56/~jnz1568/getInfo.php?workbook=12_04.xlsx&amp;sheet=A0&amp;row=1349&amp;col=7&amp;number=0&amp;sourceID=14","0")</f>
        <v>0</v>
      </c>
    </row>
    <row r="1350" spans="1:7">
      <c r="A1350" s="3">
        <v>12</v>
      </c>
      <c r="B1350" s="3">
        <v>4</v>
      </c>
      <c r="C1350" s="3">
        <v>23</v>
      </c>
      <c r="D1350" s="3">
        <v>17</v>
      </c>
      <c r="E1350" s="3">
        <v>1206.857</v>
      </c>
      <c r="F1350" s="4" t="str">
        <f>HYPERLINK("http://141.218.60.56/~jnz1568/getInfo.php?workbook=12_04.xlsx&amp;sheet=A0&amp;row=1350&amp;col=6&amp;number=144000&amp;sourceID=14","144000")</f>
        <v>144000</v>
      </c>
      <c r="G1350" s="4" t="str">
        <f>HYPERLINK("http://141.218.60.56/~jnz1568/getInfo.php?workbook=12_04.xlsx&amp;sheet=A0&amp;row=1350&amp;col=7&amp;number=0&amp;sourceID=14","0")</f>
        <v>0</v>
      </c>
    </row>
    <row r="1351" spans="1:7">
      <c r="A1351" s="3">
        <v>12</v>
      </c>
      <c r="B1351" s="3">
        <v>4</v>
      </c>
      <c r="C1351" s="3">
        <v>24</v>
      </c>
      <c r="D1351" s="3">
        <v>17</v>
      </c>
      <c r="E1351" s="3">
        <v>892.859</v>
      </c>
      <c r="F1351" s="4" t="str">
        <f>HYPERLINK("http://141.218.60.56/~jnz1568/getInfo.php?workbook=12_04.xlsx&amp;sheet=A0&amp;row=1351&amp;col=6&amp;number=31900&amp;sourceID=14","31900")</f>
        <v>31900</v>
      </c>
      <c r="G1351" s="4" t="str">
        <f>HYPERLINK("http://141.218.60.56/~jnz1568/getInfo.php?workbook=12_04.xlsx&amp;sheet=A0&amp;row=1351&amp;col=7&amp;number=0&amp;sourceID=14","0")</f>
        <v>0</v>
      </c>
    </row>
    <row r="1352" spans="1:7">
      <c r="A1352" s="3">
        <v>12</v>
      </c>
      <c r="B1352" s="3">
        <v>4</v>
      </c>
      <c r="C1352" s="3">
        <v>25</v>
      </c>
      <c r="D1352" s="3">
        <v>17</v>
      </c>
      <c r="E1352" s="3">
        <v>854.118</v>
      </c>
      <c r="F1352" s="4" t="str">
        <f>HYPERLINK("http://141.218.60.56/~jnz1568/getInfo.php?workbook=12_04.xlsx&amp;sheet=A0&amp;row=1352&amp;col=6&amp;number=0.0607&amp;sourceID=14","0.0607")</f>
        <v>0.0607</v>
      </c>
      <c r="G1352" s="4" t="str">
        <f>HYPERLINK("http://141.218.60.56/~jnz1568/getInfo.php?workbook=12_04.xlsx&amp;sheet=A0&amp;row=1352&amp;col=7&amp;number=0&amp;sourceID=14","0")</f>
        <v>0</v>
      </c>
    </row>
    <row r="1353" spans="1:7">
      <c r="A1353" s="3">
        <v>12</v>
      </c>
      <c r="B1353" s="3">
        <v>4</v>
      </c>
      <c r="C1353" s="3">
        <v>26</v>
      </c>
      <c r="D1353" s="3">
        <v>17</v>
      </c>
      <c r="E1353" s="3">
        <v>803.666</v>
      </c>
      <c r="F1353" s="4" t="str">
        <f>HYPERLINK("http://141.218.60.56/~jnz1568/getInfo.php?workbook=12_04.xlsx&amp;sheet=A0&amp;row=1353&amp;col=6&amp;number=0.438&amp;sourceID=14","0.438")</f>
        <v>0.438</v>
      </c>
      <c r="G1353" s="4" t="str">
        <f>HYPERLINK("http://141.218.60.56/~jnz1568/getInfo.php?workbook=12_04.xlsx&amp;sheet=A0&amp;row=1353&amp;col=7&amp;number=0&amp;sourceID=14","0")</f>
        <v>0</v>
      </c>
    </row>
    <row r="1354" spans="1:7">
      <c r="A1354" s="3">
        <v>12</v>
      </c>
      <c r="B1354" s="3">
        <v>4</v>
      </c>
      <c r="C1354" s="3">
        <v>27</v>
      </c>
      <c r="D1354" s="3">
        <v>17</v>
      </c>
      <c r="E1354" s="3">
        <v>797.259</v>
      </c>
      <c r="F1354" s="4" t="str">
        <f>HYPERLINK("http://141.218.60.56/~jnz1568/getInfo.php?workbook=12_04.xlsx&amp;sheet=A0&amp;row=1354&amp;col=6&amp;number=0.544&amp;sourceID=14","0.544")</f>
        <v>0.544</v>
      </c>
      <c r="G1354" s="4" t="str">
        <f>HYPERLINK("http://141.218.60.56/~jnz1568/getInfo.php?workbook=12_04.xlsx&amp;sheet=A0&amp;row=1354&amp;col=7&amp;number=0&amp;sourceID=14","0")</f>
        <v>0</v>
      </c>
    </row>
    <row r="1355" spans="1:7">
      <c r="A1355" s="3">
        <v>12</v>
      </c>
      <c r="B1355" s="3">
        <v>4</v>
      </c>
      <c r="C1355" s="3">
        <v>28</v>
      </c>
      <c r="D1355" s="3">
        <v>17</v>
      </c>
      <c r="E1355" s="3">
        <v>781.679</v>
      </c>
      <c r="F1355" s="4" t="str">
        <f>HYPERLINK("http://141.218.60.56/~jnz1568/getInfo.php?workbook=12_04.xlsx&amp;sheet=A0&amp;row=1355&amp;col=6&amp;number=0.0331&amp;sourceID=14","0.0331")</f>
        <v>0.0331</v>
      </c>
      <c r="G1355" s="4" t="str">
        <f>HYPERLINK("http://141.218.60.56/~jnz1568/getInfo.php?workbook=12_04.xlsx&amp;sheet=A0&amp;row=1355&amp;col=7&amp;number=0&amp;sourceID=14","0")</f>
        <v>0</v>
      </c>
    </row>
    <row r="1356" spans="1:7">
      <c r="A1356" s="3">
        <v>12</v>
      </c>
      <c r="B1356" s="3">
        <v>4</v>
      </c>
      <c r="C1356" s="3">
        <v>29</v>
      </c>
      <c r="D1356" s="3">
        <v>17</v>
      </c>
      <c r="E1356" s="3">
        <v>717.67</v>
      </c>
      <c r="F1356" s="4" t="str">
        <f>HYPERLINK("http://141.218.60.56/~jnz1568/getInfo.php?workbook=12_04.xlsx&amp;sheet=A0&amp;row=1356&amp;col=6&amp;number=0.092&amp;sourceID=14","0.092")</f>
        <v>0.092</v>
      </c>
      <c r="G1356" s="4" t="str">
        <f>HYPERLINK("http://141.218.60.56/~jnz1568/getInfo.php?workbook=12_04.xlsx&amp;sheet=A0&amp;row=1356&amp;col=7&amp;number=0&amp;sourceID=14","0")</f>
        <v>0</v>
      </c>
    </row>
    <row r="1357" spans="1:7">
      <c r="A1357" s="3">
        <v>12</v>
      </c>
      <c r="B1357" s="3">
        <v>4</v>
      </c>
      <c r="C1357" s="3">
        <v>30</v>
      </c>
      <c r="D1357" s="3">
        <v>17</v>
      </c>
      <c r="E1357" s="3">
        <v>-677.632</v>
      </c>
      <c r="F1357" s="4" t="str">
        <f>HYPERLINK("http://141.218.60.56/~jnz1568/getInfo.php?workbook=12_04.xlsx&amp;sheet=A0&amp;row=1357&amp;col=6&amp;number=0.0712&amp;sourceID=14","0.0712")</f>
        <v>0.0712</v>
      </c>
      <c r="G1357" s="4" t="str">
        <f>HYPERLINK("http://141.218.60.56/~jnz1568/getInfo.php?workbook=12_04.xlsx&amp;sheet=A0&amp;row=1357&amp;col=7&amp;number=0&amp;sourceID=14","0")</f>
        <v>0</v>
      </c>
    </row>
    <row r="1358" spans="1:7">
      <c r="A1358" s="3">
        <v>12</v>
      </c>
      <c r="B1358" s="3">
        <v>4</v>
      </c>
      <c r="C1358" s="3">
        <v>31</v>
      </c>
      <c r="D1358" s="3">
        <v>17</v>
      </c>
      <c r="E1358" s="3">
        <v>677.279</v>
      </c>
      <c r="F1358" s="4" t="str">
        <f>HYPERLINK("http://141.218.60.56/~jnz1568/getInfo.php?workbook=12_04.xlsx&amp;sheet=A0&amp;row=1358&amp;col=6&amp;number=29.2&amp;sourceID=14","29.2")</f>
        <v>29.2</v>
      </c>
      <c r="G1358" s="4" t="str">
        <f>HYPERLINK("http://141.218.60.56/~jnz1568/getInfo.php?workbook=12_04.xlsx&amp;sheet=A0&amp;row=1358&amp;col=7&amp;number=0&amp;sourceID=14","0")</f>
        <v>0</v>
      </c>
    </row>
    <row r="1359" spans="1:7">
      <c r="A1359" s="3">
        <v>12</v>
      </c>
      <c r="B1359" s="3">
        <v>4</v>
      </c>
      <c r="C1359" s="3">
        <v>32</v>
      </c>
      <c r="D1359" s="3">
        <v>17</v>
      </c>
      <c r="E1359" s="3">
        <v>671.367</v>
      </c>
      <c r="F1359" s="4" t="str">
        <f>HYPERLINK("http://141.218.60.56/~jnz1568/getInfo.php?workbook=12_04.xlsx&amp;sheet=A0&amp;row=1359&amp;col=6&amp;number=5.6&amp;sourceID=14","5.6")</f>
        <v>5.6</v>
      </c>
      <c r="G1359" s="4" t="str">
        <f>HYPERLINK("http://141.218.60.56/~jnz1568/getInfo.php?workbook=12_04.xlsx&amp;sheet=A0&amp;row=1359&amp;col=7&amp;number=0&amp;sourceID=14","0")</f>
        <v>0</v>
      </c>
    </row>
    <row r="1360" spans="1:7">
      <c r="A1360" s="3">
        <v>12</v>
      </c>
      <c r="B1360" s="3">
        <v>4</v>
      </c>
      <c r="C1360" s="3">
        <v>33</v>
      </c>
      <c r="D1360" s="3">
        <v>17</v>
      </c>
      <c r="E1360" s="3">
        <v>-641.854</v>
      </c>
      <c r="F1360" s="4" t="str">
        <f>HYPERLINK("http://141.218.60.56/~jnz1568/getInfo.php?workbook=12_04.xlsx&amp;sheet=A0&amp;row=1360&amp;col=6&amp;number=115000000&amp;sourceID=14","115000000")</f>
        <v>115000000</v>
      </c>
      <c r="G1360" s="4" t="str">
        <f>HYPERLINK("http://141.218.60.56/~jnz1568/getInfo.php?workbook=12_04.xlsx&amp;sheet=A0&amp;row=1360&amp;col=7&amp;number=0&amp;sourceID=14","0")</f>
        <v>0</v>
      </c>
    </row>
    <row r="1361" spans="1:7">
      <c r="A1361" s="3">
        <v>12</v>
      </c>
      <c r="B1361" s="3">
        <v>4</v>
      </c>
      <c r="C1361" s="3">
        <v>34</v>
      </c>
      <c r="D1361" s="3">
        <v>17</v>
      </c>
      <c r="E1361" s="3">
        <v>-633.534</v>
      </c>
      <c r="F1361" s="4" t="str">
        <f>HYPERLINK("http://141.218.60.56/~jnz1568/getInfo.php?workbook=12_04.xlsx&amp;sheet=A0&amp;row=1361&amp;col=6&amp;number=0.0377&amp;sourceID=14","0.0377")</f>
        <v>0.0377</v>
      </c>
      <c r="G1361" s="4" t="str">
        <f>HYPERLINK("http://141.218.60.56/~jnz1568/getInfo.php?workbook=12_04.xlsx&amp;sheet=A0&amp;row=1361&amp;col=7&amp;number=0&amp;sourceID=14","0")</f>
        <v>0</v>
      </c>
    </row>
    <row r="1362" spans="1:7">
      <c r="A1362" s="3">
        <v>12</v>
      </c>
      <c r="B1362" s="3">
        <v>4</v>
      </c>
      <c r="C1362" s="3">
        <v>35</v>
      </c>
      <c r="D1362" s="3">
        <v>17</v>
      </c>
      <c r="E1362" s="3">
        <v>630.518</v>
      </c>
      <c r="F1362" s="4" t="str">
        <f>HYPERLINK("http://141.218.60.56/~jnz1568/getInfo.php?workbook=12_04.xlsx&amp;sheet=A0&amp;row=1362&amp;col=6&amp;number=32200000&amp;sourceID=14","32200000")</f>
        <v>32200000</v>
      </c>
      <c r="G1362" s="4" t="str">
        <f>HYPERLINK("http://141.218.60.56/~jnz1568/getInfo.php?workbook=12_04.xlsx&amp;sheet=A0&amp;row=1362&amp;col=7&amp;number=0&amp;sourceID=14","0")</f>
        <v>0</v>
      </c>
    </row>
    <row r="1363" spans="1:7">
      <c r="A1363" s="3">
        <v>12</v>
      </c>
      <c r="B1363" s="3">
        <v>4</v>
      </c>
      <c r="C1363" s="3">
        <v>36</v>
      </c>
      <c r="D1363" s="3">
        <v>17</v>
      </c>
      <c r="E1363" s="3">
        <v>-625.548</v>
      </c>
      <c r="F1363" s="4" t="str">
        <f>HYPERLINK("http://141.218.60.56/~jnz1568/getInfo.php?workbook=12_04.xlsx&amp;sheet=A0&amp;row=1363&amp;col=6&amp;number=1.12e-05&amp;sourceID=14","1.12e-05")</f>
        <v>1.12e-05</v>
      </c>
      <c r="G1363" s="4" t="str">
        <f>HYPERLINK("http://141.218.60.56/~jnz1568/getInfo.php?workbook=12_04.xlsx&amp;sheet=A0&amp;row=1363&amp;col=7&amp;number=0&amp;sourceID=14","0")</f>
        <v>0</v>
      </c>
    </row>
    <row r="1364" spans="1:7">
      <c r="A1364" s="3">
        <v>12</v>
      </c>
      <c r="B1364" s="3">
        <v>4</v>
      </c>
      <c r="C1364" s="3">
        <v>37</v>
      </c>
      <c r="D1364" s="3">
        <v>17</v>
      </c>
      <c r="E1364" s="3">
        <v>606.687</v>
      </c>
      <c r="F1364" s="4" t="str">
        <f>HYPERLINK("http://141.218.60.56/~jnz1568/getInfo.php?workbook=12_04.xlsx&amp;sheet=A0&amp;row=1364&amp;col=6&amp;number=0.143&amp;sourceID=14","0.143")</f>
        <v>0.143</v>
      </c>
      <c r="G1364" s="4" t="str">
        <f>HYPERLINK("http://141.218.60.56/~jnz1568/getInfo.php?workbook=12_04.xlsx&amp;sheet=A0&amp;row=1364&amp;col=7&amp;number=0&amp;sourceID=14","0")</f>
        <v>0</v>
      </c>
    </row>
    <row r="1365" spans="1:7">
      <c r="A1365" s="3">
        <v>12</v>
      </c>
      <c r="B1365" s="3">
        <v>4</v>
      </c>
      <c r="C1365" s="3">
        <v>38</v>
      </c>
      <c r="D1365" s="3">
        <v>17</v>
      </c>
      <c r="E1365" s="3">
        <v>567.28</v>
      </c>
      <c r="F1365" s="4" t="str">
        <f>HYPERLINK("http://141.218.60.56/~jnz1568/getInfo.php?workbook=12_04.xlsx&amp;sheet=A0&amp;row=1365&amp;col=6&amp;number=781000000&amp;sourceID=14","781000000")</f>
        <v>781000000</v>
      </c>
      <c r="G1365" s="4" t="str">
        <f>HYPERLINK("http://141.218.60.56/~jnz1568/getInfo.php?workbook=12_04.xlsx&amp;sheet=A0&amp;row=1365&amp;col=7&amp;number=0&amp;sourceID=14","0")</f>
        <v>0</v>
      </c>
    </row>
    <row r="1366" spans="1:7">
      <c r="A1366" s="3">
        <v>12</v>
      </c>
      <c r="B1366" s="3">
        <v>4</v>
      </c>
      <c r="C1366" s="3">
        <v>39</v>
      </c>
      <c r="D1366" s="3">
        <v>17</v>
      </c>
      <c r="E1366" s="3">
        <v>565.548</v>
      </c>
      <c r="F1366" s="4" t="str">
        <f>HYPERLINK("http://141.218.60.56/~jnz1568/getInfo.php?workbook=12_04.xlsx&amp;sheet=A0&amp;row=1366&amp;col=6&amp;number=183000000&amp;sourceID=14","183000000")</f>
        <v>183000000</v>
      </c>
      <c r="G1366" s="4" t="str">
        <f>HYPERLINK("http://141.218.60.56/~jnz1568/getInfo.php?workbook=12_04.xlsx&amp;sheet=A0&amp;row=1366&amp;col=7&amp;number=0&amp;sourceID=14","0")</f>
        <v>0</v>
      </c>
    </row>
    <row r="1367" spans="1:7">
      <c r="A1367" s="3">
        <v>12</v>
      </c>
      <c r="B1367" s="3">
        <v>4</v>
      </c>
      <c r="C1367" s="3">
        <v>40</v>
      </c>
      <c r="D1367" s="3">
        <v>17</v>
      </c>
      <c r="E1367" s="3">
        <v>562.367</v>
      </c>
      <c r="F1367" s="4" t="str">
        <f>HYPERLINK("http://141.218.60.56/~jnz1568/getInfo.php?workbook=12_04.xlsx&amp;sheet=A0&amp;row=1367&amp;col=6&amp;number=0.0156&amp;sourceID=14","0.0156")</f>
        <v>0.0156</v>
      </c>
      <c r="G1367" s="4" t="str">
        <f>HYPERLINK("http://141.218.60.56/~jnz1568/getInfo.php?workbook=12_04.xlsx&amp;sheet=A0&amp;row=1367&amp;col=7&amp;number=0&amp;sourceID=14","0")</f>
        <v>0</v>
      </c>
    </row>
    <row r="1368" spans="1:7">
      <c r="A1368" s="3">
        <v>12</v>
      </c>
      <c r="B1368" s="3">
        <v>4</v>
      </c>
      <c r="C1368" s="3">
        <v>41</v>
      </c>
      <c r="D1368" s="3">
        <v>17</v>
      </c>
      <c r="E1368" s="3">
        <v>542.948</v>
      </c>
      <c r="F1368" s="4" t="str">
        <f>HYPERLINK("http://141.218.60.56/~jnz1568/getInfo.php?workbook=12_04.xlsx&amp;sheet=A0&amp;row=1368&amp;col=6&amp;number=41600000&amp;sourceID=14","41600000")</f>
        <v>41600000</v>
      </c>
      <c r="G1368" s="4" t="str">
        <f>HYPERLINK("http://141.218.60.56/~jnz1568/getInfo.php?workbook=12_04.xlsx&amp;sheet=A0&amp;row=1368&amp;col=7&amp;number=0&amp;sourceID=14","0")</f>
        <v>0</v>
      </c>
    </row>
    <row r="1369" spans="1:7">
      <c r="A1369" s="3">
        <v>12</v>
      </c>
      <c r="B1369" s="3">
        <v>4</v>
      </c>
      <c r="C1369" s="3">
        <v>42</v>
      </c>
      <c r="D1369" s="3">
        <v>17</v>
      </c>
      <c r="E1369" s="3">
        <v>540.045</v>
      </c>
      <c r="F1369" s="4" t="str">
        <f>HYPERLINK("http://141.218.60.56/~jnz1568/getInfo.php?workbook=12_04.xlsx&amp;sheet=A0&amp;row=1369&amp;col=6&amp;number=531000000&amp;sourceID=14","531000000")</f>
        <v>531000000</v>
      </c>
      <c r="G1369" s="4" t="str">
        <f>HYPERLINK("http://141.218.60.56/~jnz1568/getInfo.php?workbook=12_04.xlsx&amp;sheet=A0&amp;row=1369&amp;col=7&amp;number=0&amp;sourceID=14","0")</f>
        <v>0</v>
      </c>
    </row>
    <row r="1370" spans="1:7">
      <c r="A1370" s="3">
        <v>12</v>
      </c>
      <c r="B1370" s="3">
        <v>4</v>
      </c>
      <c r="C1370" s="3">
        <v>43</v>
      </c>
      <c r="D1370" s="3">
        <v>17</v>
      </c>
      <c r="E1370" s="3">
        <v>538.533</v>
      </c>
      <c r="F1370" s="4" t="str">
        <f>HYPERLINK("http://141.218.60.56/~jnz1568/getInfo.php?workbook=12_04.xlsx&amp;sheet=A0&amp;row=1370&amp;col=6&amp;number=1490000000&amp;sourceID=14","1490000000")</f>
        <v>1490000000</v>
      </c>
      <c r="G1370" s="4" t="str">
        <f>HYPERLINK("http://141.218.60.56/~jnz1568/getInfo.php?workbook=12_04.xlsx&amp;sheet=A0&amp;row=1370&amp;col=7&amp;number=0&amp;sourceID=14","0")</f>
        <v>0</v>
      </c>
    </row>
    <row r="1371" spans="1:7">
      <c r="A1371" s="3">
        <v>12</v>
      </c>
      <c r="B1371" s="3">
        <v>4</v>
      </c>
      <c r="C1371" s="3">
        <v>44</v>
      </c>
      <c r="D1371" s="3">
        <v>17</v>
      </c>
      <c r="E1371" s="3">
        <v>-496.139</v>
      </c>
      <c r="F1371" s="4" t="str">
        <f>HYPERLINK("http://141.218.60.56/~jnz1568/getInfo.php?workbook=12_04.xlsx&amp;sheet=A0&amp;row=1371&amp;col=6&amp;number=7.35e-05&amp;sourceID=14","7.35e-05")</f>
        <v>7.35e-05</v>
      </c>
      <c r="G1371" s="4" t="str">
        <f>HYPERLINK("http://141.218.60.56/~jnz1568/getInfo.php?workbook=12_04.xlsx&amp;sheet=A0&amp;row=1371&amp;col=7&amp;number=0&amp;sourceID=14","0")</f>
        <v>0</v>
      </c>
    </row>
    <row r="1372" spans="1:7">
      <c r="A1372" s="3">
        <v>12</v>
      </c>
      <c r="B1372" s="3">
        <v>4</v>
      </c>
      <c r="C1372" s="3">
        <v>45</v>
      </c>
      <c r="D1372" s="3">
        <v>17</v>
      </c>
      <c r="E1372" s="3">
        <v>491.039</v>
      </c>
      <c r="F1372" s="4" t="str">
        <f>HYPERLINK("http://141.218.60.56/~jnz1568/getInfo.php?workbook=12_04.xlsx&amp;sheet=A0&amp;row=1372&amp;col=6&amp;number=0.371&amp;sourceID=14","0.371")</f>
        <v>0.371</v>
      </c>
      <c r="G1372" s="4" t="str">
        <f>HYPERLINK("http://141.218.60.56/~jnz1568/getInfo.php?workbook=12_04.xlsx&amp;sheet=A0&amp;row=1372&amp;col=7&amp;number=0&amp;sourceID=14","0")</f>
        <v>0</v>
      </c>
    </row>
    <row r="1373" spans="1:7">
      <c r="A1373" s="3">
        <v>12</v>
      </c>
      <c r="B1373" s="3">
        <v>4</v>
      </c>
      <c r="C1373" s="3">
        <v>46</v>
      </c>
      <c r="D1373" s="3">
        <v>17</v>
      </c>
      <c r="E1373" s="3">
        <v>475.015</v>
      </c>
      <c r="F1373" s="4" t="str">
        <f>HYPERLINK("http://141.218.60.56/~jnz1568/getInfo.php?workbook=12_04.xlsx&amp;sheet=A0&amp;row=1373&amp;col=6&amp;number=689000&amp;sourceID=14","689000")</f>
        <v>689000</v>
      </c>
      <c r="G1373" s="4" t="str">
        <f>HYPERLINK("http://141.218.60.56/~jnz1568/getInfo.php?workbook=12_04.xlsx&amp;sheet=A0&amp;row=1373&amp;col=7&amp;number=0&amp;sourceID=14","0")</f>
        <v>0</v>
      </c>
    </row>
    <row r="1374" spans="1:7">
      <c r="A1374" s="3">
        <v>12</v>
      </c>
      <c r="B1374" s="3">
        <v>4</v>
      </c>
      <c r="C1374" s="3">
        <v>47</v>
      </c>
      <c r="D1374" s="3">
        <v>17</v>
      </c>
      <c r="E1374" s="3">
        <v>-243.926</v>
      </c>
      <c r="F1374" s="4" t="str">
        <f>HYPERLINK("http://141.218.60.56/~jnz1568/getInfo.php?workbook=12_04.xlsx&amp;sheet=A0&amp;row=1374&amp;col=6&amp;number=126000&amp;sourceID=14","126000")</f>
        <v>126000</v>
      </c>
      <c r="G1374" s="4" t="str">
        <f>HYPERLINK("http://141.218.60.56/~jnz1568/getInfo.php?workbook=12_04.xlsx&amp;sheet=A0&amp;row=1374&amp;col=7&amp;number=0&amp;sourceID=14","0")</f>
        <v>0</v>
      </c>
    </row>
    <row r="1375" spans="1:7">
      <c r="A1375" s="3">
        <v>12</v>
      </c>
      <c r="B1375" s="3">
        <v>4</v>
      </c>
      <c r="C1375" s="3">
        <v>48</v>
      </c>
      <c r="D1375" s="3">
        <v>17</v>
      </c>
      <c r="E1375" s="3">
        <v>-238.078</v>
      </c>
      <c r="F1375" s="4" t="str">
        <f>HYPERLINK("http://141.218.60.56/~jnz1568/getInfo.php?workbook=12_04.xlsx&amp;sheet=A0&amp;row=1375&amp;col=6&amp;number=0.000207&amp;sourceID=14","0.000207")</f>
        <v>0.000207</v>
      </c>
      <c r="G1375" s="4" t="str">
        <f>HYPERLINK("http://141.218.60.56/~jnz1568/getInfo.php?workbook=12_04.xlsx&amp;sheet=A0&amp;row=1375&amp;col=7&amp;number=0&amp;sourceID=14","0")</f>
        <v>0</v>
      </c>
    </row>
    <row r="1376" spans="1:7">
      <c r="A1376" s="3">
        <v>12</v>
      </c>
      <c r="B1376" s="3">
        <v>4</v>
      </c>
      <c r="C1376" s="3">
        <v>49</v>
      </c>
      <c r="D1376" s="3">
        <v>17</v>
      </c>
      <c r="E1376" s="3">
        <v>-230.119</v>
      </c>
      <c r="F1376" s="4" t="str">
        <f>HYPERLINK("http://141.218.60.56/~jnz1568/getInfo.php?workbook=12_04.xlsx&amp;sheet=A0&amp;row=1376&amp;col=6&amp;number=2790000000&amp;sourceID=14","2790000000")</f>
        <v>2790000000</v>
      </c>
      <c r="G1376" s="4" t="str">
        <f>HYPERLINK("http://141.218.60.56/~jnz1568/getInfo.php?workbook=12_04.xlsx&amp;sheet=A0&amp;row=1376&amp;col=7&amp;number=0&amp;sourceID=14","0")</f>
        <v>0</v>
      </c>
    </row>
    <row r="1377" spans="1:7">
      <c r="A1377" s="3">
        <v>12</v>
      </c>
      <c r="B1377" s="3">
        <v>4</v>
      </c>
      <c r="C1377" s="3">
        <v>50</v>
      </c>
      <c r="D1377" s="3">
        <v>17</v>
      </c>
      <c r="E1377" s="3">
        <v>-230.058</v>
      </c>
      <c r="F1377" s="4" t="str">
        <f>HYPERLINK("http://141.218.60.56/~jnz1568/getInfo.php?workbook=12_04.xlsx&amp;sheet=A0&amp;row=1377&amp;col=6&amp;number=692000000&amp;sourceID=14","692000000")</f>
        <v>692000000</v>
      </c>
      <c r="G1377" s="4" t="str">
        <f>HYPERLINK("http://141.218.60.56/~jnz1568/getInfo.php?workbook=12_04.xlsx&amp;sheet=A0&amp;row=1377&amp;col=7&amp;number=0&amp;sourceID=14","0")</f>
        <v>0</v>
      </c>
    </row>
    <row r="1378" spans="1:7">
      <c r="A1378" s="3">
        <v>12</v>
      </c>
      <c r="B1378" s="3">
        <v>4</v>
      </c>
      <c r="C1378" s="3">
        <v>51</v>
      </c>
      <c r="D1378" s="3">
        <v>17</v>
      </c>
      <c r="E1378" s="3">
        <v>-229.919</v>
      </c>
      <c r="F1378" s="4" t="str">
        <f>HYPERLINK("http://141.218.60.56/~jnz1568/getInfo.php?workbook=12_04.xlsx&amp;sheet=A0&amp;row=1378&amp;col=6&amp;number=27500000&amp;sourceID=14","27500000")</f>
        <v>27500000</v>
      </c>
      <c r="G1378" s="4" t="str">
        <f>HYPERLINK("http://141.218.60.56/~jnz1568/getInfo.php?workbook=12_04.xlsx&amp;sheet=A0&amp;row=1378&amp;col=7&amp;number=0&amp;sourceID=14","0")</f>
        <v>0</v>
      </c>
    </row>
    <row r="1379" spans="1:7">
      <c r="A1379" s="3">
        <v>12</v>
      </c>
      <c r="B1379" s="3">
        <v>4</v>
      </c>
      <c r="C1379" s="3">
        <v>52</v>
      </c>
      <c r="D1379" s="3">
        <v>17</v>
      </c>
      <c r="E1379" s="3">
        <v>228.499</v>
      </c>
      <c r="F1379" s="4" t="str">
        <f>HYPERLINK("http://141.218.60.56/~jnz1568/getInfo.php?workbook=12_04.xlsx&amp;sheet=A0&amp;row=1379&amp;col=6&amp;number=2260000&amp;sourceID=14","2260000")</f>
        <v>2260000</v>
      </c>
      <c r="G1379" s="4" t="str">
        <f>HYPERLINK("http://141.218.60.56/~jnz1568/getInfo.php?workbook=12_04.xlsx&amp;sheet=A0&amp;row=1379&amp;col=7&amp;number=0&amp;sourceID=14","0")</f>
        <v>0</v>
      </c>
    </row>
    <row r="1380" spans="1:7">
      <c r="A1380" s="3">
        <v>12</v>
      </c>
      <c r="B1380" s="3">
        <v>4</v>
      </c>
      <c r="C1380" s="3">
        <v>53</v>
      </c>
      <c r="D1380" s="3">
        <v>17</v>
      </c>
      <c r="E1380" s="3">
        <v>222.752</v>
      </c>
      <c r="F1380" s="4" t="str">
        <f>HYPERLINK("http://141.218.60.56/~jnz1568/getInfo.php?workbook=12_04.xlsx&amp;sheet=A0&amp;row=1380&amp;col=6&amp;number=216000&amp;sourceID=14","216000")</f>
        <v>216000</v>
      </c>
      <c r="G1380" s="4" t="str">
        <f>HYPERLINK("http://141.218.60.56/~jnz1568/getInfo.php?workbook=12_04.xlsx&amp;sheet=A0&amp;row=1380&amp;col=7&amp;number=0&amp;sourceID=14","0")</f>
        <v>0</v>
      </c>
    </row>
    <row r="1381" spans="1:7">
      <c r="A1381" s="3">
        <v>12</v>
      </c>
      <c r="B1381" s="3">
        <v>4</v>
      </c>
      <c r="C1381" s="3">
        <v>54</v>
      </c>
      <c r="D1381" s="3">
        <v>17</v>
      </c>
      <c r="E1381" s="3">
        <v>222.752</v>
      </c>
      <c r="F1381" s="4" t="str">
        <f>HYPERLINK("http://141.218.60.56/~jnz1568/getInfo.php?workbook=12_04.xlsx&amp;sheet=A0&amp;row=1381&amp;col=6&amp;number=216000&amp;sourceID=14","216000")</f>
        <v>216000</v>
      </c>
      <c r="G1381" s="4" t="str">
        <f>HYPERLINK("http://141.218.60.56/~jnz1568/getInfo.php?workbook=12_04.xlsx&amp;sheet=A0&amp;row=1381&amp;col=7&amp;number=0&amp;sourceID=14","0")</f>
        <v>0</v>
      </c>
    </row>
    <row r="1382" spans="1:7">
      <c r="A1382" s="3">
        <v>12</v>
      </c>
      <c r="B1382" s="3">
        <v>4</v>
      </c>
      <c r="C1382" s="3">
        <v>55</v>
      </c>
      <c r="D1382" s="3">
        <v>17</v>
      </c>
      <c r="E1382" s="3">
        <v>222.713</v>
      </c>
      <c r="F1382" s="4" t="str">
        <f>HYPERLINK("http://141.218.60.56/~jnz1568/getInfo.php?workbook=12_04.xlsx&amp;sheet=A0&amp;row=1382&amp;col=6&amp;number=17700&amp;sourceID=14","17700")</f>
        <v>17700</v>
      </c>
      <c r="G1382" s="4" t="str">
        <f>HYPERLINK("http://141.218.60.56/~jnz1568/getInfo.php?workbook=12_04.xlsx&amp;sheet=A0&amp;row=1382&amp;col=7&amp;number=0&amp;sourceID=14","0")</f>
        <v>0</v>
      </c>
    </row>
    <row r="1383" spans="1:7">
      <c r="A1383" s="3">
        <v>12</v>
      </c>
      <c r="B1383" s="3">
        <v>4</v>
      </c>
      <c r="C1383" s="3">
        <v>56</v>
      </c>
      <c r="D1383" s="3">
        <v>17</v>
      </c>
      <c r="E1383" s="3">
        <v>218.891</v>
      </c>
      <c r="F1383" s="4" t="str">
        <f>HYPERLINK("http://141.218.60.56/~jnz1568/getInfo.php?workbook=12_04.xlsx&amp;sheet=A0&amp;row=1383&amp;col=6&amp;number=8.74&amp;sourceID=14","8.74")</f>
        <v>8.74</v>
      </c>
      <c r="G1383" s="4" t="str">
        <f>HYPERLINK("http://141.218.60.56/~jnz1568/getInfo.php?workbook=12_04.xlsx&amp;sheet=A0&amp;row=1383&amp;col=7&amp;number=0&amp;sourceID=14","0")</f>
        <v>0</v>
      </c>
    </row>
    <row r="1384" spans="1:7">
      <c r="A1384" s="3">
        <v>12</v>
      </c>
      <c r="B1384" s="3">
        <v>4</v>
      </c>
      <c r="C1384" s="3">
        <v>57</v>
      </c>
      <c r="D1384" s="3">
        <v>17</v>
      </c>
      <c r="E1384" s="3">
        <v>-218.534</v>
      </c>
      <c r="F1384" s="4" t="str">
        <f>HYPERLINK("http://141.218.60.56/~jnz1568/getInfo.php?workbook=12_04.xlsx&amp;sheet=A0&amp;row=1384&amp;col=6&amp;number=80400000000&amp;sourceID=14","80400000000")</f>
        <v>80400000000</v>
      </c>
      <c r="G1384" s="4" t="str">
        <f>HYPERLINK("http://141.218.60.56/~jnz1568/getInfo.php?workbook=12_04.xlsx&amp;sheet=A0&amp;row=1384&amp;col=7&amp;number=0&amp;sourceID=14","0")</f>
        <v>0</v>
      </c>
    </row>
    <row r="1385" spans="1:7">
      <c r="A1385" s="3">
        <v>12</v>
      </c>
      <c r="B1385" s="3">
        <v>4</v>
      </c>
      <c r="C1385" s="3">
        <v>58</v>
      </c>
      <c r="D1385" s="3">
        <v>17</v>
      </c>
      <c r="E1385" s="3">
        <v>-218.52</v>
      </c>
      <c r="F1385" s="4" t="str">
        <f>HYPERLINK("http://141.218.60.56/~jnz1568/getInfo.php?workbook=12_04.xlsx&amp;sheet=A0&amp;row=1385&amp;col=6&amp;number=18.6&amp;sourceID=14","18.6")</f>
        <v>18.6</v>
      </c>
      <c r="G1385" s="4" t="str">
        <f>HYPERLINK("http://141.218.60.56/~jnz1568/getInfo.php?workbook=12_04.xlsx&amp;sheet=A0&amp;row=1385&amp;col=7&amp;number=0&amp;sourceID=14","0")</f>
        <v>0</v>
      </c>
    </row>
    <row r="1386" spans="1:7">
      <c r="A1386" s="3">
        <v>12</v>
      </c>
      <c r="B1386" s="3">
        <v>4</v>
      </c>
      <c r="C1386" s="3">
        <v>59</v>
      </c>
      <c r="D1386" s="3">
        <v>17</v>
      </c>
      <c r="E1386" s="3">
        <v>-218.502</v>
      </c>
      <c r="F1386" s="4" t="str">
        <f>HYPERLINK("http://141.218.60.56/~jnz1568/getInfo.php?workbook=12_04.xlsx&amp;sheet=A0&amp;row=1386&amp;col=6&amp;number=1.14&amp;sourceID=14","1.14")</f>
        <v>1.14</v>
      </c>
      <c r="G1386" s="4" t="str">
        <f>HYPERLINK("http://141.218.60.56/~jnz1568/getInfo.php?workbook=12_04.xlsx&amp;sheet=A0&amp;row=1386&amp;col=7&amp;number=0&amp;sourceID=14","0")</f>
        <v>0</v>
      </c>
    </row>
    <row r="1387" spans="1:7">
      <c r="A1387" s="3">
        <v>12</v>
      </c>
      <c r="B1387" s="3">
        <v>4</v>
      </c>
      <c r="C1387" s="3">
        <v>60</v>
      </c>
      <c r="D1387" s="3">
        <v>17</v>
      </c>
      <c r="E1387" s="3">
        <v>-217.303</v>
      </c>
      <c r="F1387" s="4" t="str">
        <f>HYPERLINK("http://141.218.60.56/~jnz1568/getInfo.php?workbook=12_04.xlsx&amp;sheet=A0&amp;row=1387&amp;col=6&amp;number=49.2&amp;sourceID=14","49.2")</f>
        <v>49.2</v>
      </c>
      <c r="G1387" s="4" t="str">
        <f>HYPERLINK("http://141.218.60.56/~jnz1568/getInfo.php?workbook=12_04.xlsx&amp;sheet=A0&amp;row=1387&amp;col=7&amp;number=0&amp;sourceID=14","0")</f>
        <v>0</v>
      </c>
    </row>
    <row r="1388" spans="1:7">
      <c r="A1388" s="3">
        <v>12</v>
      </c>
      <c r="B1388" s="3">
        <v>4</v>
      </c>
      <c r="C1388" s="3">
        <v>61</v>
      </c>
      <c r="D1388" s="3">
        <v>17</v>
      </c>
      <c r="E1388" s="3">
        <v>-173.643</v>
      </c>
      <c r="F1388" s="4" t="str">
        <f>HYPERLINK("http://141.218.60.56/~jnz1568/getInfo.php?workbook=12_04.xlsx&amp;sheet=A0&amp;row=1388&amp;col=6&amp;number=61500000&amp;sourceID=14","61500000")</f>
        <v>61500000</v>
      </c>
      <c r="G1388" s="4" t="str">
        <f>HYPERLINK("http://141.218.60.56/~jnz1568/getInfo.php?workbook=12_04.xlsx&amp;sheet=A0&amp;row=1388&amp;col=7&amp;number=0&amp;sourceID=14","0")</f>
        <v>0</v>
      </c>
    </row>
    <row r="1389" spans="1:7">
      <c r="A1389" s="3">
        <v>12</v>
      </c>
      <c r="B1389" s="3">
        <v>4</v>
      </c>
      <c r="C1389" s="3">
        <v>62</v>
      </c>
      <c r="D1389" s="3">
        <v>17</v>
      </c>
      <c r="E1389" s="3">
        <v>-173.366</v>
      </c>
      <c r="F1389" s="4" t="str">
        <f>HYPERLINK("http://141.218.60.56/~jnz1568/getInfo.php?workbook=12_04.xlsx&amp;sheet=A0&amp;row=1389&amp;col=6&amp;number=13900000&amp;sourceID=14","13900000")</f>
        <v>13900000</v>
      </c>
      <c r="G1389" s="4" t="str">
        <f>HYPERLINK("http://141.218.60.56/~jnz1568/getInfo.php?workbook=12_04.xlsx&amp;sheet=A0&amp;row=1389&amp;col=7&amp;number=0&amp;sourceID=14","0")</f>
        <v>0</v>
      </c>
    </row>
    <row r="1390" spans="1:7">
      <c r="A1390" s="3">
        <v>12</v>
      </c>
      <c r="B1390" s="3">
        <v>4</v>
      </c>
      <c r="C1390" s="3">
        <v>63</v>
      </c>
      <c r="D1390" s="3">
        <v>17</v>
      </c>
      <c r="E1390" s="3">
        <v>-172.475</v>
      </c>
      <c r="F1390" s="4" t="str">
        <f>HYPERLINK("http://141.218.60.56/~jnz1568/getInfo.php?workbook=12_04.xlsx&amp;sheet=A0&amp;row=1390&amp;col=6&amp;number=480000&amp;sourceID=14","480000")</f>
        <v>480000</v>
      </c>
      <c r="G1390" s="4" t="str">
        <f>HYPERLINK("http://141.218.60.56/~jnz1568/getInfo.php?workbook=12_04.xlsx&amp;sheet=A0&amp;row=1390&amp;col=7&amp;number=0&amp;sourceID=14","0")</f>
        <v>0</v>
      </c>
    </row>
    <row r="1391" spans="1:7">
      <c r="A1391" s="3">
        <v>12</v>
      </c>
      <c r="B1391" s="3">
        <v>4</v>
      </c>
      <c r="C1391" s="3">
        <v>64</v>
      </c>
      <c r="D1391" s="3">
        <v>17</v>
      </c>
      <c r="E1391" s="3">
        <v>-170.639</v>
      </c>
      <c r="F1391" s="4" t="str">
        <f>HYPERLINK("http://141.218.60.56/~jnz1568/getInfo.php?workbook=12_04.xlsx&amp;sheet=A0&amp;row=1391&amp;col=6&amp;number=368000&amp;sourceID=14","368000")</f>
        <v>368000</v>
      </c>
      <c r="G1391" s="4" t="str">
        <f>HYPERLINK("http://141.218.60.56/~jnz1568/getInfo.php?workbook=12_04.xlsx&amp;sheet=A0&amp;row=1391&amp;col=7&amp;number=0&amp;sourceID=14","0")</f>
        <v>0</v>
      </c>
    </row>
    <row r="1392" spans="1:7">
      <c r="A1392" s="3">
        <v>12</v>
      </c>
      <c r="B1392" s="3">
        <v>4</v>
      </c>
      <c r="C1392" s="3">
        <v>65</v>
      </c>
      <c r="D1392" s="3">
        <v>17</v>
      </c>
      <c r="E1392" s="3">
        <v>-168.475</v>
      </c>
      <c r="F1392" s="4" t="str">
        <f>HYPERLINK("http://141.218.60.56/~jnz1568/getInfo.php?workbook=12_04.xlsx&amp;sheet=A0&amp;row=1392&amp;col=6&amp;number=238&amp;sourceID=14","238")</f>
        <v>238</v>
      </c>
      <c r="G1392" s="4" t="str">
        <f>HYPERLINK("http://141.218.60.56/~jnz1568/getInfo.php?workbook=12_04.xlsx&amp;sheet=A0&amp;row=1392&amp;col=7&amp;number=0&amp;sourceID=14","0")</f>
        <v>0</v>
      </c>
    </row>
    <row r="1393" spans="1:7">
      <c r="A1393" s="3">
        <v>12</v>
      </c>
      <c r="B1393" s="3">
        <v>4</v>
      </c>
      <c r="C1393" s="3">
        <v>66</v>
      </c>
      <c r="D1393" s="3">
        <v>17</v>
      </c>
      <c r="E1393" s="3">
        <v>-167.754</v>
      </c>
      <c r="F1393" s="4" t="str">
        <f>HYPERLINK("http://141.218.60.56/~jnz1568/getInfo.php?workbook=12_04.xlsx&amp;sheet=A0&amp;row=1393&amp;col=6&amp;number=5700&amp;sourceID=14","5700")</f>
        <v>5700</v>
      </c>
      <c r="G1393" s="4" t="str">
        <f>HYPERLINK("http://141.218.60.56/~jnz1568/getInfo.php?workbook=12_04.xlsx&amp;sheet=A0&amp;row=1393&amp;col=7&amp;number=0&amp;sourceID=14","0")</f>
        <v>0</v>
      </c>
    </row>
    <row r="1394" spans="1:7">
      <c r="A1394" s="3">
        <v>12</v>
      </c>
      <c r="B1394" s="3">
        <v>4</v>
      </c>
      <c r="C1394" s="3">
        <v>67</v>
      </c>
      <c r="D1394" s="3">
        <v>17</v>
      </c>
      <c r="E1394" s="3">
        <v>-167.627</v>
      </c>
      <c r="F1394" s="4" t="str">
        <f>HYPERLINK("http://141.218.60.56/~jnz1568/getInfo.php?workbook=12_04.xlsx&amp;sheet=A0&amp;row=1394&amp;col=6&amp;number=3950&amp;sourceID=14","3950")</f>
        <v>3950</v>
      </c>
      <c r="G1394" s="4" t="str">
        <f>HYPERLINK("http://141.218.60.56/~jnz1568/getInfo.php?workbook=12_04.xlsx&amp;sheet=A0&amp;row=1394&amp;col=7&amp;number=0&amp;sourceID=14","0")</f>
        <v>0</v>
      </c>
    </row>
    <row r="1395" spans="1:7">
      <c r="A1395" s="3">
        <v>12</v>
      </c>
      <c r="B1395" s="3">
        <v>4</v>
      </c>
      <c r="C1395" s="3">
        <v>68</v>
      </c>
      <c r="D1395" s="3">
        <v>17</v>
      </c>
      <c r="E1395" s="3">
        <v>167.032</v>
      </c>
      <c r="F1395" s="4" t="str">
        <f>HYPERLINK("http://141.218.60.56/~jnz1568/getInfo.php?workbook=12_04.xlsx&amp;sheet=A0&amp;row=1395&amp;col=6&amp;number=343&amp;sourceID=14","343")</f>
        <v>343</v>
      </c>
      <c r="G1395" s="4" t="str">
        <f>HYPERLINK("http://141.218.60.56/~jnz1568/getInfo.php?workbook=12_04.xlsx&amp;sheet=A0&amp;row=1395&amp;col=7&amp;number=0&amp;sourceID=14","0")</f>
        <v>0</v>
      </c>
    </row>
    <row r="1396" spans="1:7">
      <c r="A1396" s="3">
        <v>12</v>
      </c>
      <c r="B1396" s="3">
        <v>4</v>
      </c>
      <c r="C1396" s="3">
        <v>69</v>
      </c>
      <c r="D1396" s="3">
        <v>17</v>
      </c>
      <c r="E1396" s="3">
        <v>-166.141</v>
      </c>
      <c r="F1396" s="4" t="str">
        <f>HYPERLINK("http://141.218.60.56/~jnz1568/getInfo.php?workbook=12_04.xlsx&amp;sheet=A0&amp;row=1396&amp;col=6&amp;number=17400&amp;sourceID=14","17400")</f>
        <v>17400</v>
      </c>
      <c r="G1396" s="4" t="str">
        <f>HYPERLINK("http://141.218.60.56/~jnz1568/getInfo.php?workbook=12_04.xlsx&amp;sheet=A0&amp;row=1396&amp;col=7&amp;number=0&amp;sourceID=14","0")</f>
        <v>0</v>
      </c>
    </row>
    <row r="1397" spans="1:7">
      <c r="A1397" s="3">
        <v>12</v>
      </c>
      <c r="B1397" s="3">
        <v>4</v>
      </c>
      <c r="C1397" s="3">
        <v>70</v>
      </c>
      <c r="D1397" s="3">
        <v>17</v>
      </c>
      <c r="E1397" s="3">
        <v>-165.967</v>
      </c>
      <c r="F1397" s="4" t="str">
        <f>HYPERLINK("http://141.218.60.56/~jnz1568/getInfo.php?workbook=12_04.xlsx&amp;sheet=A0&amp;row=1397&amp;col=6&amp;number=0.00011&amp;sourceID=14","0.00011")</f>
        <v>0.00011</v>
      </c>
      <c r="G1397" s="4" t="str">
        <f>HYPERLINK("http://141.218.60.56/~jnz1568/getInfo.php?workbook=12_04.xlsx&amp;sheet=A0&amp;row=1397&amp;col=7&amp;number=0&amp;sourceID=14","0")</f>
        <v>0</v>
      </c>
    </row>
    <row r="1398" spans="1:7">
      <c r="A1398" s="3">
        <v>12</v>
      </c>
      <c r="B1398" s="3">
        <v>4</v>
      </c>
      <c r="C1398" s="3">
        <v>71</v>
      </c>
      <c r="D1398" s="3">
        <v>17</v>
      </c>
      <c r="E1398" s="3">
        <v>-165.436</v>
      </c>
      <c r="F1398" s="4" t="str">
        <f>HYPERLINK("http://141.218.60.56/~jnz1568/getInfo.php?workbook=12_04.xlsx&amp;sheet=A0&amp;row=1398&amp;col=6&amp;number=15300&amp;sourceID=14","15300")</f>
        <v>15300</v>
      </c>
      <c r="G1398" s="4" t="str">
        <f>HYPERLINK("http://141.218.60.56/~jnz1568/getInfo.php?workbook=12_04.xlsx&amp;sheet=A0&amp;row=1398&amp;col=7&amp;number=0&amp;sourceID=14","0")</f>
        <v>0</v>
      </c>
    </row>
    <row r="1399" spans="1:7">
      <c r="A1399" s="3">
        <v>12</v>
      </c>
      <c r="B1399" s="3">
        <v>4</v>
      </c>
      <c r="C1399" s="3">
        <v>72</v>
      </c>
      <c r="D1399" s="3">
        <v>17</v>
      </c>
      <c r="E1399" s="3">
        <v>165.478</v>
      </c>
      <c r="F1399" s="4" t="str">
        <f>HYPERLINK("http://141.218.60.56/~jnz1568/getInfo.php?workbook=12_04.xlsx&amp;sheet=A0&amp;row=1399&amp;col=6&amp;number=334&amp;sourceID=14","334")</f>
        <v>334</v>
      </c>
      <c r="G1399" s="4" t="str">
        <f>HYPERLINK("http://141.218.60.56/~jnz1568/getInfo.php?workbook=12_04.xlsx&amp;sheet=A0&amp;row=1399&amp;col=7&amp;number=0&amp;sourceID=14","0")</f>
        <v>0</v>
      </c>
    </row>
    <row r="1400" spans="1:7">
      <c r="A1400" s="3">
        <v>12</v>
      </c>
      <c r="B1400" s="3">
        <v>4</v>
      </c>
      <c r="C1400" s="3">
        <v>73</v>
      </c>
      <c r="D1400" s="3">
        <v>17</v>
      </c>
      <c r="E1400" s="3">
        <v>-164.483</v>
      </c>
      <c r="F1400" s="4" t="str">
        <f>HYPERLINK("http://141.218.60.56/~jnz1568/getInfo.php?workbook=12_04.xlsx&amp;sheet=A0&amp;row=1400&amp;col=6&amp;number=270000000&amp;sourceID=14","270000000")</f>
        <v>270000000</v>
      </c>
      <c r="G1400" s="4" t="str">
        <f>HYPERLINK("http://141.218.60.56/~jnz1568/getInfo.php?workbook=12_04.xlsx&amp;sheet=A0&amp;row=1400&amp;col=7&amp;number=0&amp;sourceID=14","0")</f>
        <v>0</v>
      </c>
    </row>
    <row r="1401" spans="1:7">
      <c r="A1401" s="3">
        <v>12</v>
      </c>
      <c r="B1401" s="3">
        <v>4</v>
      </c>
      <c r="C1401" s="3">
        <v>74</v>
      </c>
      <c r="D1401" s="3">
        <v>17</v>
      </c>
      <c r="E1401" s="3">
        <v>-163.968</v>
      </c>
      <c r="F1401" s="4" t="str">
        <f>HYPERLINK("http://141.218.60.56/~jnz1568/getInfo.php?workbook=12_04.xlsx&amp;sheet=A0&amp;row=1401&amp;col=6&amp;number=0.787&amp;sourceID=14","0.787")</f>
        <v>0.787</v>
      </c>
      <c r="G1401" s="4" t="str">
        <f>HYPERLINK("http://141.218.60.56/~jnz1568/getInfo.php?workbook=12_04.xlsx&amp;sheet=A0&amp;row=1401&amp;col=7&amp;number=0&amp;sourceID=14","0")</f>
        <v>0</v>
      </c>
    </row>
    <row r="1402" spans="1:7">
      <c r="A1402" s="3">
        <v>12</v>
      </c>
      <c r="B1402" s="3">
        <v>4</v>
      </c>
      <c r="C1402" s="3">
        <v>75</v>
      </c>
      <c r="D1402" s="3">
        <v>17</v>
      </c>
      <c r="E1402" s="3">
        <v>163.889</v>
      </c>
      <c r="F1402" s="4" t="str">
        <f>HYPERLINK("http://141.218.60.56/~jnz1568/getInfo.php?workbook=12_04.xlsx&amp;sheet=A0&amp;row=1402&amp;col=6&amp;number=117000000&amp;sourceID=14","117000000")</f>
        <v>117000000</v>
      </c>
      <c r="G1402" s="4" t="str">
        <f>HYPERLINK("http://141.218.60.56/~jnz1568/getInfo.php?workbook=12_04.xlsx&amp;sheet=A0&amp;row=1402&amp;col=7&amp;number=0&amp;sourceID=14","0")</f>
        <v>0</v>
      </c>
    </row>
    <row r="1403" spans="1:7">
      <c r="A1403" s="3">
        <v>12</v>
      </c>
      <c r="B1403" s="3">
        <v>4</v>
      </c>
      <c r="C1403" s="3">
        <v>76</v>
      </c>
      <c r="D1403" s="3">
        <v>17</v>
      </c>
      <c r="E1403" s="3">
        <v>163.924</v>
      </c>
      <c r="F1403" s="4" t="str">
        <f>HYPERLINK("http://141.218.60.56/~jnz1568/getInfo.php?workbook=12_04.xlsx&amp;sheet=A0&amp;row=1403&amp;col=6&amp;number=110&amp;sourceID=14","110")</f>
        <v>110</v>
      </c>
      <c r="G1403" s="4" t="str">
        <f>HYPERLINK("http://141.218.60.56/~jnz1568/getInfo.php?workbook=12_04.xlsx&amp;sheet=A0&amp;row=1403&amp;col=7&amp;number=0&amp;sourceID=14","0")</f>
        <v>0</v>
      </c>
    </row>
    <row r="1404" spans="1:7">
      <c r="A1404" s="3">
        <v>12</v>
      </c>
      <c r="B1404" s="3">
        <v>4</v>
      </c>
      <c r="C1404" s="3">
        <v>77</v>
      </c>
      <c r="D1404" s="3">
        <v>17</v>
      </c>
      <c r="E1404" s="3">
        <v>-163.385</v>
      </c>
      <c r="F1404" s="4" t="str">
        <f>HYPERLINK("http://141.218.60.56/~jnz1568/getInfo.php?workbook=12_04.xlsx&amp;sheet=A0&amp;row=1404&amp;col=6&amp;number=0.0642&amp;sourceID=14","0.0642")</f>
        <v>0.0642</v>
      </c>
      <c r="G1404" s="4" t="str">
        <f>HYPERLINK("http://141.218.60.56/~jnz1568/getInfo.php?workbook=12_04.xlsx&amp;sheet=A0&amp;row=1404&amp;col=7&amp;number=0&amp;sourceID=14","0")</f>
        <v>0</v>
      </c>
    </row>
    <row r="1405" spans="1:7">
      <c r="A1405" s="3">
        <v>12</v>
      </c>
      <c r="B1405" s="3">
        <v>4</v>
      </c>
      <c r="C1405" s="3">
        <v>78</v>
      </c>
      <c r="D1405" s="3">
        <v>17</v>
      </c>
      <c r="E1405" s="3">
        <v>-162.587</v>
      </c>
      <c r="F1405" s="4" t="str">
        <f>HYPERLINK("http://141.218.60.56/~jnz1568/getInfo.php?workbook=12_04.xlsx&amp;sheet=A0&amp;row=1405&amp;col=6&amp;number=45600000&amp;sourceID=14","45600000")</f>
        <v>45600000</v>
      </c>
      <c r="G1405" s="4" t="str">
        <f>HYPERLINK("http://141.218.60.56/~jnz1568/getInfo.php?workbook=12_04.xlsx&amp;sheet=A0&amp;row=1405&amp;col=7&amp;number=0&amp;sourceID=14","0")</f>
        <v>0</v>
      </c>
    </row>
    <row r="1406" spans="1:7">
      <c r="A1406" s="3">
        <v>12</v>
      </c>
      <c r="B1406" s="3">
        <v>4</v>
      </c>
      <c r="C1406" s="3">
        <v>79</v>
      </c>
      <c r="D1406" s="3">
        <v>17</v>
      </c>
      <c r="E1406" s="3">
        <v>-162.424</v>
      </c>
      <c r="F1406" s="4" t="str">
        <f>HYPERLINK("http://141.218.60.56/~jnz1568/getInfo.php?workbook=12_04.xlsx&amp;sheet=A0&amp;row=1406&amp;col=6&amp;number=892000&amp;sourceID=14","892000")</f>
        <v>892000</v>
      </c>
      <c r="G1406" s="4" t="str">
        <f>HYPERLINK("http://141.218.60.56/~jnz1568/getInfo.php?workbook=12_04.xlsx&amp;sheet=A0&amp;row=1406&amp;col=7&amp;number=0&amp;sourceID=14","0")</f>
        <v>0</v>
      </c>
    </row>
    <row r="1407" spans="1:7">
      <c r="A1407" s="3">
        <v>12</v>
      </c>
      <c r="B1407" s="3">
        <v>4</v>
      </c>
      <c r="C1407" s="3">
        <v>80</v>
      </c>
      <c r="D1407" s="3">
        <v>17</v>
      </c>
      <c r="E1407" s="3">
        <v>-162.097</v>
      </c>
      <c r="F1407" s="4" t="str">
        <f>HYPERLINK("http://141.218.60.56/~jnz1568/getInfo.php?workbook=12_04.xlsx&amp;sheet=A0&amp;row=1407&amp;col=6&amp;number=14300&amp;sourceID=14","14300")</f>
        <v>14300</v>
      </c>
      <c r="G1407" s="4" t="str">
        <f>HYPERLINK("http://141.218.60.56/~jnz1568/getInfo.php?workbook=12_04.xlsx&amp;sheet=A0&amp;row=1407&amp;col=7&amp;number=0&amp;sourceID=14","0")</f>
        <v>0</v>
      </c>
    </row>
    <row r="1408" spans="1:7">
      <c r="A1408" s="3">
        <v>12</v>
      </c>
      <c r="B1408" s="3">
        <v>4</v>
      </c>
      <c r="C1408" s="3">
        <v>81</v>
      </c>
      <c r="D1408" s="3">
        <v>17</v>
      </c>
      <c r="E1408" s="3">
        <v>162.02</v>
      </c>
      <c r="F1408" s="4" t="str">
        <f>HYPERLINK("http://141.218.60.56/~jnz1568/getInfo.php?workbook=12_04.xlsx&amp;sheet=A0&amp;row=1408&amp;col=6&amp;number=0.0564&amp;sourceID=14","0.0564")</f>
        <v>0.0564</v>
      </c>
      <c r="G1408" s="4" t="str">
        <f>HYPERLINK("http://141.218.60.56/~jnz1568/getInfo.php?workbook=12_04.xlsx&amp;sheet=A0&amp;row=1408&amp;col=7&amp;number=0&amp;sourceID=14","0")</f>
        <v>0</v>
      </c>
    </row>
    <row r="1409" spans="1:7">
      <c r="A1409" s="3">
        <v>12</v>
      </c>
      <c r="B1409" s="3">
        <v>4</v>
      </c>
      <c r="C1409" s="3">
        <v>82</v>
      </c>
      <c r="D1409" s="3">
        <v>17</v>
      </c>
      <c r="E1409" s="3">
        <v>-162.002</v>
      </c>
      <c r="F1409" s="4" t="str">
        <f>HYPERLINK("http://141.218.60.56/~jnz1568/getInfo.php?workbook=12_04.xlsx&amp;sheet=A0&amp;row=1409&amp;col=6&amp;number=17600&amp;sourceID=14","17600")</f>
        <v>17600</v>
      </c>
      <c r="G1409" s="4" t="str">
        <f>HYPERLINK("http://141.218.60.56/~jnz1568/getInfo.php?workbook=12_04.xlsx&amp;sheet=A0&amp;row=1409&amp;col=7&amp;number=0&amp;sourceID=14","0")</f>
        <v>0</v>
      </c>
    </row>
    <row r="1410" spans="1:7">
      <c r="A1410" s="3">
        <v>12</v>
      </c>
      <c r="B1410" s="3">
        <v>4</v>
      </c>
      <c r="C1410" s="3">
        <v>83</v>
      </c>
      <c r="D1410" s="3">
        <v>17</v>
      </c>
      <c r="E1410" s="3">
        <v>-162.001</v>
      </c>
      <c r="F1410" s="4" t="str">
        <f>HYPERLINK("http://141.218.60.56/~jnz1568/getInfo.php?workbook=12_04.xlsx&amp;sheet=A0&amp;row=1410&amp;col=6&amp;number=72700&amp;sourceID=14","72700")</f>
        <v>72700</v>
      </c>
      <c r="G1410" s="4" t="str">
        <f>HYPERLINK("http://141.218.60.56/~jnz1568/getInfo.php?workbook=12_04.xlsx&amp;sheet=A0&amp;row=1410&amp;col=7&amp;number=0&amp;sourceID=14","0")</f>
        <v>0</v>
      </c>
    </row>
    <row r="1411" spans="1:7">
      <c r="A1411" s="3">
        <v>12</v>
      </c>
      <c r="B1411" s="3">
        <v>4</v>
      </c>
      <c r="C1411" s="3">
        <v>84</v>
      </c>
      <c r="D1411" s="3">
        <v>17</v>
      </c>
      <c r="E1411" s="3">
        <v>-161.916</v>
      </c>
      <c r="F1411" s="4" t="str">
        <f>HYPERLINK("http://141.218.60.56/~jnz1568/getInfo.php?workbook=12_04.xlsx&amp;sheet=A0&amp;row=1411&amp;col=6&amp;number=1.04e-05&amp;sourceID=14","1.04e-05")</f>
        <v>1.04e-05</v>
      </c>
      <c r="G1411" s="4" t="str">
        <f>HYPERLINK("http://141.218.60.56/~jnz1568/getInfo.php?workbook=12_04.xlsx&amp;sheet=A0&amp;row=1411&amp;col=7&amp;number=0&amp;sourceID=14","0")</f>
        <v>0</v>
      </c>
    </row>
    <row r="1412" spans="1:7">
      <c r="A1412" s="3">
        <v>12</v>
      </c>
      <c r="B1412" s="3">
        <v>4</v>
      </c>
      <c r="C1412" s="3">
        <v>85</v>
      </c>
      <c r="D1412" s="3">
        <v>17</v>
      </c>
      <c r="E1412" s="3">
        <v>161.705</v>
      </c>
      <c r="F1412" s="4" t="str">
        <f>HYPERLINK("http://141.218.60.56/~jnz1568/getInfo.php?workbook=12_04.xlsx&amp;sheet=A0&amp;row=1412&amp;col=6&amp;number=11000000&amp;sourceID=14","11000000")</f>
        <v>11000000</v>
      </c>
      <c r="G1412" s="4" t="str">
        <f>HYPERLINK("http://141.218.60.56/~jnz1568/getInfo.php?workbook=12_04.xlsx&amp;sheet=A0&amp;row=1412&amp;col=7&amp;number=0&amp;sourceID=14","0")</f>
        <v>0</v>
      </c>
    </row>
    <row r="1413" spans="1:7">
      <c r="A1413" s="3">
        <v>12</v>
      </c>
      <c r="B1413" s="3">
        <v>4</v>
      </c>
      <c r="C1413" s="3">
        <v>86</v>
      </c>
      <c r="D1413" s="3">
        <v>17</v>
      </c>
      <c r="E1413" s="3">
        <v>161.57</v>
      </c>
      <c r="F1413" s="4" t="str">
        <f>HYPERLINK("http://141.218.60.56/~jnz1568/getInfo.php?workbook=12_04.xlsx&amp;sheet=A0&amp;row=1413&amp;col=6&amp;number=258000000&amp;sourceID=14","258000000")</f>
        <v>258000000</v>
      </c>
      <c r="G1413" s="4" t="str">
        <f>HYPERLINK("http://141.218.60.56/~jnz1568/getInfo.php?workbook=12_04.xlsx&amp;sheet=A0&amp;row=1413&amp;col=7&amp;number=0&amp;sourceID=14","0")</f>
        <v>0</v>
      </c>
    </row>
    <row r="1414" spans="1:7">
      <c r="A1414" s="3">
        <v>12</v>
      </c>
      <c r="B1414" s="3">
        <v>4</v>
      </c>
      <c r="C1414" s="3">
        <v>87</v>
      </c>
      <c r="D1414" s="3">
        <v>17</v>
      </c>
      <c r="E1414" s="3">
        <v>-161.281</v>
      </c>
      <c r="F1414" s="4" t="str">
        <f>HYPERLINK("http://141.218.60.56/~jnz1568/getInfo.php?workbook=12_04.xlsx&amp;sheet=A0&amp;row=1414&amp;col=6&amp;number=1190000000&amp;sourceID=14","1190000000")</f>
        <v>1190000000</v>
      </c>
      <c r="G1414" s="4" t="str">
        <f>HYPERLINK("http://141.218.60.56/~jnz1568/getInfo.php?workbook=12_04.xlsx&amp;sheet=A0&amp;row=1414&amp;col=7&amp;number=0&amp;sourceID=14","0")</f>
        <v>0</v>
      </c>
    </row>
    <row r="1415" spans="1:7">
      <c r="A1415" s="3">
        <v>12</v>
      </c>
      <c r="B1415" s="3">
        <v>4</v>
      </c>
      <c r="C1415" s="3">
        <v>88</v>
      </c>
      <c r="D1415" s="3">
        <v>17</v>
      </c>
      <c r="E1415" s="3">
        <v>-161.078</v>
      </c>
      <c r="F1415" s="4" t="str">
        <f>HYPERLINK("http://141.218.60.56/~jnz1568/getInfo.php?workbook=12_04.xlsx&amp;sheet=A0&amp;row=1415&amp;col=6&amp;number=109000&amp;sourceID=14","109000")</f>
        <v>109000</v>
      </c>
      <c r="G1415" s="4" t="str">
        <f>HYPERLINK("http://141.218.60.56/~jnz1568/getInfo.php?workbook=12_04.xlsx&amp;sheet=A0&amp;row=1415&amp;col=7&amp;number=0&amp;sourceID=14","0")</f>
        <v>0</v>
      </c>
    </row>
    <row r="1416" spans="1:7">
      <c r="A1416" s="3">
        <v>12</v>
      </c>
      <c r="B1416" s="3">
        <v>4</v>
      </c>
      <c r="C1416" s="3">
        <v>89</v>
      </c>
      <c r="D1416" s="3">
        <v>17</v>
      </c>
      <c r="E1416" s="3">
        <v>-160.958</v>
      </c>
      <c r="F1416" s="4" t="str">
        <f>HYPERLINK("http://141.218.60.56/~jnz1568/getInfo.php?workbook=12_04.xlsx&amp;sheet=A0&amp;row=1416&amp;col=6&amp;number=8.47e-05&amp;sourceID=14","8.47e-05")</f>
        <v>8.47e-05</v>
      </c>
      <c r="G1416" s="4" t="str">
        <f>HYPERLINK("http://141.218.60.56/~jnz1568/getInfo.php?workbook=12_04.xlsx&amp;sheet=A0&amp;row=1416&amp;col=7&amp;number=0&amp;sourceID=14","0")</f>
        <v>0</v>
      </c>
    </row>
    <row r="1417" spans="1:7">
      <c r="A1417" s="3">
        <v>12</v>
      </c>
      <c r="B1417" s="3">
        <v>4</v>
      </c>
      <c r="C1417" s="3">
        <v>90</v>
      </c>
      <c r="D1417" s="3">
        <v>17</v>
      </c>
      <c r="E1417" s="3">
        <v>-160.602</v>
      </c>
      <c r="F1417" s="4" t="str">
        <f>HYPERLINK("http://141.218.60.56/~jnz1568/getInfo.php?workbook=12_04.xlsx&amp;sheet=A0&amp;row=1417&amp;col=6&amp;number=4.31e-06&amp;sourceID=14","4.31e-06")</f>
        <v>4.31e-06</v>
      </c>
      <c r="G1417" s="4" t="str">
        <f>HYPERLINK("http://141.218.60.56/~jnz1568/getInfo.php?workbook=12_04.xlsx&amp;sheet=A0&amp;row=1417&amp;col=7&amp;number=0&amp;sourceID=14","0")</f>
        <v>0</v>
      </c>
    </row>
    <row r="1418" spans="1:7">
      <c r="A1418" s="3">
        <v>12</v>
      </c>
      <c r="B1418" s="3">
        <v>4</v>
      </c>
      <c r="C1418" s="3">
        <v>91</v>
      </c>
      <c r="D1418" s="3">
        <v>17</v>
      </c>
      <c r="E1418" s="3">
        <v>-160.289</v>
      </c>
      <c r="F1418" s="4" t="str">
        <f>HYPERLINK("http://141.218.60.56/~jnz1568/getInfo.php?workbook=12_04.xlsx&amp;sheet=A0&amp;row=1418&amp;col=6&amp;number=363&amp;sourceID=14","363")</f>
        <v>363</v>
      </c>
      <c r="G1418" s="4" t="str">
        <f>HYPERLINK("http://141.218.60.56/~jnz1568/getInfo.php?workbook=12_04.xlsx&amp;sheet=A0&amp;row=1418&amp;col=7&amp;number=0&amp;sourceID=14","0")</f>
        <v>0</v>
      </c>
    </row>
    <row r="1419" spans="1:7">
      <c r="A1419" s="3">
        <v>12</v>
      </c>
      <c r="B1419" s="3">
        <v>4</v>
      </c>
      <c r="C1419" s="3">
        <v>92</v>
      </c>
      <c r="D1419" s="3">
        <v>17</v>
      </c>
      <c r="E1419" s="3">
        <v>-160.215</v>
      </c>
      <c r="F1419" s="4" t="str">
        <f>HYPERLINK("http://141.218.60.56/~jnz1568/getInfo.php?workbook=12_04.xlsx&amp;sheet=A0&amp;row=1419&amp;col=6&amp;number=0.00045&amp;sourceID=14","0.00045")</f>
        <v>0.00045</v>
      </c>
      <c r="G1419" s="4" t="str">
        <f>HYPERLINK("http://141.218.60.56/~jnz1568/getInfo.php?workbook=12_04.xlsx&amp;sheet=A0&amp;row=1419&amp;col=7&amp;number=0&amp;sourceID=14","0")</f>
        <v>0</v>
      </c>
    </row>
    <row r="1420" spans="1:7">
      <c r="A1420" s="3">
        <v>12</v>
      </c>
      <c r="B1420" s="3">
        <v>4</v>
      </c>
      <c r="C1420" s="3">
        <v>93</v>
      </c>
      <c r="D1420" s="3">
        <v>17</v>
      </c>
      <c r="E1420" s="3">
        <v>-160.147</v>
      </c>
      <c r="F1420" s="4" t="str">
        <f>HYPERLINK("http://141.218.60.56/~jnz1568/getInfo.php?workbook=12_04.xlsx&amp;sheet=A0&amp;row=1420&amp;col=6&amp;number=6290&amp;sourceID=14","6290")</f>
        <v>6290</v>
      </c>
      <c r="G1420" s="4" t="str">
        <f>HYPERLINK("http://141.218.60.56/~jnz1568/getInfo.php?workbook=12_04.xlsx&amp;sheet=A0&amp;row=1420&amp;col=7&amp;number=0&amp;sourceID=14","0")</f>
        <v>0</v>
      </c>
    </row>
    <row r="1421" spans="1:7">
      <c r="A1421" s="3">
        <v>12</v>
      </c>
      <c r="B1421" s="3">
        <v>4</v>
      </c>
      <c r="C1421" s="3">
        <v>94</v>
      </c>
      <c r="D1421" s="3">
        <v>17</v>
      </c>
      <c r="E1421" s="3">
        <v>-159.9</v>
      </c>
      <c r="F1421" s="4" t="str">
        <f>HYPERLINK("http://141.218.60.56/~jnz1568/getInfo.php?workbook=12_04.xlsx&amp;sheet=A0&amp;row=1421&amp;col=6&amp;number=14300&amp;sourceID=14","14300")</f>
        <v>14300</v>
      </c>
      <c r="G1421" s="4" t="str">
        <f>HYPERLINK("http://141.218.60.56/~jnz1568/getInfo.php?workbook=12_04.xlsx&amp;sheet=A0&amp;row=1421&amp;col=7&amp;number=0&amp;sourceID=14","0")</f>
        <v>0</v>
      </c>
    </row>
    <row r="1422" spans="1:7">
      <c r="A1422" s="3">
        <v>12</v>
      </c>
      <c r="B1422" s="3">
        <v>4</v>
      </c>
      <c r="C1422" s="3">
        <v>95</v>
      </c>
      <c r="D1422" s="3">
        <v>17</v>
      </c>
      <c r="E1422" s="3">
        <v>-159.738</v>
      </c>
      <c r="F1422" s="4" t="str">
        <f>HYPERLINK("http://141.218.60.56/~jnz1568/getInfo.php?workbook=12_04.xlsx&amp;sheet=A0&amp;row=1422&amp;col=6&amp;number=1.44e-05&amp;sourceID=14","1.44e-05")</f>
        <v>1.44e-05</v>
      </c>
      <c r="G1422" s="4" t="str">
        <f>HYPERLINK("http://141.218.60.56/~jnz1568/getInfo.php?workbook=12_04.xlsx&amp;sheet=A0&amp;row=1422&amp;col=7&amp;number=0&amp;sourceID=14","0")</f>
        <v>0</v>
      </c>
    </row>
    <row r="1423" spans="1:7">
      <c r="A1423" s="3">
        <v>12</v>
      </c>
      <c r="B1423" s="3">
        <v>4</v>
      </c>
      <c r="C1423" s="3">
        <v>96</v>
      </c>
      <c r="D1423" s="3">
        <v>17</v>
      </c>
      <c r="E1423" s="3">
        <v>-159.588</v>
      </c>
      <c r="F1423" s="4" t="str">
        <f>HYPERLINK("http://141.218.60.56/~jnz1568/getInfo.php?workbook=12_04.xlsx&amp;sheet=A0&amp;row=1423&amp;col=6&amp;number=3440&amp;sourceID=14","3440")</f>
        <v>3440</v>
      </c>
      <c r="G1423" s="4" t="str">
        <f>HYPERLINK("http://141.218.60.56/~jnz1568/getInfo.php?workbook=12_04.xlsx&amp;sheet=A0&amp;row=1423&amp;col=7&amp;number=0&amp;sourceID=14","0")</f>
        <v>0</v>
      </c>
    </row>
    <row r="1424" spans="1:7">
      <c r="A1424" s="3">
        <v>12</v>
      </c>
      <c r="B1424" s="3">
        <v>4</v>
      </c>
      <c r="C1424" s="3">
        <v>97</v>
      </c>
      <c r="D1424" s="3">
        <v>17</v>
      </c>
      <c r="E1424" s="3">
        <v>159.865</v>
      </c>
      <c r="F1424" s="4" t="str">
        <f>HYPERLINK("http://141.218.60.56/~jnz1568/getInfo.php?workbook=12_04.xlsx&amp;sheet=A0&amp;row=1424&amp;col=6&amp;number=0.583&amp;sourceID=14","0.583")</f>
        <v>0.583</v>
      </c>
      <c r="G1424" s="4" t="str">
        <f>HYPERLINK("http://141.218.60.56/~jnz1568/getInfo.php?workbook=12_04.xlsx&amp;sheet=A0&amp;row=1424&amp;col=7&amp;number=0&amp;sourceID=14","0")</f>
        <v>0</v>
      </c>
    </row>
    <row r="1425" spans="1:7">
      <c r="A1425" s="3">
        <v>12</v>
      </c>
      <c r="B1425" s="3">
        <v>4</v>
      </c>
      <c r="C1425" s="3">
        <v>98</v>
      </c>
      <c r="D1425" s="3">
        <v>17</v>
      </c>
      <c r="E1425" s="3">
        <v>159.421</v>
      </c>
      <c r="F1425" s="4" t="str">
        <f>HYPERLINK("http://141.218.60.56/~jnz1568/getInfo.php?workbook=12_04.xlsx&amp;sheet=A0&amp;row=1425&amp;col=6&amp;number=1810000&amp;sourceID=14","1810000")</f>
        <v>1810000</v>
      </c>
      <c r="G1425" s="4" t="str">
        <f>HYPERLINK("http://141.218.60.56/~jnz1568/getInfo.php?workbook=12_04.xlsx&amp;sheet=A0&amp;row=1425&amp;col=7&amp;number=0&amp;sourceID=14","0")</f>
        <v>0</v>
      </c>
    </row>
    <row r="1426" spans="1:7">
      <c r="A1426" s="3">
        <v>12</v>
      </c>
      <c r="B1426" s="3">
        <v>4</v>
      </c>
      <c r="C1426" s="3">
        <v>19</v>
      </c>
      <c r="D1426" s="3">
        <v>18</v>
      </c>
      <c r="E1426" s="3">
        <v>666667.875</v>
      </c>
      <c r="F1426" s="4" t="str">
        <f>HYPERLINK("http://141.218.60.56/~jnz1568/getInfo.php?workbook=12_04.xlsx&amp;sheet=A0&amp;row=1426&amp;col=6&amp;number=6.07e-05&amp;sourceID=14","6.07e-05")</f>
        <v>6.07e-05</v>
      </c>
      <c r="G1426" s="4" t="str">
        <f>HYPERLINK("http://141.218.60.56/~jnz1568/getInfo.php?workbook=12_04.xlsx&amp;sheet=A0&amp;row=1426&amp;col=7&amp;number=0&amp;sourceID=14","0")</f>
        <v>0</v>
      </c>
    </row>
    <row r="1427" spans="1:7">
      <c r="A1427" s="3">
        <v>12</v>
      </c>
      <c r="B1427" s="3">
        <v>4</v>
      </c>
      <c r="C1427" s="3">
        <v>20</v>
      </c>
      <c r="D1427" s="3">
        <v>18</v>
      </c>
      <c r="E1427" s="3">
        <v>4271.686</v>
      </c>
      <c r="F1427" s="4" t="str">
        <f>HYPERLINK("http://141.218.60.56/~jnz1568/getInfo.php?workbook=12_04.xlsx&amp;sheet=A0&amp;row=1427&amp;col=6&amp;number=0.00179&amp;sourceID=14","0.00179")</f>
        <v>0.00179</v>
      </c>
      <c r="G1427" s="4" t="str">
        <f>HYPERLINK("http://141.218.60.56/~jnz1568/getInfo.php?workbook=12_04.xlsx&amp;sheet=A0&amp;row=1427&amp;col=7&amp;number=0&amp;sourceID=14","0")</f>
        <v>0</v>
      </c>
    </row>
    <row r="1428" spans="1:7">
      <c r="A1428" s="3">
        <v>12</v>
      </c>
      <c r="B1428" s="3">
        <v>4</v>
      </c>
      <c r="C1428" s="3">
        <v>21</v>
      </c>
      <c r="D1428" s="3">
        <v>18</v>
      </c>
      <c r="E1428" s="3">
        <v>1266.306</v>
      </c>
      <c r="F1428" s="4" t="str">
        <f>HYPERLINK("http://141.218.60.56/~jnz1568/getInfo.php?workbook=12_04.xlsx&amp;sheet=A0&amp;row=1428&amp;col=6&amp;number=0.000947&amp;sourceID=14","0.000947")</f>
        <v>0.000947</v>
      </c>
      <c r="G1428" s="4" t="str">
        <f>HYPERLINK("http://141.218.60.56/~jnz1568/getInfo.php?workbook=12_04.xlsx&amp;sheet=A0&amp;row=1428&amp;col=7&amp;number=0&amp;sourceID=14","0")</f>
        <v>0</v>
      </c>
    </row>
    <row r="1429" spans="1:7">
      <c r="A1429" s="3">
        <v>12</v>
      </c>
      <c r="B1429" s="3">
        <v>4</v>
      </c>
      <c r="C1429" s="3">
        <v>22</v>
      </c>
      <c r="D1429" s="3">
        <v>18</v>
      </c>
      <c r="E1429" s="3">
        <v>1248.754</v>
      </c>
      <c r="F1429" s="4" t="str">
        <f>HYPERLINK("http://141.218.60.56/~jnz1568/getInfo.php?workbook=12_04.xlsx&amp;sheet=A0&amp;row=1429&amp;col=6&amp;number=9950000&amp;sourceID=14","9950000")</f>
        <v>9950000</v>
      </c>
      <c r="G1429" s="4" t="str">
        <f>HYPERLINK("http://141.218.60.56/~jnz1568/getInfo.php?workbook=12_04.xlsx&amp;sheet=A0&amp;row=1429&amp;col=7&amp;number=0&amp;sourceID=14","0")</f>
        <v>0</v>
      </c>
    </row>
    <row r="1430" spans="1:7">
      <c r="A1430" s="3">
        <v>12</v>
      </c>
      <c r="B1430" s="3">
        <v>4</v>
      </c>
      <c r="C1430" s="3">
        <v>23</v>
      </c>
      <c r="D1430" s="3">
        <v>18</v>
      </c>
      <c r="E1430" s="3">
        <v>1208.754</v>
      </c>
      <c r="F1430" s="4" t="str">
        <f>HYPERLINK("http://141.218.60.56/~jnz1568/getInfo.php?workbook=12_04.xlsx&amp;sheet=A0&amp;row=1430&amp;col=6&amp;number=2170000&amp;sourceID=14","2170000")</f>
        <v>2170000</v>
      </c>
      <c r="G1430" s="4" t="str">
        <f>HYPERLINK("http://141.218.60.56/~jnz1568/getInfo.php?workbook=12_04.xlsx&amp;sheet=A0&amp;row=1430&amp;col=7&amp;number=0&amp;sourceID=14","0")</f>
        <v>0</v>
      </c>
    </row>
    <row r="1431" spans="1:7">
      <c r="A1431" s="3">
        <v>12</v>
      </c>
      <c r="B1431" s="3">
        <v>4</v>
      </c>
      <c r="C1431" s="3">
        <v>24</v>
      </c>
      <c r="D1431" s="3">
        <v>18</v>
      </c>
      <c r="E1431" s="3">
        <v>893.896</v>
      </c>
      <c r="F1431" s="4" t="str">
        <f>HYPERLINK("http://141.218.60.56/~jnz1568/getInfo.php?workbook=12_04.xlsx&amp;sheet=A0&amp;row=1431&amp;col=6&amp;number=111000&amp;sourceID=14","111000")</f>
        <v>111000</v>
      </c>
      <c r="G1431" s="4" t="str">
        <f>HYPERLINK("http://141.218.60.56/~jnz1568/getInfo.php?workbook=12_04.xlsx&amp;sheet=A0&amp;row=1431&amp;col=7&amp;number=0&amp;sourceID=14","0")</f>
        <v>0</v>
      </c>
    </row>
    <row r="1432" spans="1:7">
      <c r="A1432" s="3">
        <v>12</v>
      </c>
      <c r="B1432" s="3">
        <v>4</v>
      </c>
      <c r="C1432" s="3">
        <v>25</v>
      </c>
      <c r="D1432" s="3">
        <v>18</v>
      </c>
      <c r="E1432" s="3">
        <v>855.068</v>
      </c>
      <c r="F1432" s="4" t="str">
        <f>HYPERLINK("http://141.218.60.56/~jnz1568/getInfo.php?workbook=12_04.xlsx&amp;sheet=A0&amp;row=1432&amp;col=6&amp;number=0.286&amp;sourceID=14","0.286")</f>
        <v>0.286</v>
      </c>
      <c r="G1432" s="4" t="str">
        <f>HYPERLINK("http://141.218.60.56/~jnz1568/getInfo.php?workbook=12_04.xlsx&amp;sheet=A0&amp;row=1432&amp;col=7&amp;number=0&amp;sourceID=14","0")</f>
        <v>0</v>
      </c>
    </row>
    <row r="1433" spans="1:7">
      <c r="A1433" s="3">
        <v>12</v>
      </c>
      <c r="B1433" s="3">
        <v>4</v>
      </c>
      <c r="C1433" s="3">
        <v>26</v>
      </c>
      <c r="D1433" s="3">
        <v>18</v>
      </c>
      <c r="E1433" s="3">
        <v>804.507</v>
      </c>
      <c r="F1433" s="4" t="str">
        <f>HYPERLINK("http://141.218.60.56/~jnz1568/getInfo.php?workbook=12_04.xlsx&amp;sheet=A0&amp;row=1433&amp;col=6&amp;number=0.499&amp;sourceID=14","0.499")</f>
        <v>0.499</v>
      </c>
      <c r="G1433" s="4" t="str">
        <f>HYPERLINK("http://141.218.60.56/~jnz1568/getInfo.php?workbook=12_04.xlsx&amp;sheet=A0&amp;row=1433&amp;col=7&amp;number=0&amp;sourceID=14","0")</f>
        <v>0</v>
      </c>
    </row>
    <row r="1434" spans="1:7">
      <c r="A1434" s="3">
        <v>12</v>
      </c>
      <c r="B1434" s="3">
        <v>4</v>
      </c>
      <c r="C1434" s="3">
        <v>27</v>
      </c>
      <c r="D1434" s="3">
        <v>18</v>
      </c>
      <c r="E1434" s="3">
        <v>798.086</v>
      </c>
      <c r="F1434" s="4" t="str">
        <f>HYPERLINK("http://141.218.60.56/~jnz1568/getInfo.php?workbook=12_04.xlsx&amp;sheet=A0&amp;row=1434&amp;col=6&amp;number=0.352&amp;sourceID=14","0.352")</f>
        <v>0.352</v>
      </c>
      <c r="G1434" s="4" t="str">
        <f>HYPERLINK("http://141.218.60.56/~jnz1568/getInfo.php?workbook=12_04.xlsx&amp;sheet=A0&amp;row=1434&amp;col=7&amp;number=0&amp;sourceID=14","0")</f>
        <v>0</v>
      </c>
    </row>
    <row r="1435" spans="1:7">
      <c r="A1435" s="3">
        <v>12</v>
      </c>
      <c r="B1435" s="3">
        <v>4</v>
      </c>
      <c r="C1435" s="3">
        <v>28</v>
      </c>
      <c r="D1435" s="3">
        <v>18</v>
      </c>
      <c r="E1435" s="3">
        <v>782.474</v>
      </c>
      <c r="F1435" s="4" t="str">
        <f>HYPERLINK("http://141.218.60.56/~jnz1568/getInfo.php?workbook=12_04.xlsx&amp;sheet=A0&amp;row=1435&amp;col=6&amp;number=0.53&amp;sourceID=14","0.53")</f>
        <v>0.53</v>
      </c>
      <c r="G1435" s="4" t="str">
        <f>HYPERLINK("http://141.218.60.56/~jnz1568/getInfo.php?workbook=12_04.xlsx&amp;sheet=A0&amp;row=1435&amp;col=7&amp;number=0&amp;sourceID=14","0")</f>
        <v>0</v>
      </c>
    </row>
    <row r="1436" spans="1:7">
      <c r="A1436" s="3">
        <v>12</v>
      </c>
      <c r="B1436" s="3">
        <v>4</v>
      </c>
      <c r="C1436" s="3">
        <v>29</v>
      </c>
      <c r="D1436" s="3">
        <v>18</v>
      </c>
      <c r="E1436" s="3">
        <v>718.341</v>
      </c>
      <c r="F1436" s="4" t="str">
        <f>HYPERLINK("http://141.218.60.56/~jnz1568/getInfo.php?workbook=12_04.xlsx&amp;sheet=A0&amp;row=1436&amp;col=6&amp;number=0.934&amp;sourceID=14","0.934")</f>
        <v>0.934</v>
      </c>
      <c r="G1436" s="4" t="str">
        <f>HYPERLINK("http://141.218.60.56/~jnz1568/getInfo.php?workbook=12_04.xlsx&amp;sheet=A0&amp;row=1436&amp;col=7&amp;number=0&amp;sourceID=14","0")</f>
        <v>0</v>
      </c>
    </row>
    <row r="1437" spans="1:7">
      <c r="A1437" s="3">
        <v>12</v>
      </c>
      <c r="B1437" s="3">
        <v>4</v>
      </c>
      <c r="C1437" s="3">
        <v>30</v>
      </c>
      <c r="D1437" s="3">
        <v>18</v>
      </c>
      <c r="E1437" s="3">
        <v>-678.285</v>
      </c>
      <c r="F1437" s="4" t="str">
        <f>HYPERLINK("http://141.218.60.56/~jnz1568/getInfo.php?workbook=12_04.xlsx&amp;sheet=A0&amp;row=1437&amp;col=6&amp;number=60.6&amp;sourceID=14","60.6")</f>
        <v>60.6</v>
      </c>
      <c r="G1437" s="4" t="str">
        <f>HYPERLINK("http://141.218.60.56/~jnz1568/getInfo.php?workbook=12_04.xlsx&amp;sheet=A0&amp;row=1437&amp;col=7&amp;number=0&amp;sourceID=14","0")</f>
        <v>0</v>
      </c>
    </row>
    <row r="1438" spans="1:7">
      <c r="A1438" s="3">
        <v>12</v>
      </c>
      <c r="B1438" s="3">
        <v>4</v>
      </c>
      <c r="C1438" s="3">
        <v>31</v>
      </c>
      <c r="D1438" s="3">
        <v>18</v>
      </c>
      <c r="E1438" s="3">
        <v>677.875</v>
      </c>
      <c r="F1438" s="4" t="str">
        <f>HYPERLINK("http://141.218.60.56/~jnz1568/getInfo.php?workbook=12_04.xlsx&amp;sheet=A0&amp;row=1438&amp;col=6&amp;number=6.25&amp;sourceID=14","6.25")</f>
        <v>6.25</v>
      </c>
      <c r="G1438" s="4" t="str">
        <f>HYPERLINK("http://141.218.60.56/~jnz1568/getInfo.php?workbook=12_04.xlsx&amp;sheet=A0&amp;row=1438&amp;col=7&amp;number=0&amp;sourceID=14","0")</f>
        <v>0</v>
      </c>
    </row>
    <row r="1439" spans="1:7">
      <c r="A1439" s="3">
        <v>12</v>
      </c>
      <c r="B1439" s="3">
        <v>4</v>
      </c>
      <c r="C1439" s="3">
        <v>32</v>
      </c>
      <c r="D1439" s="3">
        <v>18</v>
      </c>
      <c r="E1439" s="3">
        <v>671.954</v>
      </c>
      <c r="F1439" s="4" t="str">
        <f>HYPERLINK("http://141.218.60.56/~jnz1568/getInfo.php?workbook=12_04.xlsx&amp;sheet=A0&amp;row=1439&amp;col=6&amp;number=21.7&amp;sourceID=14","21.7")</f>
        <v>21.7</v>
      </c>
      <c r="G1439" s="4" t="str">
        <f>HYPERLINK("http://141.218.60.56/~jnz1568/getInfo.php?workbook=12_04.xlsx&amp;sheet=A0&amp;row=1439&amp;col=7&amp;number=0&amp;sourceID=14","0")</f>
        <v>0</v>
      </c>
    </row>
    <row r="1440" spans="1:7">
      <c r="A1440" s="3">
        <v>12</v>
      </c>
      <c r="B1440" s="3">
        <v>4</v>
      </c>
      <c r="C1440" s="3">
        <v>33</v>
      </c>
      <c r="D1440" s="3">
        <v>18</v>
      </c>
      <c r="E1440" s="3">
        <v>-642.439</v>
      </c>
      <c r="F1440" s="4" t="str">
        <f>HYPERLINK("http://141.218.60.56/~jnz1568/getInfo.php?workbook=12_04.xlsx&amp;sheet=A0&amp;row=1440&amp;col=6&amp;number=33900000&amp;sourceID=14","33900000")</f>
        <v>33900000</v>
      </c>
      <c r="G1440" s="4" t="str">
        <f>HYPERLINK("http://141.218.60.56/~jnz1568/getInfo.php?workbook=12_04.xlsx&amp;sheet=A0&amp;row=1440&amp;col=7&amp;number=0&amp;sourceID=14","0")</f>
        <v>0</v>
      </c>
    </row>
    <row r="1441" spans="1:7">
      <c r="A1441" s="3">
        <v>12</v>
      </c>
      <c r="B1441" s="3">
        <v>4</v>
      </c>
      <c r="C1441" s="3">
        <v>34</v>
      </c>
      <c r="D1441" s="3">
        <v>18</v>
      </c>
      <c r="E1441" s="3">
        <v>-634.105</v>
      </c>
      <c r="F1441" s="4" t="str">
        <f>HYPERLINK("http://141.218.60.56/~jnz1568/getInfo.php?workbook=12_04.xlsx&amp;sheet=A0&amp;row=1441&amp;col=6&amp;number=161000000&amp;sourceID=14","161000000")</f>
        <v>161000000</v>
      </c>
      <c r="G1441" s="4" t="str">
        <f>HYPERLINK("http://141.218.60.56/~jnz1568/getInfo.php?workbook=12_04.xlsx&amp;sheet=A0&amp;row=1441&amp;col=7&amp;number=0&amp;sourceID=14","0")</f>
        <v>0</v>
      </c>
    </row>
    <row r="1442" spans="1:7">
      <c r="A1442" s="3">
        <v>12</v>
      </c>
      <c r="B1442" s="3">
        <v>4</v>
      </c>
      <c r="C1442" s="3">
        <v>35</v>
      </c>
      <c r="D1442" s="3">
        <v>18</v>
      </c>
      <c r="E1442" s="3">
        <v>631.035</v>
      </c>
      <c r="F1442" s="4" t="str">
        <f>HYPERLINK("http://141.218.60.56/~jnz1568/getInfo.php?workbook=12_04.xlsx&amp;sheet=A0&amp;row=1442&amp;col=6&amp;number=9930000&amp;sourceID=14","9930000")</f>
        <v>9930000</v>
      </c>
      <c r="G1442" s="4" t="str">
        <f>HYPERLINK("http://141.218.60.56/~jnz1568/getInfo.php?workbook=12_04.xlsx&amp;sheet=A0&amp;row=1442&amp;col=7&amp;number=0&amp;sourceID=14","0")</f>
        <v>0</v>
      </c>
    </row>
    <row r="1443" spans="1:7">
      <c r="A1443" s="3">
        <v>12</v>
      </c>
      <c r="B1443" s="3">
        <v>4</v>
      </c>
      <c r="C1443" s="3">
        <v>36</v>
      </c>
      <c r="D1443" s="3">
        <v>18</v>
      </c>
      <c r="E1443" s="3">
        <v>-626.105</v>
      </c>
      <c r="F1443" s="4" t="str">
        <f>HYPERLINK("http://141.218.60.56/~jnz1568/getInfo.php?workbook=12_04.xlsx&amp;sheet=A0&amp;row=1443&amp;col=6&amp;number=0.0293&amp;sourceID=14","0.0293")</f>
        <v>0.0293</v>
      </c>
      <c r="G1443" s="4" t="str">
        <f>HYPERLINK("http://141.218.60.56/~jnz1568/getInfo.php?workbook=12_04.xlsx&amp;sheet=A0&amp;row=1443&amp;col=7&amp;number=0&amp;sourceID=14","0")</f>
        <v>0</v>
      </c>
    </row>
    <row r="1444" spans="1:7">
      <c r="A1444" s="3">
        <v>12</v>
      </c>
      <c r="B1444" s="3">
        <v>4</v>
      </c>
      <c r="C1444" s="3">
        <v>37</v>
      </c>
      <c r="D1444" s="3">
        <v>18</v>
      </c>
      <c r="E1444" s="3">
        <v>607.166</v>
      </c>
      <c r="F1444" s="4" t="str">
        <f>HYPERLINK("http://141.218.60.56/~jnz1568/getInfo.php?workbook=12_04.xlsx&amp;sheet=A0&amp;row=1444&amp;col=6&amp;number=0.144&amp;sourceID=14","0.144")</f>
        <v>0.144</v>
      </c>
      <c r="G1444" s="4" t="str">
        <f>HYPERLINK("http://141.218.60.56/~jnz1568/getInfo.php?workbook=12_04.xlsx&amp;sheet=A0&amp;row=1444&amp;col=7&amp;number=0&amp;sourceID=14","0")</f>
        <v>0</v>
      </c>
    </row>
    <row r="1445" spans="1:7">
      <c r="A1445" s="3">
        <v>12</v>
      </c>
      <c r="B1445" s="3">
        <v>4</v>
      </c>
      <c r="C1445" s="3">
        <v>38</v>
      </c>
      <c r="D1445" s="3">
        <v>18</v>
      </c>
      <c r="E1445" s="3">
        <v>567.699</v>
      </c>
      <c r="F1445" s="4" t="str">
        <f>HYPERLINK("http://141.218.60.56/~jnz1568/getInfo.php?workbook=12_04.xlsx&amp;sheet=A0&amp;row=1445&amp;col=6&amp;number=447000000&amp;sourceID=14","447000000")</f>
        <v>447000000</v>
      </c>
      <c r="G1445" s="4" t="str">
        <f>HYPERLINK("http://141.218.60.56/~jnz1568/getInfo.php?workbook=12_04.xlsx&amp;sheet=A0&amp;row=1445&amp;col=7&amp;number=0&amp;sourceID=14","0")</f>
        <v>0</v>
      </c>
    </row>
    <row r="1446" spans="1:7">
      <c r="A1446" s="3">
        <v>12</v>
      </c>
      <c r="B1446" s="3">
        <v>4</v>
      </c>
      <c r="C1446" s="3">
        <v>39</v>
      </c>
      <c r="D1446" s="3">
        <v>18</v>
      </c>
      <c r="E1446" s="3">
        <v>565.964</v>
      </c>
      <c r="F1446" s="4" t="str">
        <f>HYPERLINK("http://141.218.60.56/~jnz1568/getInfo.php?workbook=12_04.xlsx&amp;sheet=A0&amp;row=1446&amp;col=6&amp;number=671000000&amp;sourceID=14","671000000")</f>
        <v>671000000</v>
      </c>
      <c r="G1446" s="4" t="str">
        <f>HYPERLINK("http://141.218.60.56/~jnz1568/getInfo.php?workbook=12_04.xlsx&amp;sheet=A0&amp;row=1446&amp;col=7&amp;number=0&amp;sourceID=14","0")</f>
        <v>0</v>
      </c>
    </row>
    <row r="1447" spans="1:7">
      <c r="A1447" s="3">
        <v>12</v>
      </c>
      <c r="B1447" s="3">
        <v>4</v>
      </c>
      <c r="C1447" s="3">
        <v>40</v>
      </c>
      <c r="D1447" s="3">
        <v>18</v>
      </c>
      <c r="E1447" s="3">
        <v>562.779</v>
      </c>
      <c r="F1447" s="4" t="str">
        <f>HYPERLINK("http://141.218.60.56/~jnz1568/getInfo.php?workbook=12_04.xlsx&amp;sheet=A0&amp;row=1447&amp;col=6&amp;number=164000000&amp;sourceID=14","164000000")</f>
        <v>164000000</v>
      </c>
      <c r="G1447" s="4" t="str">
        <f>HYPERLINK("http://141.218.60.56/~jnz1568/getInfo.php?workbook=12_04.xlsx&amp;sheet=A0&amp;row=1447&amp;col=7&amp;number=0&amp;sourceID=14","0")</f>
        <v>0</v>
      </c>
    </row>
    <row r="1448" spans="1:7">
      <c r="A1448" s="3">
        <v>12</v>
      </c>
      <c r="B1448" s="3">
        <v>4</v>
      </c>
      <c r="C1448" s="3">
        <v>41</v>
      </c>
      <c r="D1448" s="3">
        <v>18</v>
      </c>
      <c r="E1448" s="3">
        <v>543.332</v>
      </c>
      <c r="F1448" s="4" t="str">
        <f>HYPERLINK("http://141.218.60.56/~jnz1568/getInfo.php?workbook=12_04.xlsx&amp;sheet=A0&amp;row=1448&amp;col=6&amp;number=404000000&amp;sourceID=14","404000000")</f>
        <v>404000000</v>
      </c>
      <c r="G1448" s="4" t="str">
        <f>HYPERLINK("http://141.218.60.56/~jnz1568/getInfo.php?workbook=12_04.xlsx&amp;sheet=A0&amp;row=1448&amp;col=7&amp;number=0&amp;sourceID=14","0")</f>
        <v>0</v>
      </c>
    </row>
    <row r="1449" spans="1:7">
      <c r="A1449" s="3">
        <v>12</v>
      </c>
      <c r="B1449" s="3">
        <v>4</v>
      </c>
      <c r="C1449" s="3">
        <v>42</v>
      </c>
      <c r="D1449" s="3">
        <v>18</v>
      </c>
      <c r="E1449" s="3">
        <v>540.425</v>
      </c>
      <c r="F1449" s="4" t="str">
        <f>HYPERLINK("http://141.218.60.56/~jnz1568/getInfo.php?workbook=12_04.xlsx&amp;sheet=A0&amp;row=1449&amp;col=6&amp;number=942000000&amp;sourceID=14","942000000")</f>
        <v>942000000</v>
      </c>
      <c r="G1449" s="4" t="str">
        <f>HYPERLINK("http://141.218.60.56/~jnz1568/getInfo.php?workbook=12_04.xlsx&amp;sheet=A0&amp;row=1449&amp;col=7&amp;number=0&amp;sourceID=14","0")</f>
        <v>0</v>
      </c>
    </row>
    <row r="1450" spans="1:7">
      <c r="A1450" s="3">
        <v>12</v>
      </c>
      <c r="B1450" s="3">
        <v>4</v>
      </c>
      <c r="C1450" s="3">
        <v>43</v>
      </c>
      <c r="D1450" s="3">
        <v>18</v>
      </c>
      <c r="E1450" s="3">
        <v>538.91</v>
      </c>
      <c r="F1450" s="4" t="str">
        <f>HYPERLINK("http://141.218.60.56/~jnz1568/getInfo.php?workbook=12_04.xlsx&amp;sheet=A0&amp;row=1450&amp;col=6&amp;number=0.301&amp;sourceID=14","0.301")</f>
        <v>0.301</v>
      </c>
      <c r="G1450" s="4" t="str">
        <f>HYPERLINK("http://141.218.60.56/~jnz1568/getInfo.php?workbook=12_04.xlsx&amp;sheet=A0&amp;row=1450&amp;col=7&amp;number=0&amp;sourceID=14","0")</f>
        <v>0</v>
      </c>
    </row>
    <row r="1451" spans="1:7">
      <c r="A1451" s="3">
        <v>12</v>
      </c>
      <c r="B1451" s="3">
        <v>4</v>
      </c>
      <c r="C1451" s="3">
        <v>44</v>
      </c>
      <c r="D1451" s="3">
        <v>18</v>
      </c>
      <c r="E1451" s="3">
        <v>-496.488</v>
      </c>
      <c r="F1451" s="4" t="str">
        <f>HYPERLINK("http://141.218.60.56/~jnz1568/getInfo.php?workbook=12_04.xlsx&amp;sheet=A0&amp;row=1451&amp;col=6&amp;number=0.0959&amp;sourceID=14","0.0959")</f>
        <v>0.0959</v>
      </c>
      <c r="G1451" s="4" t="str">
        <f>HYPERLINK("http://141.218.60.56/~jnz1568/getInfo.php?workbook=12_04.xlsx&amp;sheet=A0&amp;row=1451&amp;col=7&amp;number=0&amp;sourceID=14","0")</f>
        <v>0</v>
      </c>
    </row>
    <row r="1452" spans="1:7">
      <c r="A1452" s="3">
        <v>12</v>
      </c>
      <c r="B1452" s="3">
        <v>4</v>
      </c>
      <c r="C1452" s="3">
        <v>45</v>
      </c>
      <c r="D1452" s="3">
        <v>18</v>
      </c>
      <c r="E1452" s="3">
        <v>491.353</v>
      </c>
      <c r="F1452" s="4" t="str">
        <f>HYPERLINK("http://141.218.60.56/~jnz1568/getInfo.php?workbook=12_04.xlsx&amp;sheet=A0&amp;row=1452&amp;col=6&amp;number=30500&amp;sourceID=14","30500")</f>
        <v>30500</v>
      </c>
      <c r="G1452" s="4" t="str">
        <f>HYPERLINK("http://141.218.60.56/~jnz1568/getInfo.php?workbook=12_04.xlsx&amp;sheet=A0&amp;row=1452&amp;col=7&amp;number=0&amp;sourceID=14","0")</f>
        <v>0</v>
      </c>
    </row>
    <row r="1453" spans="1:7">
      <c r="A1453" s="3">
        <v>12</v>
      </c>
      <c r="B1453" s="3">
        <v>4</v>
      </c>
      <c r="C1453" s="3">
        <v>46</v>
      </c>
      <c r="D1453" s="3">
        <v>18</v>
      </c>
      <c r="E1453" s="3">
        <v>475.309</v>
      </c>
      <c r="F1453" s="4" t="str">
        <f>HYPERLINK("http://141.218.60.56/~jnz1568/getInfo.php?workbook=12_04.xlsx&amp;sheet=A0&amp;row=1453&amp;col=6&amp;number=4560000&amp;sourceID=14","4560000")</f>
        <v>4560000</v>
      </c>
      <c r="G1453" s="4" t="str">
        <f>HYPERLINK("http://141.218.60.56/~jnz1568/getInfo.php?workbook=12_04.xlsx&amp;sheet=A0&amp;row=1453&amp;col=7&amp;number=0&amp;sourceID=14","0")</f>
        <v>0</v>
      </c>
    </row>
    <row r="1454" spans="1:7">
      <c r="A1454" s="3">
        <v>12</v>
      </c>
      <c r="B1454" s="3">
        <v>4</v>
      </c>
      <c r="C1454" s="3">
        <v>47</v>
      </c>
      <c r="D1454" s="3">
        <v>18</v>
      </c>
      <c r="E1454" s="3">
        <v>-244.011</v>
      </c>
      <c r="F1454" s="4" t="str">
        <f>HYPERLINK("http://141.218.60.56/~jnz1568/getInfo.php?workbook=12_04.xlsx&amp;sheet=A0&amp;row=1454&amp;col=6&amp;number=210000&amp;sourceID=14","210000")</f>
        <v>210000</v>
      </c>
      <c r="G1454" s="4" t="str">
        <f>HYPERLINK("http://141.218.60.56/~jnz1568/getInfo.php?workbook=12_04.xlsx&amp;sheet=A0&amp;row=1454&amp;col=7&amp;number=0&amp;sourceID=14","0")</f>
        <v>0</v>
      </c>
    </row>
    <row r="1455" spans="1:7">
      <c r="A1455" s="3">
        <v>12</v>
      </c>
      <c r="B1455" s="3">
        <v>4</v>
      </c>
      <c r="C1455" s="3">
        <v>48</v>
      </c>
      <c r="D1455" s="3">
        <v>18</v>
      </c>
      <c r="E1455" s="3">
        <v>-238.159</v>
      </c>
      <c r="F1455" s="4" t="str">
        <f>HYPERLINK("http://141.218.60.56/~jnz1568/getInfo.php?workbook=12_04.xlsx&amp;sheet=A0&amp;row=1455&amp;col=6&amp;number=11.4&amp;sourceID=14","11.4")</f>
        <v>11.4</v>
      </c>
      <c r="G1455" s="4" t="str">
        <f>HYPERLINK("http://141.218.60.56/~jnz1568/getInfo.php?workbook=12_04.xlsx&amp;sheet=A0&amp;row=1455&amp;col=7&amp;number=0&amp;sourceID=14","0")</f>
        <v>0</v>
      </c>
    </row>
    <row r="1456" spans="1:7">
      <c r="A1456" s="3">
        <v>12</v>
      </c>
      <c r="B1456" s="3">
        <v>4</v>
      </c>
      <c r="C1456" s="3">
        <v>49</v>
      </c>
      <c r="D1456" s="3">
        <v>18</v>
      </c>
      <c r="E1456" s="3">
        <v>-230.195</v>
      </c>
      <c r="F1456" s="4" t="str">
        <f>HYPERLINK("http://141.218.60.56/~jnz1568/getInfo.php?workbook=12_04.xlsx&amp;sheet=A0&amp;row=1456&amp;col=6&amp;number=0.307&amp;sourceID=14","0.307")</f>
        <v>0.307</v>
      </c>
      <c r="G1456" s="4" t="str">
        <f>HYPERLINK("http://141.218.60.56/~jnz1568/getInfo.php?workbook=12_04.xlsx&amp;sheet=A0&amp;row=1456&amp;col=7&amp;number=0&amp;sourceID=14","0")</f>
        <v>0</v>
      </c>
    </row>
    <row r="1457" spans="1:7">
      <c r="A1457" s="3">
        <v>12</v>
      </c>
      <c r="B1457" s="3">
        <v>4</v>
      </c>
      <c r="C1457" s="3">
        <v>50</v>
      </c>
      <c r="D1457" s="3">
        <v>18</v>
      </c>
      <c r="E1457" s="3">
        <v>-230.133</v>
      </c>
      <c r="F1457" s="4" t="str">
        <f>HYPERLINK("http://141.218.60.56/~jnz1568/getInfo.php?workbook=12_04.xlsx&amp;sheet=A0&amp;row=1457&amp;col=6&amp;number=2090000000&amp;sourceID=14","2090000000")</f>
        <v>2090000000</v>
      </c>
      <c r="G1457" s="4" t="str">
        <f>HYPERLINK("http://141.218.60.56/~jnz1568/getInfo.php?workbook=12_04.xlsx&amp;sheet=A0&amp;row=1457&amp;col=7&amp;number=0&amp;sourceID=14","0")</f>
        <v>0</v>
      </c>
    </row>
    <row r="1458" spans="1:7">
      <c r="A1458" s="3">
        <v>12</v>
      </c>
      <c r="B1458" s="3">
        <v>4</v>
      </c>
      <c r="C1458" s="3">
        <v>51</v>
      </c>
      <c r="D1458" s="3">
        <v>18</v>
      </c>
      <c r="E1458" s="3">
        <v>-229.994</v>
      </c>
      <c r="F1458" s="4" t="str">
        <f>HYPERLINK("http://141.218.60.56/~jnz1568/getInfo.php?workbook=12_04.xlsx&amp;sheet=A0&amp;row=1458&amp;col=6&amp;number=415000000&amp;sourceID=14","415000000")</f>
        <v>415000000</v>
      </c>
      <c r="G1458" s="4" t="str">
        <f>HYPERLINK("http://141.218.60.56/~jnz1568/getInfo.php?workbook=12_04.xlsx&amp;sheet=A0&amp;row=1458&amp;col=7&amp;number=0&amp;sourceID=14","0")</f>
        <v>0</v>
      </c>
    </row>
    <row r="1459" spans="1:7">
      <c r="A1459" s="3">
        <v>12</v>
      </c>
      <c r="B1459" s="3">
        <v>4</v>
      </c>
      <c r="C1459" s="3">
        <v>52</v>
      </c>
      <c r="D1459" s="3">
        <v>18</v>
      </c>
      <c r="E1459" s="3">
        <v>228.567</v>
      </c>
      <c r="F1459" s="4" t="str">
        <f>HYPERLINK("http://141.218.60.56/~jnz1568/getInfo.php?workbook=12_04.xlsx&amp;sheet=A0&amp;row=1459&amp;col=6&amp;number=5530000&amp;sourceID=14","5530000")</f>
        <v>5530000</v>
      </c>
      <c r="G1459" s="4" t="str">
        <f>HYPERLINK("http://141.218.60.56/~jnz1568/getInfo.php?workbook=12_04.xlsx&amp;sheet=A0&amp;row=1459&amp;col=7&amp;number=0&amp;sourceID=14","0")</f>
        <v>0</v>
      </c>
    </row>
    <row r="1460" spans="1:7">
      <c r="A1460" s="3">
        <v>12</v>
      </c>
      <c r="B1460" s="3">
        <v>4</v>
      </c>
      <c r="C1460" s="3">
        <v>53</v>
      </c>
      <c r="D1460" s="3">
        <v>18</v>
      </c>
      <c r="E1460" s="3">
        <v>222.817</v>
      </c>
      <c r="F1460" s="4" t="str">
        <f>HYPERLINK("http://141.218.60.56/~jnz1568/getInfo.php?workbook=12_04.xlsx&amp;sheet=A0&amp;row=1460&amp;col=6&amp;number=361000&amp;sourceID=14","361000")</f>
        <v>361000</v>
      </c>
      <c r="G1460" s="4" t="str">
        <f>HYPERLINK("http://141.218.60.56/~jnz1568/getInfo.php?workbook=12_04.xlsx&amp;sheet=A0&amp;row=1460&amp;col=7&amp;number=0&amp;sourceID=14","0")</f>
        <v>0</v>
      </c>
    </row>
    <row r="1461" spans="1:7">
      <c r="A1461" s="3">
        <v>12</v>
      </c>
      <c r="B1461" s="3">
        <v>4</v>
      </c>
      <c r="C1461" s="3">
        <v>54</v>
      </c>
      <c r="D1461" s="3">
        <v>18</v>
      </c>
      <c r="E1461" s="3">
        <v>222.817</v>
      </c>
      <c r="F1461" s="4" t="str">
        <f>HYPERLINK("http://141.218.60.56/~jnz1568/getInfo.php?workbook=12_04.xlsx&amp;sheet=A0&amp;row=1461&amp;col=6&amp;number=155000&amp;sourceID=14","155000")</f>
        <v>155000</v>
      </c>
      <c r="G1461" s="4" t="str">
        <f>HYPERLINK("http://141.218.60.56/~jnz1568/getInfo.php?workbook=12_04.xlsx&amp;sheet=A0&amp;row=1461&amp;col=7&amp;number=0&amp;sourceID=14","0")</f>
        <v>0</v>
      </c>
    </row>
    <row r="1462" spans="1:7">
      <c r="A1462" s="3">
        <v>12</v>
      </c>
      <c r="B1462" s="3">
        <v>4</v>
      </c>
      <c r="C1462" s="3">
        <v>55</v>
      </c>
      <c r="D1462" s="3">
        <v>18</v>
      </c>
      <c r="E1462" s="3">
        <v>222.777</v>
      </c>
      <c r="F1462" s="4" t="str">
        <f>HYPERLINK("http://141.218.60.56/~jnz1568/getInfo.php?workbook=12_04.xlsx&amp;sheet=A0&amp;row=1462&amp;col=6&amp;number=177000&amp;sourceID=14","177000")</f>
        <v>177000</v>
      </c>
      <c r="G1462" s="4" t="str">
        <f>HYPERLINK("http://141.218.60.56/~jnz1568/getInfo.php?workbook=12_04.xlsx&amp;sheet=A0&amp;row=1462&amp;col=7&amp;number=0&amp;sourceID=14","0")</f>
        <v>0</v>
      </c>
    </row>
    <row r="1463" spans="1:7">
      <c r="A1463" s="3">
        <v>12</v>
      </c>
      <c r="B1463" s="3">
        <v>4</v>
      </c>
      <c r="C1463" s="3">
        <v>56</v>
      </c>
      <c r="D1463" s="3">
        <v>18</v>
      </c>
      <c r="E1463" s="3">
        <v>218.953</v>
      </c>
      <c r="F1463" s="4" t="str">
        <f>HYPERLINK("http://141.218.60.56/~jnz1568/getInfo.php?workbook=12_04.xlsx&amp;sheet=A0&amp;row=1463&amp;col=6&amp;number=1.23&amp;sourceID=14","1.23")</f>
        <v>1.23</v>
      </c>
      <c r="G1463" s="4" t="str">
        <f>HYPERLINK("http://141.218.60.56/~jnz1568/getInfo.php?workbook=12_04.xlsx&amp;sheet=A0&amp;row=1463&amp;col=7&amp;number=0&amp;sourceID=14","0")</f>
        <v>0</v>
      </c>
    </row>
    <row r="1464" spans="1:7">
      <c r="A1464" s="3">
        <v>12</v>
      </c>
      <c r="B1464" s="3">
        <v>4</v>
      </c>
      <c r="C1464" s="3">
        <v>57</v>
      </c>
      <c r="D1464" s="3">
        <v>18</v>
      </c>
      <c r="E1464" s="3">
        <v>-218.602</v>
      </c>
      <c r="F1464" s="4" t="str">
        <f>HYPERLINK("http://141.218.60.56/~jnz1568/getInfo.php?workbook=12_04.xlsx&amp;sheet=A0&amp;row=1464&amp;col=6&amp;number=14900000000&amp;sourceID=14","14900000000")</f>
        <v>14900000000</v>
      </c>
      <c r="G1464" s="4" t="str">
        <f>HYPERLINK("http://141.218.60.56/~jnz1568/getInfo.php?workbook=12_04.xlsx&amp;sheet=A0&amp;row=1464&amp;col=7&amp;number=0&amp;sourceID=14","0")</f>
        <v>0</v>
      </c>
    </row>
    <row r="1465" spans="1:7">
      <c r="A1465" s="3">
        <v>12</v>
      </c>
      <c r="B1465" s="3">
        <v>4</v>
      </c>
      <c r="C1465" s="3">
        <v>58</v>
      </c>
      <c r="D1465" s="3">
        <v>18</v>
      </c>
      <c r="E1465" s="3">
        <v>-218.588</v>
      </c>
      <c r="F1465" s="4" t="str">
        <f>HYPERLINK("http://141.218.60.56/~jnz1568/getInfo.php?workbook=12_04.xlsx&amp;sheet=A0&amp;row=1465&amp;col=6&amp;number=85100000000&amp;sourceID=14","85100000000")</f>
        <v>85100000000</v>
      </c>
      <c r="G1465" s="4" t="str">
        <f>HYPERLINK("http://141.218.60.56/~jnz1568/getInfo.php?workbook=12_04.xlsx&amp;sheet=A0&amp;row=1465&amp;col=7&amp;number=0&amp;sourceID=14","0")</f>
        <v>0</v>
      </c>
    </row>
    <row r="1466" spans="1:7">
      <c r="A1466" s="3">
        <v>12</v>
      </c>
      <c r="B1466" s="3">
        <v>4</v>
      </c>
      <c r="C1466" s="3">
        <v>59</v>
      </c>
      <c r="D1466" s="3">
        <v>18</v>
      </c>
      <c r="E1466" s="3">
        <v>-218.57</v>
      </c>
      <c r="F1466" s="4" t="str">
        <f>HYPERLINK("http://141.218.60.56/~jnz1568/getInfo.php?workbook=12_04.xlsx&amp;sheet=A0&amp;row=1466&amp;col=6&amp;number=16&amp;sourceID=14","16")</f>
        <v>16</v>
      </c>
      <c r="G1466" s="4" t="str">
        <f>HYPERLINK("http://141.218.60.56/~jnz1568/getInfo.php?workbook=12_04.xlsx&amp;sheet=A0&amp;row=1466&amp;col=7&amp;number=0&amp;sourceID=14","0")</f>
        <v>0</v>
      </c>
    </row>
    <row r="1467" spans="1:7">
      <c r="A1467" s="3">
        <v>12</v>
      </c>
      <c r="B1467" s="3">
        <v>4</v>
      </c>
      <c r="C1467" s="3">
        <v>60</v>
      </c>
      <c r="D1467" s="3">
        <v>18</v>
      </c>
      <c r="E1467" s="3">
        <v>-217.37</v>
      </c>
      <c r="F1467" s="4" t="str">
        <f>HYPERLINK("http://141.218.60.56/~jnz1568/getInfo.php?workbook=12_04.xlsx&amp;sheet=A0&amp;row=1467&amp;col=6&amp;number=892000&amp;sourceID=14","892000")</f>
        <v>892000</v>
      </c>
      <c r="G1467" s="4" t="str">
        <f>HYPERLINK("http://141.218.60.56/~jnz1568/getInfo.php?workbook=12_04.xlsx&amp;sheet=A0&amp;row=1467&amp;col=7&amp;number=0&amp;sourceID=14","0")</f>
        <v>0</v>
      </c>
    </row>
    <row r="1468" spans="1:7">
      <c r="A1468" s="3">
        <v>12</v>
      </c>
      <c r="B1468" s="3">
        <v>4</v>
      </c>
      <c r="C1468" s="3">
        <v>61</v>
      </c>
      <c r="D1468" s="3">
        <v>18</v>
      </c>
      <c r="E1468" s="3">
        <v>-173.685</v>
      </c>
      <c r="F1468" s="4" t="str">
        <f>HYPERLINK("http://141.218.60.56/~jnz1568/getInfo.php?workbook=12_04.xlsx&amp;sheet=A0&amp;row=1468&amp;col=6&amp;number=0.298&amp;sourceID=14","0.298")</f>
        <v>0.298</v>
      </c>
      <c r="G1468" s="4" t="str">
        <f>HYPERLINK("http://141.218.60.56/~jnz1568/getInfo.php?workbook=12_04.xlsx&amp;sheet=A0&amp;row=1468&amp;col=7&amp;number=0&amp;sourceID=14","0")</f>
        <v>0</v>
      </c>
    </row>
    <row r="1469" spans="1:7">
      <c r="A1469" s="3">
        <v>12</v>
      </c>
      <c r="B1469" s="3">
        <v>4</v>
      </c>
      <c r="C1469" s="3">
        <v>62</v>
      </c>
      <c r="D1469" s="3">
        <v>18</v>
      </c>
      <c r="E1469" s="3">
        <v>-173.409</v>
      </c>
      <c r="F1469" s="4" t="str">
        <f>HYPERLINK("http://141.218.60.56/~jnz1568/getInfo.php?workbook=12_04.xlsx&amp;sheet=A0&amp;row=1469&amp;col=6&amp;number=42000000&amp;sourceID=14","42000000")</f>
        <v>42000000</v>
      </c>
      <c r="G1469" s="4" t="str">
        <f>HYPERLINK("http://141.218.60.56/~jnz1568/getInfo.php?workbook=12_04.xlsx&amp;sheet=A0&amp;row=1469&amp;col=7&amp;number=0&amp;sourceID=14","0")</f>
        <v>0</v>
      </c>
    </row>
    <row r="1470" spans="1:7">
      <c r="A1470" s="3">
        <v>12</v>
      </c>
      <c r="B1470" s="3">
        <v>4</v>
      </c>
      <c r="C1470" s="3">
        <v>63</v>
      </c>
      <c r="D1470" s="3">
        <v>18</v>
      </c>
      <c r="E1470" s="3">
        <v>-172.517</v>
      </c>
      <c r="F1470" s="4" t="str">
        <f>HYPERLINK("http://141.218.60.56/~jnz1568/getInfo.php?workbook=12_04.xlsx&amp;sheet=A0&amp;row=1470&amp;col=6&amp;number=7270000&amp;sourceID=14","7270000")</f>
        <v>7270000</v>
      </c>
      <c r="G1470" s="4" t="str">
        <f>HYPERLINK("http://141.218.60.56/~jnz1568/getInfo.php?workbook=12_04.xlsx&amp;sheet=A0&amp;row=1470&amp;col=7&amp;number=0&amp;sourceID=14","0")</f>
        <v>0</v>
      </c>
    </row>
    <row r="1471" spans="1:7">
      <c r="A1471" s="3">
        <v>12</v>
      </c>
      <c r="B1471" s="3">
        <v>4</v>
      </c>
      <c r="C1471" s="3">
        <v>64</v>
      </c>
      <c r="D1471" s="3">
        <v>18</v>
      </c>
      <c r="E1471" s="3">
        <v>-170.68</v>
      </c>
      <c r="F1471" s="4" t="str">
        <f>HYPERLINK("http://141.218.60.56/~jnz1568/getInfo.php?workbook=12_04.xlsx&amp;sheet=A0&amp;row=1471&amp;col=6&amp;number=1260000&amp;sourceID=14","1260000")</f>
        <v>1260000</v>
      </c>
      <c r="G1471" s="4" t="str">
        <f>HYPERLINK("http://141.218.60.56/~jnz1568/getInfo.php?workbook=12_04.xlsx&amp;sheet=A0&amp;row=1471&amp;col=7&amp;number=0&amp;sourceID=14","0")</f>
        <v>0</v>
      </c>
    </row>
    <row r="1472" spans="1:7">
      <c r="A1472" s="3">
        <v>12</v>
      </c>
      <c r="B1472" s="3">
        <v>4</v>
      </c>
      <c r="C1472" s="3">
        <v>65</v>
      </c>
      <c r="D1472" s="3">
        <v>18</v>
      </c>
      <c r="E1472" s="3">
        <v>-168.515</v>
      </c>
      <c r="F1472" s="4" t="str">
        <f>HYPERLINK("http://141.218.60.56/~jnz1568/getInfo.php?workbook=12_04.xlsx&amp;sheet=A0&amp;row=1472&amp;col=6&amp;number=5420&amp;sourceID=14","5420")</f>
        <v>5420</v>
      </c>
      <c r="G1472" s="4" t="str">
        <f>HYPERLINK("http://141.218.60.56/~jnz1568/getInfo.php?workbook=12_04.xlsx&amp;sheet=A0&amp;row=1472&amp;col=7&amp;number=0&amp;sourceID=14","0")</f>
        <v>0</v>
      </c>
    </row>
    <row r="1473" spans="1:7">
      <c r="A1473" s="3">
        <v>12</v>
      </c>
      <c r="B1473" s="3">
        <v>4</v>
      </c>
      <c r="C1473" s="3">
        <v>66</v>
      </c>
      <c r="D1473" s="3">
        <v>18</v>
      </c>
      <c r="E1473" s="3">
        <v>-167.794</v>
      </c>
      <c r="F1473" s="4" t="str">
        <f>HYPERLINK("http://141.218.60.56/~jnz1568/getInfo.php?workbook=12_04.xlsx&amp;sheet=A0&amp;row=1473&amp;col=6&amp;number=1360&amp;sourceID=14","1360")</f>
        <v>1360</v>
      </c>
      <c r="G1473" s="4" t="str">
        <f>HYPERLINK("http://141.218.60.56/~jnz1568/getInfo.php?workbook=12_04.xlsx&amp;sheet=A0&amp;row=1473&amp;col=7&amp;number=0&amp;sourceID=14","0")</f>
        <v>0</v>
      </c>
    </row>
    <row r="1474" spans="1:7">
      <c r="A1474" s="3">
        <v>12</v>
      </c>
      <c r="B1474" s="3">
        <v>4</v>
      </c>
      <c r="C1474" s="3">
        <v>67</v>
      </c>
      <c r="D1474" s="3">
        <v>18</v>
      </c>
      <c r="E1474" s="3">
        <v>-167.667</v>
      </c>
      <c r="F1474" s="4" t="str">
        <f>HYPERLINK("http://141.218.60.56/~jnz1568/getInfo.php?workbook=12_04.xlsx&amp;sheet=A0&amp;row=1474&amp;col=6&amp;number=2710&amp;sourceID=14","2710")</f>
        <v>2710</v>
      </c>
      <c r="G1474" s="4" t="str">
        <f>HYPERLINK("http://141.218.60.56/~jnz1568/getInfo.php?workbook=12_04.xlsx&amp;sheet=A0&amp;row=1474&amp;col=7&amp;number=0&amp;sourceID=14","0")</f>
        <v>0</v>
      </c>
    </row>
    <row r="1475" spans="1:7">
      <c r="A1475" s="3">
        <v>12</v>
      </c>
      <c r="B1475" s="3">
        <v>4</v>
      </c>
      <c r="C1475" s="3">
        <v>68</v>
      </c>
      <c r="D1475" s="3">
        <v>18</v>
      </c>
      <c r="E1475" s="3">
        <v>167.068</v>
      </c>
      <c r="F1475" s="4" t="str">
        <f>HYPERLINK("http://141.218.60.56/~jnz1568/getInfo.php?workbook=12_04.xlsx&amp;sheet=A0&amp;row=1475&amp;col=6&amp;number=3400&amp;sourceID=14","3400")</f>
        <v>3400</v>
      </c>
      <c r="G1475" s="4" t="str">
        <f>HYPERLINK("http://141.218.60.56/~jnz1568/getInfo.php?workbook=12_04.xlsx&amp;sheet=A0&amp;row=1475&amp;col=7&amp;number=0&amp;sourceID=14","0")</f>
        <v>0</v>
      </c>
    </row>
    <row r="1476" spans="1:7">
      <c r="A1476" s="3">
        <v>12</v>
      </c>
      <c r="B1476" s="3">
        <v>4</v>
      </c>
      <c r="C1476" s="3">
        <v>69</v>
      </c>
      <c r="D1476" s="3">
        <v>18</v>
      </c>
      <c r="E1476" s="3">
        <v>-166.18</v>
      </c>
      <c r="F1476" s="4" t="str">
        <f>HYPERLINK("http://141.218.60.56/~jnz1568/getInfo.php?workbook=12_04.xlsx&amp;sheet=A0&amp;row=1476&amp;col=6&amp;number=38100&amp;sourceID=14","38100")</f>
        <v>38100</v>
      </c>
      <c r="G1476" s="4" t="str">
        <f>HYPERLINK("http://141.218.60.56/~jnz1568/getInfo.php?workbook=12_04.xlsx&amp;sheet=A0&amp;row=1476&amp;col=7&amp;number=0&amp;sourceID=14","0")</f>
        <v>0</v>
      </c>
    </row>
    <row r="1477" spans="1:7">
      <c r="A1477" s="3">
        <v>12</v>
      </c>
      <c r="B1477" s="3">
        <v>4</v>
      </c>
      <c r="C1477" s="3">
        <v>70</v>
      </c>
      <c r="D1477" s="3">
        <v>18</v>
      </c>
      <c r="E1477" s="3">
        <v>-166.006</v>
      </c>
      <c r="F1477" s="4" t="str">
        <f>HYPERLINK("http://141.218.60.56/~jnz1568/getInfo.php?workbook=12_04.xlsx&amp;sheet=A0&amp;row=1477&amp;col=6&amp;number=682&amp;sourceID=14","682")</f>
        <v>682</v>
      </c>
      <c r="G1477" s="4" t="str">
        <f>HYPERLINK("http://141.218.60.56/~jnz1568/getInfo.php?workbook=12_04.xlsx&amp;sheet=A0&amp;row=1477&amp;col=7&amp;number=0&amp;sourceID=14","0")</f>
        <v>0</v>
      </c>
    </row>
    <row r="1478" spans="1:7">
      <c r="A1478" s="3">
        <v>12</v>
      </c>
      <c r="B1478" s="3">
        <v>4</v>
      </c>
      <c r="C1478" s="3">
        <v>71</v>
      </c>
      <c r="D1478" s="3">
        <v>18</v>
      </c>
      <c r="E1478" s="3">
        <v>-165.475</v>
      </c>
      <c r="F1478" s="4" t="str">
        <f>HYPERLINK("http://141.218.60.56/~jnz1568/getInfo.php?workbook=12_04.xlsx&amp;sheet=A0&amp;row=1478&amp;col=6&amp;number=18100&amp;sourceID=14","18100")</f>
        <v>18100</v>
      </c>
      <c r="G1478" s="4" t="str">
        <f>HYPERLINK("http://141.218.60.56/~jnz1568/getInfo.php?workbook=12_04.xlsx&amp;sheet=A0&amp;row=1478&amp;col=7&amp;number=0&amp;sourceID=14","0")</f>
        <v>0</v>
      </c>
    </row>
    <row r="1479" spans="1:7">
      <c r="A1479" s="3">
        <v>12</v>
      </c>
      <c r="B1479" s="3">
        <v>4</v>
      </c>
      <c r="C1479" s="3">
        <v>72</v>
      </c>
      <c r="D1479" s="3">
        <v>18</v>
      </c>
      <c r="E1479" s="3">
        <v>165.514</v>
      </c>
      <c r="F1479" s="4" t="str">
        <f>HYPERLINK("http://141.218.60.56/~jnz1568/getInfo.php?workbook=12_04.xlsx&amp;sheet=A0&amp;row=1479&amp;col=6&amp;number=624&amp;sourceID=14","624")</f>
        <v>624</v>
      </c>
      <c r="G1479" s="4" t="str">
        <f>HYPERLINK("http://141.218.60.56/~jnz1568/getInfo.php?workbook=12_04.xlsx&amp;sheet=A0&amp;row=1479&amp;col=7&amp;number=0&amp;sourceID=14","0")</f>
        <v>0</v>
      </c>
    </row>
    <row r="1480" spans="1:7">
      <c r="A1480" s="3">
        <v>12</v>
      </c>
      <c r="B1480" s="3">
        <v>4</v>
      </c>
      <c r="C1480" s="3">
        <v>73</v>
      </c>
      <c r="D1480" s="3">
        <v>18</v>
      </c>
      <c r="E1480" s="3">
        <v>-164.522</v>
      </c>
      <c r="F1480" s="4" t="str">
        <f>HYPERLINK("http://141.218.60.56/~jnz1568/getInfo.php?workbook=12_04.xlsx&amp;sheet=A0&amp;row=1480&amp;col=6&amp;number=58400000&amp;sourceID=14","58400000")</f>
        <v>58400000</v>
      </c>
      <c r="G1480" s="4" t="str">
        <f>HYPERLINK("http://141.218.60.56/~jnz1568/getInfo.php?workbook=12_04.xlsx&amp;sheet=A0&amp;row=1480&amp;col=7&amp;number=0&amp;sourceID=14","0")</f>
        <v>0</v>
      </c>
    </row>
    <row r="1481" spans="1:7">
      <c r="A1481" s="3">
        <v>12</v>
      </c>
      <c r="B1481" s="3">
        <v>4</v>
      </c>
      <c r="C1481" s="3">
        <v>74</v>
      </c>
      <c r="D1481" s="3">
        <v>18</v>
      </c>
      <c r="E1481" s="3">
        <v>-164.006</v>
      </c>
      <c r="F1481" s="4" t="str">
        <f>HYPERLINK("http://141.218.60.56/~jnz1568/getInfo.php?workbook=12_04.xlsx&amp;sheet=A0&amp;row=1481&amp;col=6&amp;number=387000000&amp;sourceID=14","387000000")</f>
        <v>387000000</v>
      </c>
      <c r="G1481" s="4" t="str">
        <f>HYPERLINK("http://141.218.60.56/~jnz1568/getInfo.php?workbook=12_04.xlsx&amp;sheet=A0&amp;row=1481&amp;col=7&amp;number=0&amp;sourceID=14","0")</f>
        <v>0</v>
      </c>
    </row>
    <row r="1482" spans="1:7">
      <c r="A1482" s="3">
        <v>12</v>
      </c>
      <c r="B1482" s="3">
        <v>4</v>
      </c>
      <c r="C1482" s="3">
        <v>75</v>
      </c>
      <c r="D1482" s="3">
        <v>18</v>
      </c>
      <c r="E1482" s="3">
        <v>163.924</v>
      </c>
      <c r="F1482" s="4" t="str">
        <f>HYPERLINK("http://141.218.60.56/~jnz1568/getInfo.php?workbook=12_04.xlsx&amp;sheet=A0&amp;row=1482&amp;col=6&amp;number=2330000&amp;sourceID=14","2330000")</f>
        <v>2330000</v>
      </c>
      <c r="G1482" s="4" t="str">
        <f>HYPERLINK("http://141.218.60.56/~jnz1568/getInfo.php?workbook=12_04.xlsx&amp;sheet=A0&amp;row=1482&amp;col=7&amp;number=0&amp;sourceID=14","0")</f>
        <v>0</v>
      </c>
    </row>
    <row r="1483" spans="1:7">
      <c r="A1483" s="3">
        <v>12</v>
      </c>
      <c r="B1483" s="3">
        <v>4</v>
      </c>
      <c r="C1483" s="3">
        <v>76</v>
      </c>
      <c r="D1483" s="3">
        <v>18</v>
      </c>
      <c r="E1483" s="3">
        <v>163.959</v>
      </c>
      <c r="F1483" s="4" t="str">
        <f>HYPERLINK("http://141.218.60.56/~jnz1568/getInfo.php?workbook=12_04.xlsx&amp;sheet=A0&amp;row=1483&amp;col=6&amp;number=0.135&amp;sourceID=14","0.135")</f>
        <v>0.135</v>
      </c>
      <c r="G1483" s="4" t="str">
        <f>HYPERLINK("http://141.218.60.56/~jnz1568/getInfo.php?workbook=12_04.xlsx&amp;sheet=A0&amp;row=1483&amp;col=7&amp;number=0&amp;sourceID=14","0")</f>
        <v>0</v>
      </c>
    </row>
    <row r="1484" spans="1:7">
      <c r="A1484" s="3">
        <v>12</v>
      </c>
      <c r="B1484" s="3">
        <v>4</v>
      </c>
      <c r="C1484" s="3">
        <v>77</v>
      </c>
      <c r="D1484" s="3">
        <v>18</v>
      </c>
      <c r="E1484" s="3">
        <v>-163.423</v>
      </c>
      <c r="F1484" s="4" t="str">
        <f>HYPERLINK("http://141.218.60.56/~jnz1568/getInfo.php?workbook=12_04.xlsx&amp;sheet=A0&amp;row=1484&amp;col=6&amp;number=0.782&amp;sourceID=14","0.782")</f>
        <v>0.782</v>
      </c>
      <c r="G1484" s="4" t="str">
        <f>HYPERLINK("http://141.218.60.56/~jnz1568/getInfo.php?workbook=12_04.xlsx&amp;sheet=A0&amp;row=1484&amp;col=7&amp;number=0&amp;sourceID=14","0")</f>
        <v>0</v>
      </c>
    </row>
    <row r="1485" spans="1:7">
      <c r="A1485" s="3">
        <v>12</v>
      </c>
      <c r="B1485" s="3">
        <v>4</v>
      </c>
      <c r="C1485" s="3">
        <v>78</v>
      </c>
      <c r="D1485" s="3">
        <v>18</v>
      </c>
      <c r="E1485" s="3">
        <v>-162.625</v>
      </c>
      <c r="F1485" s="4" t="str">
        <f>HYPERLINK("http://141.218.60.56/~jnz1568/getInfo.php?workbook=12_04.xlsx&amp;sheet=A0&amp;row=1485&amp;col=6&amp;number=48000000&amp;sourceID=14","48000000")</f>
        <v>48000000</v>
      </c>
      <c r="G1485" s="4" t="str">
        <f>HYPERLINK("http://141.218.60.56/~jnz1568/getInfo.php?workbook=12_04.xlsx&amp;sheet=A0&amp;row=1485&amp;col=7&amp;number=0&amp;sourceID=14","0")</f>
        <v>0</v>
      </c>
    </row>
    <row r="1486" spans="1:7">
      <c r="A1486" s="3">
        <v>12</v>
      </c>
      <c r="B1486" s="3">
        <v>4</v>
      </c>
      <c r="C1486" s="3">
        <v>79</v>
      </c>
      <c r="D1486" s="3">
        <v>18</v>
      </c>
      <c r="E1486" s="3">
        <v>-162.461</v>
      </c>
      <c r="F1486" s="4" t="str">
        <f>HYPERLINK("http://141.218.60.56/~jnz1568/getInfo.php?workbook=12_04.xlsx&amp;sheet=A0&amp;row=1486&amp;col=6&amp;number=73800000&amp;sourceID=14","73800000")</f>
        <v>73800000</v>
      </c>
      <c r="G1486" s="4" t="str">
        <f>HYPERLINK("http://141.218.60.56/~jnz1568/getInfo.php?workbook=12_04.xlsx&amp;sheet=A0&amp;row=1486&amp;col=7&amp;number=0&amp;sourceID=14","0")</f>
        <v>0</v>
      </c>
    </row>
    <row r="1487" spans="1:7">
      <c r="A1487" s="3">
        <v>12</v>
      </c>
      <c r="B1487" s="3">
        <v>4</v>
      </c>
      <c r="C1487" s="3">
        <v>80</v>
      </c>
      <c r="D1487" s="3">
        <v>18</v>
      </c>
      <c r="E1487" s="3">
        <v>-162.135</v>
      </c>
      <c r="F1487" s="4" t="str">
        <f>HYPERLINK("http://141.218.60.56/~jnz1568/getInfo.php?workbook=12_04.xlsx&amp;sheet=A0&amp;row=1487&amp;col=6&amp;number=15700&amp;sourceID=14","15700")</f>
        <v>15700</v>
      </c>
      <c r="G1487" s="4" t="str">
        <f>HYPERLINK("http://141.218.60.56/~jnz1568/getInfo.php?workbook=12_04.xlsx&amp;sheet=A0&amp;row=1487&amp;col=7&amp;number=0&amp;sourceID=14","0")</f>
        <v>0</v>
      </c>
    </row>
    <row r="1488" spans="1:7">
      <c r="A1488" s="3">
        <v>12</v>
      </c>
      <c r="B1488" s="3">
        <v>4</v>
      </c>
      <c r="C1488" s="3">
        <v>81</v>
      </c>
      <c r="D1488" s="3">
        <v>18</v>
      </c>
      <c r="E1488" s="3">
        <v>162.054</v>
      </c>
      <c r="F1488" s="4" t="str">
        <f>HYPERLINK("http://141.218.60.56/~jnz1568/getInfo.php?workbook=12_04.xlsx&amp;sheet=A0&amp;row=1488&amp;col=6&amp;number=8810000&amp;sourceID=14","8810000")</f>
        <v>8810000</v>
      </c>
      <c r="G1488" s="4" t="str">
        <f>HYPERLINK("http://141.218.60.56/~jnz1568/getInfo.php?workbook=12_04.xlsx&amp;sheet=A0&amp;row=1488&amp;col=7&amp;number=0&amp;sourceID=14","0")</f>
        <v>0</v>
      </c>
    </row>
    <row r="1489" spans="1:7">
      <c r="A1489" s="3">
        <v>12</v>
      </c>
      <c r="B1489" s="3">
        <v>4</v>
      </c>
      <c r="C1489" s="3">
        <v>82</v>
      </c>
      <c r="D1489" s="3">
        <v>18</v>
      </c>
      <c r="E1489" s="3">
        <v>-162.039</v>
      </c>
      <c r="F1489" s="4" t="str">
        <f>HYPERLINK("http://141.218.60.56/~jnz1568/getInfo.php?workbook=12_04.xlsx&amp;sheet=A0&amp;row=1489&amp;col=6&amp;number=5290&amp;sourceID=14","5290")</f>
        <v>5290</v>
      </c>
      <c r="G1489" s="4" t="str">
        <f>HYPERLINK("http://141.218.60.56/~jnz1568/getInfo.php?workbook=12_04.xlsx&amp;sheet=A0&amp;row=1489&amp;col=7&amp;number=0&amp;sourceID=14","0")</f>
        <v>0</v>
      </c>
    </row>
    <row r="1490" spans="1:7">
      <c r="A1490" s="3">
        <v>12</v>
      </c>
      <c r="B1490" s="3">
        <v>4</v>
      </c>
      <c r="C1490" s="3">
        <v>83</v>
      </c>
      <c r="D1490" s="3">
        <v>18</v>
      </c>
      <c r="E1490" s="3">
        <v>-162.038</v>
      </c>
      <c r="F1490" s="4" t="str">
        <f>HYPERLINK("http://141.218.60.56/~jnz1568/getInfo.php?workbook=12_04.xlsx&amp;sheet=A0&amp;row=1490&amp;col=6&amp;number=17.2&amp;sourceID=14","17.2")</f>
        <v>17.2</v>
      </c>
      <c r="G1490" s="4" t="str">
        <f>HYPERLINK("http://141.218.60.56/~jnz1568/getInfo.php?workbook=12_04.xlsx&amp;sheet=A0&amp;row=1490&amp;col=7&amp;number=0&amp;sourceID=14","0")</f>
        <v>0</v>
      </c>
    </row>
    <row r="1491" spans="1:7">
      <c r="A1491" s="3">
        <v>12</v>
      </c>
      <c r="B1491" s="3">
        <v>4</v>
      </c>
      <c r="C1491" s="3">
        <v>84</v>
      </c>
      <c r="D1491" s="3">
        <v>18</v>
      </c>
      <c r="E1491" s="3">
        <v>-161.953</v>
      </c>
      <c r="F1491" s="4" t="str">
        <f>HYPERLINK("http://141.218.60.56/~jnz1568/getInfo.php?workbook=12_04.xlsx&amp;sheet=A0&amp;row=1491&amp;col=6&amp;number=63200&amp;sourceID=14","63200")</f>
        <v>63200</v>
      </c>
      <c r="G1491" s="4" t="str">
        <f>HYPERLINK("http://141.218.60.56/~jnz1568/getInfo.php?workbook=12_04.xlsx&amp;sheet=A0&amp;row=1491&amp;col=7&amp;number=0&amp;sourceID=14","0")</f>
        <v>0</v>
      </c>
    </row>
    <row r="1492" spans="1:7">
      <c r="A1492" s="3">
        <v>12</v>
      </c>
      <c r="B1492" s="3">
        <v>4</v>
      </c>
      <c r="C1492" s="3">
        <v>85</v>
      </c>
      <c r="D1492" s="3">
        <v>18</v>
      </c>
      <c r="E1492" s="3">
        <v>161.739</v>
      </c>
      <c r="F1492" s="4" t="str">
        <f>HYPERLINK("http://141.218.60.56/~jnz1568/getInfo.php?workbook=12_04.xlsx&amp;sheet=A0&amp;row=1492&amp;col=6&amp;number=120000000&amp;sourceID=14","120000000")</f>
        <v>120000000</v>
      </c>
      <c r="G1492" s="4" t="str">
        <f>HYPERLINK("http://141.218.60.56/~jnz1568/getInfo.php?workbook=12_04.xlsx&amp;sheet=A0&amp;row=1492&amp;col=7&amp;number=0&amp;sourceID=14","0")</f>
        <v>0</v>
      </c>
    </row>
    <row r="1493" spans="1:7">
      <c r="A1493" s="3">
        <v>12</v>
      </c>
      <c r="B1493" s="3">
        <v>4</v>
      </c>
      <c r="C1493" s="3">
        <v>86</v>
      </c>
      <c r="D1493" s="3">
        <v>18</v>
      </c>
      <c r="E1493" s="3">
        <v>161.603</v>
      </c>
      <c r="F1493" s="4" t="str">
        <f>HYPERLINK("http://141.218.60.56/~jnz1568/getInfo.php?workbook=12_04.xlsx&amp;sheet=A0&amp;row=1493&amp;col=6&amp;number=837000000&amp;sourceID=14","837000000")</f>
        <v>837000000</v>
      </c>
      <c r="G1493" s="4" t="str">
        <f>HYPERLINK("http://141.218.60.56/~jnz1568/getInfo.php?workbook=12_04.xlsx&amp;sheet=A0&amp;row=1493&amp;col=7&amp;number=0&amp;sourceID=14","0")</f>
        <v>0</v>
      </c>
    </row>
    <row r="1494" spans="1:7">
      <c r="A1494" s="3">
        <v>12</v>
      </c>
      <c r="B1494" s="3">
        <v>4</v>
      </c>
      <c r="C1494" s="3">
        <v>87</v>
      </c>
      <c r="D1494" s="3">
        <v>18</v>
      </c>
      <c r="E1494" s="3">
        <v>-161.318</v>
      </c>
      <c r="F1494" s="4" t="str">
        <f>HYPERLINK("http://141.218.60.56/~jnz1568/getInfo.php?workbook=12_04.xlsx&amp;sheet=A0&amp;row=1494&amp;col=6&amp;number=0.000709&amp;sourceID=14","0.000709")</f>
        <v>0.000709</v>
      </c>
      <c r="G1494" s="4" t="str">
        <f>HYPERLINK("http://141.218.60.56/~jnz1568/getInfo.php?workbook=12_04.xlsx&amp;sheet=A0&amp;row=1494&amp;col=7&amp;number=0&amp;sourceID=14","0")</f>
        <v>0</v>
      </c>
    </row>
    <row r="1495" spans="1:7">
      <c r="A1495" s="3">
        <v>12</v>
      </c>
      <c r="B1495" s="3">
        <v>4</v>
      </c>
      <c r="C1495" s="3">
        <v>88</v>
      </c>
      <c r="D1495" s="3">
        <v>18</v>
      </c>
      <c r="E1495" s="3">
        <v>-161.114</v>
      </c>
      <c r="F1495" s="4" t="str">
        <f>HYPERLINK("http://141.218.60.56/~jnz1568/getInfo.php?workbook=12_04.xlsx&amp;sheet=A0&amp;row=1495&amp;col=6&amp;number=53300&amp;sourceID=14","53300")</f>
        <v>53300</v>
      </c>
      <c r="G1495" s="4" t="str">
        <f>HYPERLINK("http://141.218.60.56/~jnz1568/getInfo.php?workbook=12_04.xlsx&amp;sheet=A0&amp;row=1495&amp;col=7&amp;number=0&amp;sourceID=14","0")</f>
        <v>0</v>
      </c>
    </row>
    <row r="1496" spans="1:7">
      <c r="A1496" s="3">
        <v>12</v>
      </c>
      <c r="B1496" s="3">
        <v>4</v>
      </c>
      <c r="C1496" s="3">
        <v>89</v>
      </c>
      <c r="D1496" s="3">
        <v>18</v>
      </c>
      <c r="E1496" s="3">
        <v>-160.994</v>
      </c>
      <c r="F1496" s="4" t="str">
        <f>HYPERLINK("http://141.218.60.56/~jnz1568/getInfo.php?workbook=12_04.xlsx&amp;sheet=A0&amp;row=1496&amp;col=6&amp;number=113000&amp;sourceID=14","113000")</f>
        <v>113000</v>
      </c>
      <c r="G1496" s="4" t="str">
        <f>HYPERLINK("http://141.218.60.56/~jnz1568/getInfo.php?workbook=12_04.xlsx&amp;sheet=A0&amp;row=1496&amp;col=7&amp;number=0&amp;sourceID=14","0")</f>
        <v>0</v>
      </c>
    </row>
    <row r="1497" spans="1:7">
      <c r="A1497" s="3">
        <v>12</v>
      </c>
      <c r="B1497" s="3">
        <v>4</v>
      </c>
      <c r="C1497" s="3">
        <v>90</v>
      </c>
      <c r="D1497" s="3">
        <v>18</v>
      </c>
      <c r="E1497" s="3">
        <v>-160.639</v>
      </c>
      <c r="F1497" s="4" t="str">
        <f>HYPERLINK("http://141.218.60.56/~jnz1568/getInfo.php?workbook=12_04.xlsx&amp;sheet=A0&amp;row=1497&amp;col=6&amp;number=0.000211&amp;sourceID=14","0.000211")</f>
        <v>0.000211</v>
      </c>
      <c r="G1497" s="4" t="str">
        <f>HYPERLINK("http://141.218.60.56/~jnz1568/getInfo.php?workbook=12_04.xlsx&amp;sheet=A0&amp;row=1497&amp;col=7&amp;number=0&amp;sourceID=14","0")</f>
        <v>0</v>
      </c>
    </row>
    <row r="1498" spans="1:7">
      <c r="A1498" s="3">
        <v>12</v>
      </c>
      <c r="B1498" s="3">
        <v>4</v>
      </c>
      <c r="C1498" s="3">
        <v>91</v>
      </c>
      <c r="D1498" s="3">
        <v>18</v>
      </c>
      <c r="E1498" s="3">
        <v>-160.325</v>
      </c>
      <c r="F1498" s="4" t="str">
        <f>HYPERLINK("http://141.218.60.56/~jnz1568/getInfo.php?workbook=12_04.xlsx&amp;sheet=A0&amp;row=1498&amp;col=6&amp;number=6030&amp;sourceID=14","6030")</f>
        <v>6030</v>
      </c>
      <c r="G1498" s="4" t="str">
        <f>HYPERLINK("http://141.218.60.56/~jnz1568/getInfo.php?workbook=12_04.xlsx&amp;sheet=A0&amp;row=1498&amp;col=7&amp;number=0&amp;sourceID=14","0")</f>
        <v>0</v>
      </c>
    </row>
    <row r="1499" spans="1:7">
      <c r="A1499" s="3">
        <v>12</v>
      </c>
      <c r="B1499" s="3">
        <v>4</v>
      </c>
      <c r="C1499" s="3">
        <v>92</v>
      </c>
      <c r="D1499" s="3">
        <v>18</v>
      </c>
      <c r="E1499" s="3">
        <v>-160.251</v>
      </c>
      <c r="F1499" s="4" t="str">
        <f>HYPERLINK("http://141.218.60.56/~jnz1568/getInfo.php?workbook=12_04.xlsx&amp;sheet=A0&amp;row=1499&amp;col=6&amp;number=31200&amp;sourceID=14","31200")</f>
        <v>31200</v>
      </c>
      <c r="G1499" s="4" t="str">
        <f>HYPERLINK("http://141.218.60.56/~jnz1568/getInfo.php?workbook=12_04.xlsx&amp;sheet=A0&amp;row=1499&amp;col=7&amp;number=0&amp;sourceID=14","0")</f>
        <v>0</v>
      </c>
    </row>
    <row r="1500" spans="1:7">
      <c r="A1500" s="3">
        <v>12</v>
      </c>
      <c r="B1500" s="3">
        <v>4</v>
      </c>
      <c r="C1500" s="3">
        <v>93</v>
      </c>
      <c r="D1500" s="3">
        <v>18</v>
      </c>
      <c r="E1500" s="3">
        <v>-160.184</v>
      </c>
      <c r="F1500" s="4" t="str">
        <f>HYPERLINK("http://141.218.60.56/~jnz1568/getInfo.php?workbook=12_04.xlsx&amp;sheet=A0&amp;row=1500&amp;col=6&amp;number=12800&amp;sourceID=14","12800")</f>
        <v>12800</v>
      </c>
      <c r="G1500" s="4" t="str">
        <f>HYPERLINK("http://141.218.60.56/~jnz1568/getInfo.php?workbook=12_04.xlsx&amp;sheet=A0&amp;row=1500&amp;col=7&amp;number=0&amp;sourceID=14","0")</f>
        <v>0</v>
      </c>
    </row>
    <row r="1501" spans="1:7">
      <c r="A1501" s="3">
        <v>12</v>
      </c>
      <c r="B1501" s="3">
        <v>4</v>
      </c>
      <c r="C1501" s="3">
        <v>94</v>
      </c>
      <c r="D1501" s="3">
        <v>18</v>
      </c>
      <c r="E1501" s="3">
        <v>-159.936</v>
      </c>
      <c r="F1501" s="4" t="str">
        <f>HYPERLINK("http://141.218.60.56/~jnz1568/getInfo.php?workbook=12_04.xlsx&amp;sheet=A0&amp;row=1501&amp;col=6&amp;number=23700&amp;sourceID=14","23700")</f>
        <v>23700</v>
      </c>
      <c r="G1501" s="4" t="str">
        <f>HYPERLINK("http://141.218.60.56/~jnz1568/getInfo.php?workbook=12_04.xlsx&amp;sheet=A0&amp;row=1501&amp;col=7&amp;number=0&amp;sourceID=14","0")</f>
        <v>0</v>
      </c>
    </row>
    <row r="1502" spans="1:7">
      <c r="A1502" s="3">
        <v>12</v>
      </c>
      <c r="B1502" s="3">
        <v>4</v>
      </c>
      <c r="C1502" s="3">
        <v>95</v>
      </c>
      <c r="D1502" s="3">
        <v>18</v>
      </c>
      <c r="E1502" s="3">
        <v>-159.774</v>
      </c>
      <c r="F1502" s="4" t="str">
        <f>HYPERLINK("http://141.218.60.56/~jnz1568/getInfo.php?workbook=12_04.xlsx&amp;sheet=A0&amp;row=1502&amp;col=6&amp;number=8.93&amp;sourceID=14","8.93")</f>
        <v>8.93</v>
      </c>
      <c r="G1502" s="4" t="str">
        <f>HYPERLINK("http://141.218.60.56/~jnz1568/getInfo.php?workbook=12_04.xlsx&amp;sheet=A0&amp;row=1502&amp;col=7&amp;number=0&amp;sourceID=14","0")</f>
        <v>0</v>
      </c>
    </row>
    <row r="1503" spans="1:7">
      <c r="A1503" s="3">
        <v>12</v>
      </c>
      <c r="B1503" s="3">
        <v>4</v>
      </c>
      <c r="C1503" s="3">
        <v>96</v>
      </c>
      <c r="D1503" s="3">
        <v>18</v>
      </c>
      <c r="E1503" s="3">
        <v>-159.624</v>
      </c>
      <c r="F1503" s="4" t="str">
        <f>HYPERLINK("http://141.218.60.56/~jnz1568/getInfo.php?workbook=12_04.xlsx&amp;sheet=A0&amp;row=1503&amp;col=6&amp;number=1030&amp;sourceID=14","1030")</f>
        <v>1030</v>
      </c>
      <c r="G1503" s="4" t="str">
        <f>HYPERLINK("http://141.218.60.56/~jnz1568/getInfo.php?workbook=12_04.xlsx&amp;sheet=A0&amp;row=1503&amp;col=7&amp;number=0&amp;sourceID=14","0")</f>
        <v>0</v>
      </c>
    </row>
    <row r="1504" spans="1:7">
      <c r="A1504" s="3">
        <v>12</v>
      </c>
      <c r="B1504" s="3">
        <v>4</v>
      </c>
      <c r="C1504" s="3">
        <v>97</v>
      </c>
      <c r="D1504" s="3">
        <v>18</v>
      </c>
      <c r="E1504" s="3">
        <v>159.898</v>
      </c>
      <c r="F1504" s="4" t="str">
        <f>HYPERLINK("http://141.218.60.56/~jnz1568/getInfo.php?workbook=12_04.xlsx&amp;sheet=A0&amp;row=1504&amp;col=6&amp;number=2260000&amp;sourceID=14","2260000")</f>
        <v>2260000</v>
      </c>
      <c r="G1504" s="4" t="str">
        <f>HYPERLINK("http://141.218.60.56/~jnz1568/getInfo.php?workbook=12_04.xlsx&amp;sheet=A0&amp;row=1504&amp;col=7&amp;number=0&amp;sourceID=14","0")</f>
        <v>0</v>
      </c>
    </row>
    <row r="1505" spans="1:7">
      <c r="A1505" s="3">
        <v>12</v>
      </c>
      <c r="B1505" s="3">
        <v>4</v>
      </c>
      <c r="C1505" s="3">
        <v>98</v>
      </c>
      <c r="D1505" s="3">
        <v>18</v>
      </c>
      <c r="E1505" s="3">
        <v>159.454</v>
      </c>
      <c r="F1505" s="4" t="str">
        <f>HYPERLINK("http://141.218.60.56/~jnz1568/getInfo.php?workbook=12_04.xlsx&amp;sheet=A0&amp;row=1505&amp;col=6&amp;number=4430000&amp;sourceID=14","4430000")</f>
        <v>4430000</v>
      </c>
      <c r="G1505" s="4" t="str">
        <f>HYPERLINK("http://141.218.60.56/~jnz1568/getInfo.php?workbook=12_04.xlsx&amp;sheet=A0&amp;row=1505&amp;col=7&amp;number=0&amp;sourceID=14","0")</f>
        <v>0</v>
      </c>
    </row>
    <row r="1506" spans="1:7">
      <c r="A1506" s="3">
        <v>12</v>
      </c>
      <c r="B1506" s="3">
        <v>4</v>
      </c>
      <c r="C1506" s="3">
        <v>20</v>
      </c>
      <c r="D1506" s="3">
        <v>19</v>
      </c>
      <c r="E1506" s="3">
        <v>4299.234</v>
      </c>
      <c r="F1506" s="4" t="str">
        <f>HYPERLINK("http://141.218.60.56/~jnz1568/getInfo.php?workbook=12_04.xlsx&amp;sheet=A0&amp;row=1506&amp;col=6&amp;number=0.00594&amp;sourceID=14","0.00594")</f>
        <v>0.00594</v>
      </c>
      <c r="G1506" s="4" t="str">
        <f>HYPERLINK("http://141.218.60.56/~jnz1568/getInfo.php?workbook=12_04.xlsx&amp;sheet=A0&amp;row=1506&amp;col=7&amp;number=0&amp;sourceID=14","0")</f>
        <v>0</v>
      </c>
    </row>
    <row r="1507" spans="1:7">
      <c r="A1507" s="3">
        <v>12</v>
      </c>
      <c r="B1507" s="3">
        <v>4</v>
      </c>
      <c r="C1507" s="3">
        <v>21</v>
      </c>
      <c r="D1507" s="3">
        <v>19</v>
      </c>
      <c r="E1507" s="3">
        <v>1268.716</v>
      </c>
      <c r="F1507" s="4" t="str">
        <f>HYPERLINK("http://141.218.60.56/~jnz1568/getInfo.php?workbook=12_04.xlsx&amp;sheet=A0&amp;row=1507&amp;col=6&amp;number=9.94e-08&amp;sourceID=14","9.94e-08")</f>
        <v>9.94e-08</v>
      </c>
      <c r="G1507" s="4" t="str">
        <f>HYPERLINK("http://141.218.60.56/~jnz1568/getInfo.php?workbook=12_04.xlsx&amp;sheet=A0&amp;row=1507&amp;col=7&amp;number=0&amp;sourceID=14","0")</f>
        <v>0</v>
      </c>
    </row>
    <row r="1508" spans="1:7">
      <c r="A1508" s="3">
        <v>12</v>
      </c>
      <c r="B1508" s="3">
        <v>4</v>
      </c>
      <c r="C1508" s="3">
        <v>22</v>
      </c>
      <c r="D1508" s="3">
        <v>19</v>
      </c>
      <c r="E1508" s="3">
        <v>1251.097</v>
      </c>
      <c r="F1508" s="4" t="str">
        <f>HYPERLINK("http://141.218.60.56/~jnz1568/getInfo.php?workbook=12_04.xlsx&amp;sheet=A0&amp;row=1508&amp;col=6&amp;number=0.000341&amp;sourceID=14","0.000341")</f>
        <v>0.000341</v>
      </c>
      <c r="G1508" s="4" t="str">
        <f>HYPERLINK("http://141.218.60.56/~jnz1568/getInfo.php?workbook=12_04.xlsx&amp;sheet=A0&amp;row=1508&amp;col=7&amp;number=0&amp;sourceID=14","0")</f>
        <v>0</v>
      </c>
    </row>
    <row r="1509" spans="1:7">
      <c r="A1509" s="3">
        <v>12</v>
      </c>
      <c r="B1509" s="3">
        <v>4</v>
      </c>
      <c r="C1509" s="3">
        <v>23</v>
      </c>
      <c r="D1509" s="3">
        <v>19</v>
      </c>
      <c r="E1509" s="3">
        <v>1210.949</v>
      </c>
      <c r="F1509" s="4" t="str">
        <f>HYPERLINK("http://141.218.60.56/~jnz1568/getInfo.php?workbook=12_04.xlsx&amp;sheet=A0&amp;row=1509&amp;col=6&amp;number=12200000&amp;sourceID=14","12200000")</f>
        <v>12200000</v>
      </c>
      <c r="G1509" s="4" t="str">
        <f>HYPERLINK("http://141.218.60.56/~jnz1568/getInfo.php?workbook=12_04.xlsx&amp;sheet=A0&amp;row=1509&amp;col=7&amp;number=0&amp;sourceID=14","0")</f>
        <v>0</v>
      </c>
    </row>
    <row r="1510" spans="1:7">
      <c r="A1510" s="3">
        <v>12</v>
      </c>
      <c r="B1510" s="3">
        <v>4</v>
      </c>
      <c r="C1510" s="3">
        <v>24</v>
      </c>
      <c r="D1510" s="3">
        <v>19</v>
      </c>
      <c r="E1510" s="3">
        <v>895.096</v>
      </c>
      <c r="F1510" s="4" t="str">
        <f>HYPERLINK("http://141.218.60.56/~jnz1568/getInfo.php?workbook=12_04.xlsx&amp;sheet=A0&amp;row=1510&amp;col=6&amp;number=0.0068&amp;sourceID=14","0.0068")</f>
        <v>0.0068</v>
      </c>
      <c r="G1510" s="4" t="str">
        <f>HYPERLINK("http://141.218.60.56/~jnz1568/getInfo.php?workbook=12_04.xlsx&amp;sheet=A0&amp;row=1510&amp;col=7&amp;number=0&amp;sourceID=14","0")</f>
        <v>0</v>
      </c>
    </row>
    <row r="1511" spans="1:7">
      <c r="A1511" s="3">
        <v>12</v>
      </c>
      <c r="B1511" s="3">
        <v>4</v>
      </c>
      <c r="C1511" s="3">
        <v>25</v>
      </c>
      <c r="D1511" s="3">
        <v>19</v>
      </c>
      <c r="E1511" s="3">
        <v>856.166</v>
      </c>
      <c r="F1511" s="4" t="str">
        <f>HYPERLINK("http://141.218.60.56/~jnz1568/getInfo.php?workbook=12_04.xlsx&amp;sheet=A0&amp;row=1511&amp;col=6&amp;number=0.032&amp;sourceID=14","0.032")</f>
        <v>0.032</v>
      </c>
      <c r="G1511" s="4" t="str">
        <f>HYPERLINK("http://141.218.60.56/~jnz1568/getInfo.php?workbook=12_04.xlsx&amp;sheet=A0&amp;row=1511&amp;col=7&amp;number=0&amp;sourceID=14","0")</f>
        <v>0</v>
      </c>
    </row>
    <row r="1512" spans="1:7">
      <c r="A1512" s="3">
        <v>12</v>
      </c>
      <c r="B1512" s="3">
        <v>4</v>
      </c>
      <c r="C1512" s="3">
        <v>26</v>
      </c>
      <c r="D1512" s="3">
        <v>19</v>
      </c>
      <c r="E1512" s="3">
        <v>805.479</v>
      </c>
      <c r="F1512" s="4" t="str">
        <f>HYPERLINK("http://141.218.60.56/~jnz1568/getInfo.php?workbook=12_04.xlsx&amp;sheet=A0&amp;row=1512&amp;col=6&amp;number=0.00117&amp;sourceID=14","0.00117")</f>
        <v>0.00117</v>
      </c>
      <c r="G1512" s="4" t="str">
        <f>HYPERLINK("http://141.218.60.56/~jnz1568/getInfo.php?workbook=12_04.xlsx&amp;sheet=A0&amp;row=1512&amp;col=7&amp;number=0&amp;sourceID=14","0")</f>
        <v>0</v>
      </c>
    </row>
    <row r="1513" spans="1:7">
      <c r="A1513" s="3">
        <v>12</v>
      </c>
      <c r="B1513" s="3">
        <v>4</v>
      </c>
      <c r="C1513" s="3">
        <v>27</v>
      </c>
      <c r="D1513" s="3">
        <v>19</v>
      </c>
      <c r="E1513" s="3">
        <v>799.043</v>
      </c>
      <c r="F1513" s="4" t="str">
        <f>HYPERLINK("http://141.218.60.56/~jnz1568/getInfo.php?workbook=12_04.xlsx&amp;sheet=A0&amp;row=1513&amp;col=6&amp;number=0.44&amp;sourceID=14","0.44")</f>
        <v>0.44</v>
      </c>
      <c r="G1513" s="4" t="str">
        <f>HYPERLINK("http://141.218.60.56/~jnz1568/getInfo.php?workbook=12_04.xlsx&amp;sheet=A0&amp;row=1513&amp;col=7&amp;number=0&amp;sourceID=14","0")</f>
        <v>0</v>
      </c>
    </row>
    <row r="1514" spans="1:7">
      <c r="A1514" s="3">
        <v>12</v>
      </c>
      <c r="B1514" s="3">
        <v>4</v>
      </c>
      <c r="C1514" s="3">
        <v>28</v>
      </c>
      <c r="D1514" s="3">
        <v>19</v>
      </c>
      <c r="E1514" s="3">
        <v>783.394</v>
      </c>
      <c r="F1514" s="4" t="str">
        <f>HYPERLINK("http://141.218.60.56/~jnz1568/getInfo.php?workbook=12_04.xlsx&amp;sheet=A0&amp;row=1514&amp;col=6&amp;number=0.62&amp;sourceID=14","0.62")</f>
        <v>0.62</v>
      </c>
      <c r="G1514" s="4" t="str">
        <f>HYPERLINK("http://141.218.60.56/~jnz1568/getInfo.php?workbook=12_04.xlsx&amp;sheet=A0&amp;row=1514&amp;col=7&amp;number=0&amp;sourceID=14","0")</f>
        <v>0</v>
      </c>
    </row>
    <row r="1515" spans="1:7">
      <c r="A1515" s="3">
        <v>12</v>
      </c>
      <c r="B1515" s="3">
        <v>4</v>
      </c>
      <c r="C1515" s="3">
        <v>29</v>
      </c>
      <c r="D1515" s="3">
        <v>19</v>
      </c>
      <c r="E1515" s="3">
        <v>719.115</v>
      </c>
      <c r="F1515" s="4" t="str">
        <f>HYPERLINK("http://141.218.60.56/~jnz1568/getInfo.php?workbook=12_04.xlsx&amp;sheet=A0&amp;row=1515&amp;col=6&amp;number=4.96&amp;sourceID=14","4.96")</f>
        <v>4.96</v>
      </c>
      <c r="G1515" s="4" t="str">
        <f>HYPERLINK("http://141.218.60.56/~jnz1568/getInfo.php?workbook=12_04.xlsx&amp;sheet=A0&amp;row=1515&amp;col=7&amp;number=0&amp;sourceID=14","0")</f>
        <v>0</v>
      </c>
    </row>
    <row r="1516" spans="1:7">
      <c r="A1516" s="3">
        <v>12</v>
      </c>
      <c r="B1516" s="3">
        <v>4</v>
      </c>
      <c r="C1516" s="3">
        <v>31</v>
      </c>
      <c r="D1516" s="3">
        <v>19</v>
      </c>
      <c r="E1516" s="3">
        <v>678.565</v>
      </c>
      <c r="F1516" s="4" t="str">
        <f>HYPERLINK("http://141.218.60.56/~jnz1568/getInfo.php?workbook=12_04.xlsx&amp;sheet=A0&amp;row=1516&amp;col=6&amp;number=24.7&amp;sourceID=14","24.7")</f>
        <v>24.7</v>
      </c>
      <c r="G1516" s="4" t="str">
        <f>HYPERLINK("http://141.218.60.56/~jnz1568/getInfo.php?workbook=12_04.xlsx&amp;sheet=A0&amp;row=1516&amp;col=7&amp;number=0&amp;sourceID=14","0")</f>
        <v>0</v>
      </c>
    </row>
    <row r="1517" spans="1:7">
      <c r="A1517" s="3">
        <v>12</v>
      </c>
      <c r="B1517" s="3">
        <v>4</v>
      </c>
      <c r="C1517" s="3">
        <v>32</v>
      </c>
      <c r="D1517" s="3">
        <v>19</v>
      </c>
      <c r="E1517" s="3">
        <v>672.632</v>
      </c>
      <c r="F1517" s="4" t="str">
        <f>HYPERLINK("http://141.218.60.56/~jnz1568/getInfo.php?workbook=12_04.xlsx&amp;sheet=A0&amp;row=1517&amp;col=6&amp;number=34.7&amp;sourceID=14","34.7")</f>
        <v>34.7</v>
      </c>
      <c r="G1517" s="4" t="str">
        <f>HYPERLINK("http://141.218.60.56/~jnz1568/getInfo.php?workbook=12_04.xlsx&amp;sheet=A0&amp;row=1517&amp;col=7&amp;number=0&amp;sourceID=14","0")</f>
        <v>0</v>
      </c>
    </row>
    <row r="1518" spans="1:7">
      <c r="A1518" s="3">
        <v>12</v>
      </c>
      <c r="B1518" s="3">
        <v>4</v>
      </c>
      <c r="C1518" s="3">
        <v>33</v>
      </c>
      <c r="D1518" s="3">
        <v>19</v>
      </c>
      <c r="E1518" s="3">
        <v>-643.324</v>
      </c>
      <c r="F1518" s="4" t="str">
        <f>HYPERLINK("http://141.218.60.56/~jnz1568/getInfo.php?workbook=12_04.xlsx&amp;sheet=A0&amp;row=1518&amp;col=6&amp;number=418000&amp;sourceID=14","418000")</f>
        <v>418000</v>
      </c>
      <c r="G1518" s="4" t="str">
        <f>HYPERLINK("http://141.218.60.56/~jnz1568/getInfo.php?workbook=12_04.xlsx&amp;sheet=A0&amp;row=1518&amp;col=7&amp;number=0&amp;sourceID=14","0")</f>
        <v>0</v>
      </c>
    </row>
    <row r="1519" spans="1:7">
      <c r="A1519" s="3">
        <v>12</v>
      </c>
      <c r="B1519" s="3">
        <v>4</v>
      </c>
      <c r="C1519" s="3">
        <v>34</v>
      </c>
      <c r="D1519" s="3">
        <v>19</v>
      </c>
      <c r="E1519" s="3">
        <v>-634.966</v>
      </c>
      <c r="F1519" s="4" t="str">
        <f>HYPERLINK("http://141.218.60.56/~jnz1568/getInfo.php?workbook=12_04.xlsx&amp;sheet=A0&amp;row=1519&amp;col=6&amp;number=40500000&amp;sourceID=14","40500000")</f>
        <v>40500000</v>
      </c>
      <c r="G1519" s="4" t="str">
        <f>HYPERLINK("http://141.218.60.56/~jnz1568/getInfo.php?workbook=12_04.xlsx&amp;sheet=A0&amp;row=1519&amp;col=7&amp;number=0&amp;sourceID=14","0")</f>
        <v>0</v>
      </c>
    </row>
    <row r="1520" spans="1:7">
      <c r="A1520" s="3">
        <v>12</v>
      </c>
      <c r="B1520" s="3">
        <v>4</v>
      </c>
      <c r="C1520" s="3">
        <v>35</v>
      </c>
      <c r="D1520" s="3">
        <v>19</v>
      </c>
      <c r="E1520" s="3">
        <v>631.633</v>
      </c>
      <c r="F1520" s="4" t="str">
        <f>HYPERLINK("http://141.218.60.56/~jnz1568/getInfo.php?workbook=12_04.xlsx&amp;sheet=A0&amp;row=1520&amp;col=6&amp;number=5420000&amp;sourceID=14","5420000")</f>
        <v>5420000</v>
      </c>
      <c r="G1520" s="4" t="str">
        <f>HYPERLINK("http://141.218.60.56/~jnz1568/getInfo.php?workbook=12_04.xlsx&amp;sheet=A0&amp;row=1520&amp;col=7&amp;number=0&amp;sourceID=14","0")</f>
        <v>0</v>
      </c>
    </row>
    <row r="1521" spans="1:7">
      <c r="A1521" s="3">
        <v>12</v>
      </c>
      <c r="B1521" s="3">
        <v>4</v>
      </c>
      <c r="C1521" s="3">
        <v>36</v>
      </c>
      <c r="D1521" s="3">
        <v>19</v>
      </c>
      <c r="E1521" s="3">
        <v>-626.945</v>
      </c>
      <c r="F1521" s="4" t="str">
        <f>HYPERLINK("http://141.218.60.56/~jnz1568/getInfo.php?workbook=12_04.xlsx&amp;sheet=A0&amp;row=1521&amp;col=6&amp;number=210000000&amp;sourceID=14","210000000")</f>
        <v>210000000</v>
      </c>
      <c r="G1521" s="4" t="str">
        <f>HYPERLINK("http://141.218.60.56/~jnz1568/getInfo.php?workbook=12_04.xlsx&amp;sheet=A0&amp;row=1521&amp;col=7&amp;number=0&amp;sourceID=14","0")</f>
        <v>0</v>
      </c>
    </row>
    <row r="1522" spans="1:7">
      <c r="A1522" s="3">
        <v>12</v>
      </c>
      <c r="B1522" s="3">
        <v>4</v>
      </c>
      <c r="C1522" s="3">
        <v>37</v>
      </c>
      <c r="D1522" s="3">
        <v>19</v>
      </c>
      <c r="E1522" s="3">
        <v>607.719</v>
      </c>
      <c r="F1522" s="4" t="str">
        <f>HYPERLINK("http://141.218.60.56/~jnz1568/getInfo.php?workbook=12_04.xlsx&amp;sheet=A0&amp;row=1522&amp;col=6&amp;number=0.251&amp;sourceID=14","0.251")</f>
        <v>0.251</v>
      </c>
      <c r="G1522" s="4" t="str">
        <f>HYPERLINK("http://141.218.60.56/~jnz1568/getInfo.php?workbook=12_04.xlsx&amp;sheet=A0&amp;row=1522&amp;col=7&amp;number=0&amp;sourceID=14","0")</f>
        <v>0</v>
      </c>
    </row>
    <row r="1523" spans="1:7">
      <c r="A1523" s="3">
        <v>12</v>
      </c>
      <c r="B1523" s="3">
        <v>4</v>
      </c>
      <c r="C1523" s="3">
        <v>38</v>
      </c>
      <c r="D1523" s="3">
        <v>19</v>
      </c>
      <c r="E1523" s="3">
        <v>568.183</v>
      </c>
      <c r="F1523" s="4" t="str">
        <f>HYPERLINK("http://141.218.60.56/~jnz1568/getInfo.php?workbook=12_04.xlsx&amp;sheet=A0&amp;row=1523&amp;col=6&amp;number=0.0166&amp;sourceID=14","0.0166")</f>
        <v>0.0166</v>
      </c>
      <c r="G1523" s="4" t="str">
        <f>HYPERLINK("http://141.218.60.56/~jnz1568/getInfo.php?workbook=12_04.xlsx&amp;sheet=A0&amp;row=1523&amp;col=7&amp;number=0&amp;sourceID=14","0")</f>
        <v>0</v>
      </c>
    </row>
    <row r="1524" spans="1:7">
      <c r="A1524" s="3">
        <v>12</v>
      </c>
      <c r="B1524" s="3">
        <v>4</v>
      </c>
      <c r="C1524" s="3">
        <v>39</v>
      </c>
      <c r="D1524" s="3">
        <v>19</v>
      </c>
      <c r="E1524" s="3">
        <v>566.445</v>
      </c>
      <c r="F1524" s="4" t="str">
        <f>HYPERLINK("http://141.218.60.56/~jnz1568/getInfo.php?workbook=12_04.xlsx&amp;sheet=A0&amp;row=1524&amp;col=6&amp;number=380000000&amp;sourceID=14","380000000")</f>
        <v>380000000</v>
      </c>
      <c r="G1524" s="4" t="str">
        <f>HYPERLINK("http://141.218.60.56/~jnz1568/getInfo.php?workbook=12_04.xlsx&amp;sheet=A0&amp;row=1524&amp;col=7&amp;number=0&amp;sourceID=14","0")</f>
        <v>0</v>
      </c>
    </row>
    <row r="1525" spans="1:7">
      <c r="A1525" s="3">
        <v>12</v>
      </c>
      <c r="B1525" s="3">
        <v>4</v>
      </c>
      <c r="C1525" s="3">
        <v>40</v>
      </c>
      <c r="D1525" s="3">
        <v>19</v>
      </c>
      <c r="E1525" s="3">
        <v>563.254</v>
      </c>
      <c r="F1525" s="4" t="str">
        <f>HYPERLINK("http://141.218.60.56/~jnz1568/getInfo.php?workbook=12_04.xlsx&amp;sheet=A0&amp;row=1525&amp;col=6&amp;number=1080000000&amp;sourceID=14","1080000000")</f>
        <v>1080000000</v>
      </c>
      <c r="G1525" s="4" t="str">
        <f>HYPERLINK("http://141.218.60.56/~jnz1568/getInfo.php?workbook=12_04.xlsx&amp;sheet=A0&amp;row=1525&amp;col=7&amp;number=0&amp;sourceID=14","0")</f>
        <v>0</v>
      </c>
    </row>
    <row r="1526" spans="1:7">
      <c r="A1526" s="3">
        <v>12</v>
      </c>
      <c r="B1526" s="3">
        <v>4</v>
      </c>
      <c r="C1526" s="3">
        <v>41</v>
      </c>
      <c r="D1526" s="3">
        <v>19</v>
      </c>
      <c r="E1526" s="3">
        <v>543.775</v>
      </c>
      <c r="F1526" s="4" t="str">
        <f>HYPERLINK("http://141.218.60.56/~jnz1568/getInfo.php?workbook=12_04.xlsx&amp;sheet=A0&amp;row=1526&amp;col=6&amp;number=1000000000&amp;sourceID=14","1000000000")</f>
        <v>1000000000</v>
      </c>
      <c r="G1526" s="4" t="str">
        <f>HYPERLINK("http://141.218.60.56/~jnz1568/getInfo.php?workbook=12_04.xlsx&amp;sheet=A0&amp;row=1526&amp;col=7&amp;number=0&amp;sourceID=14","0")</f>
        <v>0</v>
      </c>
    </row>
    <row r="1527" spans="1:7">
      <c r="A1527" s="3">
        <v>12</v>
      </c>
      <c r="B1527" s="3">
        <v>4</v>
      </c>
      <c r="C1527" s="3">
        <v>42</v>
      </c>
      <c r="D1527" s="3">
        <v>19</v>
      </c>
      <c r="E1527" s="3">
        <v>540.863</v>
      </c>
      <c r="F1527" s="4" t="str">
        <f>HYPERLINK("http://141.218.60.56/~jnz1568/getInfo.php?workbook=12_04.xlsx&amp;sheet=A0&amp;row=1527&amp;col=6&amp;number=0.164&amp;sourceID=14","0.164")</f>
        <v>0.164</v>
      </c>
      <c r="G1527" s="4" t="str">
        <f>HYPERLINK("http://141.218.60.56/~jnz1568/getInfo.php?workbook=12_04.xlsx&amp;sheet=A0&amp;row=1527&amp;col=7&amp;number=0&amp;sourceID=14","0")</f>
        <v>0</v>
      </c>
    </row>
    <row r="1528" spans="1:7">
      <c r="A1528" s="3">
        <v>12</v>
      </c>
      <c r="B1528" s="3">
        <v>4</v>
      </c>
      <c r="C1528" s="3">
        <v>43</v>
      </c>
      <c r="D1528" s="3">
        <v>19</v>
      </c>
      <c r="E1528" s="3">
        <v>539.346</v>
      </c>
      <c r="F1528" s="4" t="str">
        <f>HYPERLINK("http://141.218.60.56/~jnz1568/getInfo.php?workbook=12_04.xlsx&amp;sheet=A0&amp;row=1528&amp;col=6&amp;number=1.73e-05&amp;sourceID=14","1.73e-05")</f>
        <v>1.73e-05</v>
      </c>
      <c r="G1528" s="4" t="str">
        <f>HYPERLINK("http://141.218.60.56/~jnz1568/getInfo.php?workbook=12_04.xlsx&amp;sheet=A0&amp;row=1528&amp;col=7&amp;number=0&amp;sourceID=14","0")</f>
        <v>0</v>
      </c>
    </row>
    <row r="1529" spans="1:7">
      <c r="A1529" s="3">
        <v>12</v>
      </c>
      <c r="B1529" s="3">
        <v>4</v>
      </c>
      <c r="C1529" s="3">
        <v>44</v>
      </c>
      <c r="D1529" s="3">
        <v>19</v>
      </c>
      <c r="E1529" s="3">
        <v>-497.016</v>
      </c>
      <c r="F1529" s="4" t="str">
        <f>HYPERLINK("http://141.218.60.56/~jnz1568/getInfo.php?workbook=12_04.xlsx&amp;sheet=A0&amp;row=1529&amp;col=6&amp;number=3.44e-07&amp;sourceID=14","3.44e-07")</f>
        <v>3.44e-07</v>
      </c>
      <c r="G1529" s="4" t="str">
        <f>HYPERLINK("http://141.218.60.56/~jnz1568/getInfo.php?workbook=12_04.xlsx&amp;sheet=A0&amp;row=1529&amp;col=7&amp;number=0&amp;sourceID=14","0")</f>
        <v>0</v>
      </c>
    </row>
    <row r="1530" spans="1:7">
      <c r="A1530" s="3">
        <v>12</v>
      </c>
      <c r="B1530" s="3">
        <v>4</v>
      </c>
      <c r="C1530" s="3">
        <v>45</v>
      </c>
      <c r="D1530" s="3">
        <v>19</v>
      </c>
      <c r="E1530" s="3">
        <v>491.716</v>
      </c>
      <c r="F1530" s="4" t="str">
        <f>HYPERLINK("http://141.218.60.56/~jnz1568/getInfo.php?workbook=12_04.xlsx&amp;sheet=A0&amp;row=1530&amp;col=6&amp;number=2640000&amp;sourceID=14","2640000")</f>
        <v>2640000</v>
      </c>
      <c r="G1530" s="4" t="str">
        <f>HYPERLINK("http://141.218.60.56/~jnz1568/getInfo.php?workbook=12_04.xlsx&amp;sheet=A0&amp;row=1530&amp;col=7&amp;number=0&amp;sourceID=14","0")</f>
        <v>0</v>
      </c>
    </row>
    <row r="1531" spans="1:7">
      <c r="A1531" s="3">
        <v>12</v>
      </c>
      <c r="B1531" s="3">
        <v>4</v>
      </c>
      <c r="C1531" s="3">
        <v>46</v>
      </c>
      <c r="D1531" s="3">
        <v>19</v>
      </c>
      <c r="E1531" s="3">
        <v>475.648</v>
      </c>
      <c r="F1531" s="4" t="str">
        <f>HYPERLINK("http://141.218.60.56/~jnz1568/getInfo.php?workbook=12_04.xlsx&amp;sheet=A0&amp;row=1531&amp;col=6&amp;number=0.249&amp;sourceID=14","0.249")</f>
        <v>0.249</v>
      </c>
      <c r="G1531" s="4" t="str">
        <f>HYPERLINK("http://141.218.60.56/~jnz1568/getInfo.php?workbook=12_04.xlsx&amp;sheet=A0&amp;row=1531&amp;col=7&amp;number=0&amp;sourceID=14","0")</f>
        <v>0</v>
      </c>
    </row>
    <row r="1532" spans="1:7">
      <c r="A1532" s="3">
        <v>12</v>
      </c>
      <c r="B1532" s="3">
        <v>4</v>
      </c>
      <c r="C1532" s="3">
        <v>47</v>
      </c>
      <c r="D1532" s="3">
        <v>19</v>
      </c>
      <c r="E1532" s="3">
        <v>-244.138</v>
      </c>
      <c r="F1532" s="4" t="str">
        <f>HYPERLINK("http://141.218.60.56/~jnz1568/getInfo.php?workbook=12_04.xlsx&amp;sheet=A0&amp;row=1532&amp;col=6&amp;number=294000&amp;sourceID=14","294000")</f>
        <v>294000</v>
      </c>
      <c r="G1532" s="4" t="str">
        <f>HYPERLINK("http://141.218.60.56/~jnz1568/getInfo.php?workbook=12_04.xlsx&amp;sheet=A0&amp;row=1532&amp;col=7&amp;number=0&amp;sourceID=14","0")</f>
        <v>0</v>
      </c>
    </row>
    <row r="1533" spans="1:7">
      <c r="A1533" s="3">
        <v>12</v>
      </c>
      <c r="B1533" s="3">
        <v>4</v>
      </c>
      <c r="C1533" s="3">
        <v>48</v>
      </c>
      <c r="D1533" s="3">
        <v>19</v>
      </c>
      <c r="E1533" s="3">
        <v>-238.28</v>
      </c>
      <c r="F1533" s="4" t="str">
        <f>HYPERLINK("http://141.218.60.56/~jnz1568/getInfo.php?workbook=12_04.xlsx&amp;sheet=A0&amp;row=1533&amp;col=6&amp;number=0.000848&amp;sourceID=14","0.000848")</f>
        <v>0.000848</v>
      </c>
      <c r="G1533" s="4" t="str">
        <f>HYPERLINK("http://141.218.60.56/~jnz1568/getInfo.php?workbook=12_04.xlsx&amp;sheet=A0&amp;row=1533&amp;col=7&amp;number=0&amp;sourceID=14","0")</f>
        <v>0</v>
      </c>
    </row>
    <row r="1534" spans="1:7">
      <c r="A1534" s="3">
        <v>12</v>
      </c>
      <c r="B1534" s="3">
        <v>4</v>
      </c>
      <c r="C1534" s="3">
        <v>49</v>
      </c>
      <c r="D1534" s="3">
        <v>19</v>
      </c>
      <c r="E1534" s="3">
        <v>-230.308</v>
      </c>
      <c r="F1534" s="4" t="str">
        <f>HYPERLINK("http://141.218.60.56/~jnz1568/getInfo.php?workbook=12_04.xlsx&amp;sheet=A0&amp;row=1534&amp;col=6&amp;number=16.9&amp;sourceID=14","16.9")</f>
        <v>16.9</v>
      </c>
      <c r="G1534" s="4" t="str">
        <f>HYPERLINK("http://141.218.60.56/~jnz1568/getInfo.php?workbook=12_04.xlsx&amp;sheet=A0&amp;row=1534&amp;col=7&amp;number=0&amp;sourceID=14","0")</f>
        <v>0</v>
      </c>
    </row>
    <row r="1535" spans="1:7">
      <c r="A1535" s="3">
        <v>12</v>
      </c>
      <c r="B1535" s="3">
        <v>4</v>
      </c>
      <c r="C1535" s="3">
        <v>50</v>
      </c>
      <c r="D1535" s="3">
        <v>19</v>
      </c>
      <c r="E1535" s="3">
        <v>-230.246</v>
      </c>
      <c r="F1535" s="4" t="str">
        <f>HYPERLINK("http://141.218.60.56/~jnz1568/getInfo.php?workbook=12_04.xlsx&amp;sheet=A0&amp;row=1535&amp;col=6&amp;number=11.3&amp;sourceID=14","11.3")</f>
        <v>11.3</v>
      </c>
      <c r="G1535" s="4" t="str">
        <f>HYPERLINK("http://141.218.60.56/~jnz1568/getInfo.php?workbook=12_04.xlsx&amp;sheet=A0&amp;row=1535&amp;col=7&amp;number=0&amp;sourceID=14","0")</f>
        <v>0</v>
      </c>
    </row>
    <row r="1536" spans="1:7">
      <c r="A1536" s="3">
        <v>12</v>
      </c>
      <c r="B1536" s="3">
        <v>4</v>
      </c>
      <c r="C1536" s="3">
        <v>51</v>
      </c>
      <c r="D1536" s="3">
        <v>19</v>
      </c>
      <c r="E1536" s="3">
        <v>-230.108</v>
      </c>
      <c r="F1536" s="4" t="str">
        <f>HYPERLINK("http://141.218.60.56/~jnz1568/getInfo.php?workbook=12_04.xlsx&amp;sheet=A0&amp;row=1536&amp;col=6&amp;number=2340000000&amp;sourceID=14","2340000000")</f>
        <v>2340000000</v>
      </c>
      <c r="G1536" s="4" t="str">
        <f>HYPERLINK("http://141.218.60.56/~jnz1568/getInfo.php?workbook=12_04.xlsx&amp;sheet=A0&amp;row=1536&amp;col=7&amp;number=0&amp;sourceID=14","0")</f>
        <v>0</v>
      </c>
    </row>
    <row r="1537" spans="1:7">
      <c r="A1537" s="3">
        <v>12</v>
      </c>
      <c r="B1537" s="3">
        <v>4</v>
      </c>
      <c r="C1537" s="3">
        <v>52</v>
      </c>
      <c r="D1537" s="3">
        <v>19</v>
      </c>
      <c r="E1537" s="3">
        <v>228.645</v>
      </c>
      <c r="F1537" s="4" t="str">
        <f>HYPERLINK("http://141.218.60.56/~jnz1568/getInfo.php?workbook=12_04.xlsx&amp;sheet=A0&amp;row=1537&amp;col=6&amp;number=3.88&amp;sourceID=14","3.88")</f>
        <v>3.88</v>
      </c>
      <c r="G1537" s="4" t="str">
        <f>HYPERLINK("http://141.218.60.56/~jnz1568/getInfo.php?workbook=12_04.xlsx&amp;sheet=A0&amp;row=1537&amp;col=7&amp;number=0&amp;sourceID=14","0")</f>
        <v>0</v>
      </c>
    </row>
    <row r="1538" spans="1:7">
      <c r="A1538" s="3">
        <v>12</v>
      </c>
      <c r="B1538" s="3">
        <v>4</v>
      </c>
      <c r="C1538" s="3">
        <v>53</v>
      </c>
      <c r="D1538" s="3">
        <v>19</v>
      </c>
      <c r="E1538" s="3">
        <v>222.891</v>
      </c>
      <c r="F1538" s="4" t="str">
        <f>HYPERLINK("http://141.218.60.56/~jnz1568/getInfo.php?workbook=12_04.xlsx&amp;sheet=A0&amp;row=1538&amp;col=6&amp;number=41300&amp;sourceID=14","41300")</f>
        <v>41300</v>
      </c>
      <c r="G1538" s="4" t="str">
        <f>HYPERLINK("http://141.218.60.56/~jnz1568/getInfo.php?workbook=12_04.xlsx&amp;sheet=A0&amp;row=1538&amp;col=7&amp;number=0&amp;sourceID=14","0")</f>
        <v>0</v>
      </c>
    </row>
    <row r="1539" spans="1:7">
      <c r="A1539" s="3">
        <v>12</v>
      </c>
      <c r="B1539" s="3">
        <v>4</v>
      </c>
      <c r="C1539" s="3">
        <v>54</v>
      </c>
      <c r="D1539" s="3">
        <v>19</v>
      </c>
      <c r="E1539" s="3">
        <v>222.891</v>
      </c>
      <c r="F1539" s="4" t="str">
        <f>HYPERLINK("http://141.218.60.56/~jnz1568/getInfo.php?workbook=12_04.xlsx&amp;sheet=A0&amp;row=1539&amp;col=6&amp;number=248000&amp;sourceID=14","248000")</f>
        <v>248000</v>
      </c>
      <c r="G1539" s="4" t="str">
        <f>HYPERLINK("http://141.218.60.56/~jnz1568/getInfo.php?workbook=12_04.xlsx&amp;sheet=A0&amp;row=1539&amp;col=7&amp;number=0&amp;sourceID=14","0")</f>
        <v>0</v>
      </c>
    </row>
    <row r="1540" spans="1:7">
      <c r="A1540" s="3">
        <v>12</v>
      </c>
      <c r="B1540" s="3">
        <v>4</v>
      </c>
      <c r="C1540" s="3">
        <v>55</v>
      </c>
      <c r="D1540" s="3">
        <v>19</v>
      </c>
      <c r="E1540" s="3">
        <v>222.852</v>
      </c>
      <c r="F1540" s="4" t="str">
        <f>HYPERLINK("http://141.218.60.56/~jnz1568/getInfo.php?workbook=12_04.xlsx&amp;sheet=A0&amp;row=1540&amp;col=6&amp;number=425000&amp;sourceID=14","425000")</f>
        <v>425000</v>
      </c>
      <c r="G1540" s="4" t="str">
        <f>HYPERLINK("http://141.218.60.56/~jnz1568/getInfo.php?workbook=12_04.xlsx&amp;sheet=A0&amp;row=1540&amp;col=7&amp;number=0&amp;sourceID=14","0")</f>
        <v>0</v>
      </c>
    </row>
    <row r="1541" spans="1:7">
      <c r="A1541" s="3">
        <v>12</v>
      </c>
      <c r="B1541" s="3">
        <v>4</v>
      </c>
      <c r="C1541" s="3">
        <v>56</v>
      </c>
      <c r="D1541" s="3">
        <v>19</v>
      </c>
      <c r="E1541" s="3">
        <v>219.025</v>
      </c>
      <c r="F1541" s="4" t="str">
        <f>HYPERLINK("http://141.218.60.56/~jnz1568/getInfo.php?workbook=12_04.xlsx&amp;sheet=A0&amp;row=1541&amp;col=6&amp;number=9.88&amp;sourceID=14","9.88")</f>
        <v>9.88</v>
      </c>
      <c r="G1541" s="4" t="str">
        <f>HYPERLINK("http://141.218.60.56/~jnz1568/getInfo.php?workbook=12_04.xlsx&amp;sheet=A0&amp;row=1541&amp;col=7&amp;number=0&amp;sourceID=14","0")</f>
        <v>0</v>
      </c>
    </row>
    <row r="1542" spans="1:7">
      <c r="A1542" s="3">
        <v>12</v>
      </c>
      <c r="B1542" s="3">
        <v>4</v>
      </c>
      <c r="C1542" s="3">
        <v>57</v>
      </c>
      <c r="D1542" s="3">
        <v>19</v>
      </c>
      <c r="E1542" s="3">
        <v>-218.704</v>
      </c>
      <c r="F1542" s="4" t="str">
        <f>HYPERLINK("http://141.218.60.56/~jnz1568/getInfo.php?workbook=12_04.xlsx&amp;sheet=A0&amp;row=1542&amp;col=6&amp;number=426000000&amp;sourceID=14","426000000")</f>
        <v>426000000</v>
      </c>
      <c r="G1542" s="4" t="str">
        <f>HYPERLINK("http://141.218.60.56/~jnz1568/getInfo.php?workbook=12_04.xlsx&amp;sheet=A0&amp;row=1542&amp;col=7&amp;number=0&amp;sourceID=14","0")</f>
        <v>0</v>
      </c>
    </row>
    <row r="1543" spans="1:7">
      <c r="A1543" s="3">
        <v>12</v>
      </c>
      <c r="B1543" s="3">
        <v>4</v>
      </c>
      <c r="C1543" s="3">
        <v>58</v>
      </c>
      <c r="D1543" s="3">
        <v>19</v>
      </c>
      <c r="E1543" s="3">
        <v>-218.69</v>
      </c>
      <c r="F1543" s="4" t="str">
        <f>HYPERLINK("http://141.218.60.56/~jnz1568/getInfo.php?workbook=12_04.xlsx&amp;sheet=A0&amp;row=1543&amp;col=6&amp;number=10600000000&amp;sourceID=14","10600000000")</f>
        <v>10600000000</v>
      </c>
      <c r="G1543" s="4" t="str">
        <f>HYPERLINK("http://141.218.60.56/~jnz1568/getInfo.php?workbook=12_04.xlsx&amp;sheet=A0&amp;row=1543&amp;col=7&amp;number=0&amp;sourceID=14","0")</f>
        <v>0</v>
      </c>
    </row>
    <row r="1544" spans="1:7">
      <c r="A1544" s="3">
        <v>12</v>
      </c>
      <c r="B1544" s="3">
        <v>4</v>
      </c>
      <c r="C1544" s="3">
        <v>59</v>
      </c>
      <c r="D1544" s="3">
        <v>19</v>
      </c>
      <c r="E1544" s="3">
        <v>-218.672</v>
      </c>
      <c r="F1544" s="4" t="str">
        <f>HYPERLINK("http://141.218.60.56/~jnz1568/getInfo.php?workbook=12_04.xlsx&amp;sheet=A0&amp;row=1544&amp;col=6&amp;number=95900000000&amp;sourceID=14","95900000000")</f>
        <v>95900000000</v>
      </c>
      <c r="G1544" s="4" t="str">
        <f>HYPERLINK("http://141.218.60.56/~jnz1568/getInfo.php?workbook=12_04.xlsx&amp;sheet=A0&amp;row=1544&amp;col=7&amp;number=0&amp;sourceID=14","0")</f>
        <v>0</v>
      </c>
    </row>
    <row r="1545" spans="1:7">
      <c r="A1545" s="3">
        <v>12</v>
      </c>
      <c r="B1545" s="3">
        <v>4</v>
      </c>
      <c r="C1545" s="3">
        <v>60</v>
      </c>
      <c r="D1545" s="3">
        <v>19</v>
      </c>
      <c r="E1545" s="3">
        <v>-217.471</v>
      </c>
      <c r="F1545" s="4" t="str">
        <f>HYPERLINK("http://141.218.60.56/~jnz1568/getInfo.php?workbook=12_04.xlsx&amp;sheet=A0&amp;row=1545&amp;col=6&amp;number=677000&amp;sourceID=14","677000")</f>
        <v>677000</v>
      </c>
      <c r="G1545" s="4" t="str">
        <f>HYPERLINK("http://141.218.60.56/~jnz1568/getInfo.php?workbook=12_04.xlsx&amp;sheet=A0&amp;row=1545&amp;col=7&amp;number=0&amp;sourceID=14","0")</f>
        <v>0</v>
      </c>
    </row>
    <row r="1546" spans="1:7">
      <c r="A1546" s="3">
        <v>12</v>
      </c>
      <c r="B1546" s="3">
        <v>4</v>
      </c>
      <c r="C1546" s="3">
        <v>61</v>
      </c>
      <c r="D1546" s="3">
        <v>19</v>
      </c>
      <c r="E1546" s="3">
        <v>-173.75</v>
      </c>
      <c r="F1546" s="4" t="str">
        <f>HYPERLINK("http://141.218.60.56/~jnz1568/getInfo.php?workbook=12_04.xlsx&amp;sheet=A0&amp;row=1546&amp;col=6&amp;number=1.12&amp;sourceID=14","1.12")</f>
        <v>1.12</v>
      </c>
      <c r="G1546" s="4" t="str">
        <f>HYPERLINK("http://141.218.60.56/~jnz1568/getInfo.php?workbook=12_04.xlsx&amp;sheet=A0&amp;row=1546&amp;col=7&amp;number=0&amp;sourceID=14","0")</f>
        <v>0</v>
      </c>
    </row>
    <row r="1547" spans="1:7">
      <c r="A1547" s="3">
        <v>12</v>
      </c>
      <c r="B1547" s="3">
        <v>4</v>
      </c>
      <c r="C1547" s="3">
        <v>62</v>
      </c>
      <c r="D1547" s="3">
        <v>19</v>
      </c>
      <c r="E1547" s="3">
        <v>-173.473</v>
      </c>
      <c r="F1547" s="4" t="str">
        <f>HYPERLINK("http://141.218.60.56/~jnz1568/getInfo.php?workbook=12_04.xlsx&amp;sheet=A0&amp;row=1547&amp;col=6&amp;number=0.991&amp;sourceID=14","0.991")</f>
        <v>0.991</v>
      </c>
      <c r="G1547" s="4" t="str">
        <f>HYPERLINK("http://141.218.60.56/~jnz1568/getInfo.php?workbook=12_04.xlsx&amp;sheet=A0&amp;row=1547&amp;col=7&amp;number=0&amp;sourceID=14","0")</f>
        <v>0</v>
      </c>
    </row>
    <row r="1548" spans="1:7">
      <c r="A1548" s="3">
        <v>12</v>
      </c>
      <c r="B1548" s="3">
        <v>4</v>
      </c>
      <c r="C1548" s="3">
        <v>63</v>
      </c>
      <c r="D1548" s="3">
        <v>19</v>
      </c>
      <c r="E1548" s="3">
        <v>-172.581</v>
      </c>
      <c r="F1548" s="4" t="str">
        <f>HYPERLINK("http://141.218.60.56/~jnz1568/getInfo.php?workbook=12_04.xlsx&amp;sheet=A0&amp;row=1548&amp;col=6&amp;number=41600000&amp;sourceID=14","41600000")</f>
        <v>41600000</v>
      </c>
      <c r="G1548" s="4" t="str">
        <f>HYPERLINK("http://141.218.60.56/~jnz1568/getInfo.php?workbook=12_04.xlsx&amp;sheet=A0&amp;row=1548&amp;col=7&amp;number=0&amp;sourceID=14","0")</f>
        <v>0</v>
      </c>
    </row>
    <row r="1549" spans="1:7">
      <c r="A1549" s="3">
        <v>12</v>
      </c>
      <c r="B1549" s="3">
        <v>4</v>
      </c>
      <c r="C1549" s="3">
        <v>64</v>
      </c>
      <c r="D1549" s="3">
        <v>19</v>
      </c>
      <c r="E1549" s="3">
        <v>-170.743</v>
      </c>
      <c r="F1549" s="4" t="str">
        <f>HYPERLINK("http://141.218.60.56/~jnz1568/getInfo.php?workbook=12_04.xlsx&amp;sheet=A0&amp;row=1549&amp;col=6&amp;number=0.577&amp;sourceID=14","0.577")</f>
        <v>0.577</v>
      </c>
      <c r="G1549" s="4" t="str">
        <f>HYPERLINK("http://141.218.60.56/~jnz1568/getInfo.php?workbook=12_04.xlsx&amp;sheet=A0&amp;row=1549&amp;col=7&amp;number=0&amp;sourceID=14","0")</f>
        <v>0</v>
      </c>
    </row>
    <row r="1550" spans="1:7">
      <c r="A1550" s="3">
        <v>12</v>
      </c>
      <c r="B1550" s="3">
        <v>4</v>
      </c>
      <c r="C1550" s="3">
        <v>65</v>
      </c>
      <c r="D1550" s="3">
        <v>19</v>
      </c>
      <c r="E1550" s="3">
        <v>-168.576</v>
      </c>
      <c r="F1550" s="4" t="str">
        <f>HYPERLINK("http://141.218.60.56/~jnz1568/getInfo.php?workbook=12_04.xlsx&amp;sheet=A0&amp;row=1550&amp;col=6&amp;number=267&amp;sourceID=14","267")</f>
        <v>267</v>
      </c>
      <c r="G1550" s="4" t="str">
        <f>HYPERLINK("http://141.218.60.56/~jnz1568/getInfo.php?workbook=12_04.xlsx&amp;sheet=A0&amp;row=1550&amp;col=7&amp;number=0&amp;sourceID=14","0")</f>
        <v>0</v>
      </c>
    </row>
    <row r="1551" spans="1:7">
      <c r="A1551" s="3">
        <v>12</v>
      </c>
      <c r="B1551" s="3">
        <v>4</v>
      </c>
      <c r="C1551" s="3">
        <v>66</v>
      </c>
      <c r="D1551" s="3">
        <v>19</v>
      </c>
      <c r="E1551" s="3">
        <v>-167.854</v>
      </c>
      <c r="F1551" s="4" t="str">
        <f>HYPERLINK("http://141.218.60.56/~jnz1568/getInfo.php?workbook=12_04.xlsx&amp;sheet=A0&amp;row=1551&amp;col=6&amp;number=3850&amp;sourceID=14","3850")</f>
        <v>3850</v>
      </c>
      <c r="G1551" s="4" t="str">
        <f>HYPERLINK("http://141.218.60.56/~jnz1568/getInfo.php?workbook=12_04.xlsx&amp;sheet=A0&amp;row=1551&amp;col=7&amp;number=0&amp;sourceID=14","0")</f>
        <v>0</v>
      </c>
    </row>
    <row r="1552" spans="1:7">
      <c r="A1552" s="3">
        <v>12</v>
      </c>
      <c r="B1552" s="3">
        <v>4</v>
      </c>
      <c r="C1552" s="3">
        <v>67</v>
      </c>
      <c r="D1552" s="3">
        <v>19</v>
      </c>
      <c r="E1552" s="3">
        <v>-167.727</v>
      </c>
      <c r="F1552" s="4" t="str">
        <f>HYPERLINK("http://141.218.60.56/~jnz1568/getInfo.php?workbook=12_04.xlsx&amp;sheet=A0&amp;row=1552&amp;col=6&amp;number=4790&amp;sourceID=14","4790")</f>
        <v>4790</v>
      </c>
      <c r="G1552" s="4" t="str">
        <f>HYPERLINK("http://141.218.60.56/~jnz1568/getInfo.php?workbook=12_04.xlsx&amp;sheet=A0&amp;row=1552&amp;col=7&amp;number=0&amp;sourceID=14","0")</f>
        <v>0</v>
      </c>
    </row>
    <row r="1553" spans="1:7">
      <c r="A1553" s="3">
        <v>12</v>
      </c>
      <c r="B1553" s="3">
        <v>4</v>
      </c>
      <c r="C1553" s="3">
        <v>68</v>
      </c>
      <c r="D1553" s="3">
        <v>19</v>
      </c>
      <c r="E1553" s="3">
        <v>167.11</v>
      </c>
      <c r="F1553" s="4" t="str">
        <f>HYPERLINK("http://141.218.60.56/~jnz1568/getInfo.php?workbook=12_04.xlsx&amp;sheet=A0&amp;row=1553&amp;col=6&amp;number=8050&amp;sourceID=14","8050")</f>
        <v>8050</v>
      </c>
      <c r="G1553" s="4" t="str">
        <f>HYPERLINK("http://141.218.60.56/~jnz1568/getInfo.php?workbook=12_04.xlsx&amp;sheet=A0&amp;row=1553&amp;col=7&amp;number=0&amp;sourceID=14","0")</f>
        <v>0</v>
      </c>
    </row>
    <row r="1554" spans="1:7">
      <c r="A1554" s="3">
        <v>12</v>
      </c>
      <c r="B1554" s="3">
        <v>4</v>
      </c>
      <c r="C1554" s="3">
        <v>69</v>
      </c>
      <c r="D1554" s="3">
        <v>19</v>
      </c>
      <c r="E1554" s="3">
        <v>-166.239</v>
      </c>
      <c r="F1554" s="4" t="str">
        <f>HYPERLINK("http://141.218.60.56/~jnz1568/getInfo.php?workbook=12_04.xlsx&amp;sheet=A0&amp;row=1554&amp;col=6&amp;number=53600&amp;sourceID=14","53600")</f>
        <v>53600</v>
      </c>
      <c r="G1554" s="4" t="str">
        <f>HYPERLINK("http://141.218.60.56/~jnz1568/getInfo.php?workbook=12_04.xlsx&amp;sheet=A0&amp;row=1554&amp;col=7&amp;number=0&amp;sourceID=14","0")</f>
        <v>0</v>
      </c>
    </row>
    <row r="1555" spans="1:7">
      <c r="A1555" s="3">
        <v>12</v>
      </c>
      <c r="B1555" s="3">
        <v>4</v>
      </c>
      <c r="C1555" s="3">
        <v>70</v>
      </c>
      <c r="D1555" s="3">
        <v>19</v>
      </c>
      <c r="E1555" s="3">
        <v>-166.065</v>
      </c>
      <c r="F1555" s="4" t="str">
        <f>HYPERLINK("http://141.218.60.56/~jnz1568/getInfo.php?workbook=12_04.xlsx&amp;sheet=A0&amp;row=1555&amp;col=6&amp;number=7.45e-06&amp;sourceID=14","7.45e-06")</f>
        <v>7.45e-06</v>
      </c>
      <c r="G1555" s="4" t="str">
        <f>HYPERLINK("http://141.218.60.56/~jnz1568/getInfo.php?workbook=12_04.xlsx&amp;sheet=A0&amp;row=1555&amp;col=7&amp;number=0&amp;sourceID=14","0")</f>
        <v>0</v>
      </c>
    </row>
    <row r="1556" spans="1:7">
      <c r="A1556" s="3">
        <v>12</v>
      </c>
      <c r="B1556" s="3">
        <v>4</v>
      </c>
      <c r="C1556" s="3">
        <v>71</v>
      </c>
      <c r="D1556" s="3">
        <v>19</v>
      </c>
      <c r="E1556" s="3">
        <v>-165.534</v>
      </c>
      <c r="F1556" s="4" t="str">
        <f>HYPERLINK("http://141.218.60.56/~jnz1568/getInfo.php?workbook=12_04.xlsx&amp;sheet=A0&amp;row=1556&amp;col=6&amp;number=20500&amp;sourceID=14","20500")</f>
        <v>20500</v>
      </c>
      <c r="G1556" s="4" t="str">
        <f>HYPERLINK("http://141.218.60.56/~jnz1568/getInfo.php?workbook=12_04.xlsx&amp;sheet=A0&amp;row=1556&amp;col=7&amp;number=0&amp;sourceID=14","0")</f>
        <v>0</v>
      </c>
    </row>
    <row r="1557" spans="1:7">
      <c r="A1557" s="3">
        <v>12</v>
      </c>
      <c r="B1557" s="3">
        <v>4</v>
      </c>
      <c r="C1557" s="3">
        <v>72</v>
      </c>
      <c r="D1557" s="3">
        <v>19</v>
      </c>
      <c r="E1557" s="3">
        <v>165.555</v>
      </c>
      <c r="F1557" s="4" t="str">
        <f>HYPERLINK("http://141.218.60.56/~jnz1568/getInfo.php?workbook=12_04.xlsx&amp;sheet=A0&amp;row=1557&amp;col=6&amp;number=143&amp;sourceID=14","143")</f>
        <v>143</v>
      </c>
      <c r="G1557" s="4" t="str">
        <f>HYPERLINK("http://141.218.60.56/~jnz1568/getInfo.php?workbook=12_04.xlsx&amp;sheet=A0&amp;row=1557&amp;col=7&amp;number=0&amp;sourceID=14","0")</f>
        <v>0</v>
      </c>
    </row>
    <row r="1558" spans="1:7">
      <c r="A1558" s="3">
        <v>12</v>
      </c>
      <c r="B1558" s="3">
        <v>4</v>
      </c>
      <c r="C1558" s="3">
        <v>73</v>
      </c>
      <c r="D1558" s="3">
        <v>19</v>
      </c>
      <c r="E1558" s="3">
        <v>-164.58</v>
      </c>
      <c r="F1558" s="4" t="str">
        <f>HYPERLINK("http://141.218.60.56/~jnz1568/getInfo.php?workbook=12_04.xlsx&amp;sheet=A0&amp;row=1558&amp;col=6&amp;number=510000&amp;sourceID=14","510000")</f>
        <v>510000</v>
      </c>
      <c r="G1558" s="4" t="str">
        <f>HYPERLINK("http://141.218.60.56/~jnz1568/getInfo.php?workbook=12_04.xlsx&amp;sheet=A0&amp;row=1558&amp;col=7&amp;number=0&amp;sourceID=14","0")</f>
        <v>0</v>
      </c>
    </row>
    <row r="1559" spans="1:7">
      <c r="A1559" s="3">
        <v>12</v>
      </c>
      <c r="B1559" s="3">
        <v>4</v>
      </c>
      <c r="C1559" s="3">
        <v>74</v>
      </c>
      <c r="D1559" s="3">
        <v>19</v>
      </c>
      <c r="E1559" s="3">
        <v>-164.064</v>
      </c>
      <c r="F1559" s="4" t="str">
        <f>HYPERLINK("http://141.218.60.56/~jnz1568/getInfo.php?workbook=12_04.xlsx&amp;sheet=A0&amp;row=1559&amp;col=6&amp;number=40300000&amp;sourceID=14","40300000")</f>
        <v>40300000</v>
      </c>
      <c r="G1559" s="4" t="str">
        <f>HYPERLINK("http://141.218.60.56/~jnz1568/getInfo.php?workbook=12_04.xlsx&amp;sheet=A0&amp;row=1559&amp;col=7&amp;number=0&amp;sourceID=14","0")</f>
        <v>0</v>
      </c>
    </row>
    <row r="1560" spans="1:7">
      <c r="A1560" s="3">
        <v>12</v>
      </c>
      <c r="B1560" s="3">
        <v>4</v>
      </c>
      <c r="C1560" s="3">
        <v>75</v>
      </c>
      <c r="D1560" s="3">
        <v>19</v>
      </c>
      <c r="E1560" s="3">
        <v>163.964</v>
      </c>
      <c r="F1560" s="4" t="str">
        <f>HYPERLINK("http://141.218.60.56/~jnz1568/getInfo.php?workbook=12_04.xlsx&amp;sheet=A0&amp;row=1560&amp;col=6&amp;number=35800000&amp;sourceID=14","35800000")</f>
        <v>35800000</v>
      </c>
      <c r="G1560" s="4" t="str">
        <f>HYPERLINK("http://141.218.60.56/~jnz1568/getInfo.php?workbook=12_04.xlsx&amp;sheet=A0&amp;row=1560&amp;col=7&amp;number=0&amp;sourceID=14","0")</f>
        <v>0</v>
      </c>
    </row>
    <row r="1561" spans="1:7">
      <c r="A1561" s="3">
        <v>12</v>
      </c>
      <c r="B1561" s="3">
        <v>4</v>
      </c>
      <c r="C1561" s="3">
        <v>76</v>
      </c>
      <c r="D1561" s="3">
        <v>19</v>
      </c>
      <c r="E1561" s="3">
        <v>163.999</v>
      </c>
      <c r="F1561" s="4" t="str">
        <f>HYPERLINK("http://141.218.60.56/~jnz1568/getInfo.php?workbook=12_04.xlsx&amp;sheet=A0&amp;row=1561&amp;col=6&amp;number=114&amp;sourceID=14","114")</f>
        <v>114</v>
      </c>
      <c r="G1561" s="4" t="str">
        <f>HYPERLINK("http://141.218.60.56/~jnz1568/getInfo.php?workbook=12_04.xlsx&amp;sheet=A0&amp;row=1561&amp;col=7&amp;number=0&amp;sourceID=14","0")</f>
        <v>0</v>
      </c>
    </row>
    <row r="1562" spans="1:7">
      <c r="A1562" s="3">
        <v>12</v>
      </c>
      <c r="B1562" s="3">
        <v>4</v>
      </c>
      <c r="C1562" s="3">
        <v>77</v>
      </c>
      <c r="D1562" s="3">
        <v>19</v>
      </c>
      <c r="E1562" s="3">
        <v>-163.481</v>
      </c>
      <c r="F1562" s="4" t="str">
        <f>HYPERLINK("http://141.218.60.56/~jnz1568/getInfo.php?workbook=12_04.xlsx&amp;sheet=A0&amp;row=1562&amp;col=6&amp;number=429000000&amp;sourceID=14","429000000")</f>
        <v>429000000</v>
      </c>
      <c r="G1562" s="4" t="str">
        <f>HYPERLINK("http://141.218.60.56/~jnz1568/getInfo.php?workbook=12_04.xlsx&amp;sheet=A0&amp;row=1562&amp;col=7&amp;number=0&amp;sourceID=14","0")</f>
        <v>0</v>
      </c>
    </row>
    <row r="1563" spans="1:7">
      <c r="A1563" s="3">
        <v>12</v>
      </c>
      <c r="B1563" s="3">
        <v>4</v>
      </c>
      <c r="C1563" s="3">
        <v>78</v>
      </c>
      <c r="D1563" s="3">
        <v>19</v>
      </c>
      <c r="E1563" s="3">
        <v>-162.681</v>
      </c>
      <c r="F1563" s="4" t="str">
        <f>HYPERLINK("http://141.218.60.56/~jnz1568/getInfo.php?workbook=12_04.xlsx&amp;sheet=A0&amp;row=1563&amp;col=6&amp;number=0.226&amp;sourceID=14","0.226")</f>
        <v>0.226</v>
      </c>
      <c r="G1563" s="4" t="str">
        <f>HYPERLINK("http://141.218.60.56/~jnz1568/getInfo.php?workbook=12_04.xlsx&amp;sheet=A0&amp;row=1563&amp;col=7&amp;number=0&amp;sourceID=14","0")</f>
        <v>0</v>
      </c>
    </row>
    <row r="1564" spans="1:7">
      <c r="A1564" s="3">
        <v>12</v>
      </c>
      <c r="B1564" s="3">
        <v>4</v>
      </c>
      <c r="C1564" s="3">
        <v>79</v>
      </c>
      <c r="D1564" s="3">
        <v>19</v>
      </c>
      <c r="E1564" s="3">
        <v>-162.518</v>
      </c>
      <c r="F1564" s="4" t="str">
        <f>HYPERLINK("http://141.218.60.56/~jnz1568/getInfo.php?workbook=12_04.xlsx&amp;sheet=A0&amp;row=1564&amp;col=6&amp;number=142000000&amp;sourceID=14","142000000")</f>
        <v>142000000</v>
      </c>
      <c r="G1564" s="4" t="str">
        <f>HYPERLINK("http://141.218.60.56/~jnz1568/getInfo.php?workbook=12_04.xlsx&amp;sheet=A0&amp;row=1564&amp;col=7&amp;number=0&amp;sourceID=14","0")</f>
        <v>0</v>
      </c>
    </row>
    <row r="1565" spans="1:7">
      <c r="A1565" s="3">
        <v>12</v>
      </c>
      <c r="B1565" s="3">
        <v>4</v>
      </c>
      <c r="C1565" s="3">
        <v>80</v>
      </c>
      <c r="D1565" s="3">
        <v>19</v>
      </c>
      <c r="E1565" s="3">
        <v>-162.191</v>
      </c>
      <c r="F1565" s="4" t="str">
        <f>HYPERLINK("http://141.218.60.56/~jnz1568/getInfo.php?workbook=12_04.xlsx&amp;sheet=A0&amp;row=1565&amp;col=6&amp;number=0.0338&amp;sourceID=14","0.0338")</f>
        <v>0.0338</v>
      </c>
      <c r="G1565" s="4" t="str">
        <f>HYPERLINK("http://141.218.60.56/~jnz1568/getInfo.php?workbook=12_04.xlsx&amp;sheet=A0&amp;row=1565&amp;col=7&amp;number=0&amp;sourceID=14","0")</f>
        <v>0</v>
      </c>
    </row>
    <row r="1566" spans="1:7">
      <c r="A1566" s="3">
        <v>12</v>
      </c>
      <c r="B1566" s="3">
        <v>4</v>
      </c>
      <c r="C1566" s="3">
        <v>81</v>
      </c>
      <c r="D1566" s="3">
        <v>19</v>
      </c>
      <c r="E1566" s="3">
        <v>162.093</v>
      </c>
      <c r="F1566" s="4" t="str">
        <f>HYPERLINK("http://141.218.60.56/~jnz1568/getInfo.php?workbook=12_04.xlsx&amp;sheet=A0&amp;row=1566&amp;col=6&amp;number=11000000&amp;sourceID=14","11000000")</f>
        <v>11000000</v>
      </c>
      <c r="G1566" s="4" t="str">
        <f>HYPERLINK("http://141.218.60.56/~jnz1568/getInfo.php?workbook=12_04.xlsx&amp;sheet=A0&amp;row=1566&amp;col=7&amp;number=0&amp;sourceID=14","0")</f>
        <v>0</v>
      </c>
    </row>
    <row r="1567" spans="1:7">
      <c r="A1567" s="3">
        <v>12</v>
      </c>
      <c r="B1567" s="3">
        <v>4</v>
      </c>
      <c r="C1567" s="3">
        <v>82</v>
      </c>
      <c r="D1567" s="3">
        <v>19</v>
      </c>
      <c r="E1567" s="3">
        <v>-162.096</v>
      </c>
      <c r="F1567" s="4" t="str">
        <f>HYPERLINK("http://141.218.60.56/~jnz1568/getInfo.php?workbook=12_04.xlsx&amp;sheet=A0&amp;row=1567&amp;col=6&amp;number=26.3&amp;sourceID=14","26.3")</f>
        <v>26.3</v>
      </c>
      <c r="G1567" s="4" t="str">
        <f>HYPERLINK("http://141.218.60.56/~jnz1568/getInfo.php?workbook=12_04.xlsx&amp;sheet=A0&amp;row=1567&amp;col=7&amp;number=0&amp;sourceID=14","0")</f>
        <v>0</v>
      </c>
    </row>
    <row r="1568" spans="1:7">
      <c r="A1568" s="3">
        <v>12</v>
      </c>
      <c r="B1568" s="3">
        <v>4</v>
      </c>
      <c r="C1568" s="3">
        <v>83</v>
      </c>
      <c r="D1568" s="3">
        <v>19</v>
      </c>
      <c r="E1568" s="3">
        <v>-162.094</v>
      </c>
      <c r="F1568" s="4" t="str">
        <f>HYPERLINK("http://141.218.60.56/~jnz1568/getInfo.php?workbook=12_04.xlsx&amp;sheet=A0&amp;row=1568&amp;col=6&amp;number=136&amp;sourceID=14","136")</f>
        <v>136</v>
      </c>
      <c r="G1568" s="4" t="str">
        <f>HYPERLINK("http://141.218.60.56/~jnz1568/getInfo.php?workbook=12_04.xlsx&amp;sheet=A0&amp;row=1568&amp;col=7&amp;number=0&amp;sourceID=14","0")</f>
        <v>0</v>
      </c>
    </row>
    <row r="1569" spans="1:7">
      <c r="A1569" s="3">
        <v>12</v>
      </c>
      <c r="B1569" s="3">
        <v>4</v>
      </c>
      <c r="C1569" s="3">
        <v>84</v>
      </c>
      <c r="D1569" s="3">
        <v>19</v>
      </c>
      <c r="E1569" s="3">
        <v>-162.009</v>
      </c>
      <c r="F1569" s="4" t="str">
        <f>HYPERLINK("http://141.218.60.56/~jnz1568/getInfo.php?workbook=12_04.xlsx&amp;sheet=A0&amp;row=1569&amp;col=6&amp;number=759&amp;sourceID=14","759")</f>
        <v>759</v>
      </c>
      <c r="G1569" s="4" t="str">
        <f>HYPERLINK("http://141.218.60.56/~jnz1568/getInfo.php?workbook=12_04.xlsx&amp;sheet=A0&amp;row=1569&amp;col=7&amp;number=0&amp;sourceID=14","0")</f>
        <v>0</v>
      </c>
    </row>
    <row r="1570" spans="1:7">
      <c r="A1570" s="3">
        <v>12</v>
      </c>
      <c r="B1570" s="3">
        <v>4</v>
      </c>
      <c r="C1570" s="3">
        <v>85</v>
      </c>
      <c r="D1570" s="3">
        <v>19</v>
      </c>
      <c r="E1570" s="3">
        <v>161.779</v>
      </c>
      <c r="F1570" s="4" t="str">
        <f>HYPERLINK("http://141.218.60.56/~jnz1568/getInfo.php?workbook=12_04.xlsx&amp;sheet=A0&amp;row=1570&amp;col=6&amp;number=821000000&amp;sourceID=14","821000000")</f>
        <v>821000000</v>
      </c>
      <c r="G1570" s="4" t="str">
        <f>HYPERLINK("http://141.218.60.56/~jnz1568/getInfo.php?workbook=12_04.xlsx&amp;sheet=A0&amp;row=1570&amp;col=7&amp;number=0&amp;sourceID=14","0")</f>
        <v>0</v>
      </c>
    </row>
    <row r="1571" spans="1:7">
      <c r="A1571" s="3">
        <v>12</v>
      </c>
      <c r="B1571" s="3">
        <v>4</v>
      </c>
      <c r="C1571" s="3">
        <v>86</v>
      </c>
      <c r="D1571" s="3">
        <v>19</v>
      </c>
      <c r="E1571" s="3">
        <v>161.643</v>
      </c>
      <c r="F1571" s="4" t="str">
        <f>HYPERLINK("http://141.218.60.56/~jnz1568/getInfo.php?workbook=12_04.xlsx&amp;sheet=A0&amp;row=1571&amp;col=6&amp;number=3.43&amp;sourceID=14","3.43")</f>
        <v>3.43</v>
      </c>
      <c r="G1571" s="4" t="str">
        <f>HYPERLINK("http://141.218.60.56/~jnz1568/getInfo.php?workbook=12_04.xlsx&amp;sheet=A0&amp;row=1571&amp;col=7&amp;number=0&amp;sourceID=14","0")</f>
        <v>0</v>
      </c>
    </row>
    <row r="1572" spans="1:7">
      <c r="A1572" s="3">
        <v>12</v>
      </c>
      <c r="B1572" s="3">
        <v>4</v>
      </c>
      <c r="C1572" s="3">
        <v>87</v>
      </c>
      <c r="D1572" s="3">
        <v>19</v>
      </c>
      <c r="E1572" s="3">
        <v>-161.374</v>
      </c>
      <c r="F1572" s="4" t="str">
        <f>HYPERLINK("http://141.218.60.56/~jnz1568/getInfo.php?workbook=12_04.xlsx&amp;sheet=A0&amp;row=1572&amp;col=6&amp;number=5.52&amp;sourceID=14","5.52")</f>
        <v>5.52</v>
      </c>
      <c r="G1572" s="4" t="str">
        <f>HYPERLINK("http://141.218.60.56/~jnz1568/getInfo.php?workbook=12_04.xlsx&amp;sheet=A0&amp;row=1572&amp;col=7&amp;number=0&amp;sourceID=14","0")</f>
        <v>0</v>
      </c>
    </row>
    <row r="1573" spans="1:7">
      <c r="A1573" s="3">
        <v>12</v>
      </c>
      <c r="B1573" s="3">
        <v>4</v>
      </c>
      <c r="C1573" s="3">
        <v>88</v>
      </c>
      <c r="D1573" s="3">
        <v>19</v>
      </c>
      <c r="E1573" s="3">
        <v>-161.17</v>
      </c>
      <c r="F1573" s="4" t="str">
        <f>HYPERLINK("http://141.218.60.56/~jnz1568/getInfo.php?workbook=12_04.xlsx&amp;sheet=A0&amp;row=1573&amp;col=6&amp;number=5860&amp;sourceID=14","5860")</f>
        <v>5860</v>
      </c>
      <c r="G1573" s="4" t="str">
        <f>HYPERLINK("http://141.218.60.56/~jnz1568/getInfo.php?workbook=12_04.xlsx&amp;sheet=A0&amp;row=1573&amp;col=7&amp;number=0&amp;sourceID=14","0")</f>
        <v>0</v>
      </c>
    </row>
    <row r="1574" spans="1:7">
      <c r="A1574" s="3">
        <v>12</v>
      </c>
      <c r="B1574" s="3">
        <v>4</v>
      </c>
      <c r="C1574" s="3">
        <v>89</v>
      </c>
      <c r="D1574" s="3">
        <v>19</v>
      </c>
      <c r="E1574" s="3">
        <v>-161.05</v>
      </c>
      <c r="F1574" s="4" t="str">
        <f>HYPERLINK("http://141.218.60.56/~jnz1568/getInfo.php?workbook=12_04.xlsx&amp;sheet=A0&amp;row=1574&amp;col=6&amp;number=53300&amp;sourceID=14","53300")</f>
        <v>53300</v>
      </c>
      <c r="G1574" s="4" t="str">
        <f>HYPERLINK("http://141.218.60.56/~jnz1568/getInfo.php?workbook=12_04.xlsx&amp;sheet=A0&amp;row=1574&amp;col=7&amp;number=0&amp;sourceID=14","0")</f>
        <v>0</v>
      </c>
    </row>
    <row r="1575" spans="1:7">
      <c r="A1575" s="3">
        <v>12</v>
      </c>
      <c r="B1575" s="3">
        <v>4</v>
      </c>
      <c r="C1575" s="3">
        <v>90</v>
      </c>
      <c r="D1575" s="3">
        <v>19</v>
      </c>
      <c r="E1575" s="3">
        <v>-160.694</v>
      </c>
      <c r="F1575" s="4" t="str">
        <f>HYPERLINK("http://141.218.60.56/~jnz1568/getInfo.php?workbook=12_04.xlsx&amp;sheet=A0&amp;row=1575&amp;col=6&amp;number=239000&amp;sourceID=14","239000")</f>
        <v>239000</v>
      </c>
      <c r="G1575" s="4" t="str">
        <f>HYPERLINK("http://141.218.60.56/~jnz1568/getInfo.php?workbook=12_04.xlsx&amp;sheet=A0&amp;row=1575&amp;col=7&amp;number=0&amp;sourceID=14","0")</f>
        <v>0</v>
      </c>
    </row>
    <row r="1576" spans="1:7">
      <c r="A1576" s="3">
        <v>12</v>
      </c>
      <c r="B1576" s="3">
        <v>4</v>
      </c>
      <c r="C1576" s="3">
        <v>91</v>
      </c>
      <c r="D1576" s="3">
        <v>19</v>
      </c>
      <c r="E1576" s="3">
        <v>-160.38</v>
      </c>
      <c r="F1576" s="4" t="str">
        <f>HYPERLINK("http://141.218.60.56/~jnz1568/getInfo.php?workbook=12_04.xlsx&amp;sheet=A0&amp;row=1576&amp;col=6&amp;number=31300&amp;sourceID=14","31300")</f>
        <v>31300</v>
      </c>
      <c r="G1576" s="4" t="str">
        <f>HYPERLINK("http://141.218.60.56/~jnz1568/getInfo.php?workbook=12_04.xlsx&amp;sheet=A0&amp;row=1576&amp;col=7&amp;number=0&amp;sourceID=14","0")</f>
        <v>0</v>
      </c>
    </row>
    <row r="1577" spans="1:7">
      <c r="A1577" s="3">
        <v>12</v>
      </c>
      <c r="B1577" s="3">
        <v>4</v>
      </c>
      <c r="C1577" s="3">
        <v>92</v>
      </c>
      <c r="D1577" s="3">
        <v>19</v>
      </c>
      <c r="E1577" s="3">
        <v>-160.306</v>
      </c>
      <c r="F1577" s="4" t="str">
        <f>HYPERLINK("http://141.218.60.56/~jnz1568/getInfo.php?workbook=12_04.xlsx&amp;sheet=A0&amp;row=1577&amp;col=6&amp;number=3750&amp;sourceID=14","3750")</f>
        <v>3750</v>
      </c>
      <c r="G1577" s="4" t="str">
        <f>HYPERLINK("http://141.218.60.56/~jnz1568/getInfo.php?workbook=12_04.xlsx&amp;sheet=A0&amp;row=1577&amp;col=7&amp;number=0&amp;sourceID=14","0")</f>
        <v>0</v>
      </c>
    </row>
    <row r="1578" spans="1:7">
      <c r="A1578" s="3">
        <v>12</v>
      </c>
      <c r="B1578" s="3">
        <v>4</v>
      </c>
      <c r="C1578" s="3">
        <v>93</v>
      </c>
      <c r="D1578" s="3">
        <v>19</v>
      </c>
      <c r="E1578" s="3">
        <v>-160.239</v>
      </c>
      <c r="F1578" s="4" t="str">
        <f>HYPERLINK("http://141.218.60.56/~jnz1568/getInfo.php?workbook=12_04.xlsx&amp;sheet=A0&amp;row=1578&amp;col=6&amp;number=14400&amp;sourceID=14","14400")</f>
        <v>14400</v>
      </c>
      <c r="G1578" s="4" t="str">
        <f>HYPERLINK("http://141.218.60.56/~jnz1568/getInfo.php?workbook=12_04.xlsx&amp;sheet=A0&amp;row=1578&amp;col=7&amp;number=0&amp;sourceID=14","0")</f>
        <v>0</v>
      </c>
    </row>
    <row r="1579" spans="1:7">
      <c r="A1579" s="3">
        <v>12</v>
      </c>
      <c r="B1579" s="3">
        <v>4</v>
      </c>
      <c r="C1579" s="3">
        <v>94</v>
      </c>
      <c r="D1579" s="3">
        <v>19</v>
      </c>
      <c r="E1579" s="3">
        <v>-159.991</v>
      </c>
      <c r="F1579" s="4" t="str">
        <f>HYPERLINK("http://141.218.60.56/~jnz1568/getInfo.php?workbook=12_04.xlsx&amp;sheet=A0&amp;row=1579&amp;col=6&amp;number=2690&amp;sourceID=14","2690")</f>
        <v>2690</v>
      </c>
      <c r="G1579" s="4" t="str">
        <f>HYPERLINK("http://141.218.60.56/~jnz1568/getInfo.php?workbook=12_04.xlsx&amp;sheet=A0&amp;row=1579&amp;col=7&amp;number=0&amp;sourceID=14","0")</f>
        <v>0</v>
      </c>
    </row>
    <row r="1580" spans="1:7">
      <c r="A1580" s="3">
        <v>12</v>
      </c>
      <c r="B1580" s="3">
        <v>4</v>
      </c>
      <c r="C1580" s="3">
        <v>95</v>
      </c>
      <c r="D1580" s="3">
        <v>19</v>
      </c>
      <c r="E1580" s="3">
        <v>-159.829</v>
      </c>
      <c r="F1580" s="4" t="str">
        <f>HYPERLINK("http://141.218.60.56/~jnz1568/getInfo.php?workbook=12_04.xlsx&amp;sheet=A0&amp;row=1580&amp;col=6&amp;number=0.000632&amp;sourceID=14","0.000632")</f>
        <v>0.000632</v>
      </c>
      <c r="G1580" s="4" t="str">
        <f>HYPERLINK("http://141.218.60.56/~jnz1568/getInfo.php?workbook=12_04.xlsx&amp;sheet=A0&amp;row=1580&amp;col=7&amp;number=0&amp;sourceID=14","0")</f>
        <v>0</v>
      </c>
    </row>
    <row r="1581" spans="1:7">
      <c r="A1581" s="3">
        <v>12</v>
      </c>
      <c r="B1581" s="3">
        <v>4</v>
      </c>
      <c r="C1581" s="3">
        <v>96</v>
      </c>
      <c r="D1581" s="3">
        <v>19</v>
      </c>
      <c r="E1581" s="3">
        <v>-159.679</v>
      </c>
      <c r="F1581" s="4" t="str">
        <f>HYPERLINK("http://141.218.60.56/~jnz1568/getInfo.php?workbook=12_04.xlsx&amp;sheet=A0&amp;row=1581&amp;col=6&amp;number=2560&amp;sourceID=14","2560")</f>
        <v>2560</v>
      </c>
      <c r="G1581" s="4" t="str">
        <f>HYPERLINK("http://141.218.60.56/~jnz1568/getInfo.php?workbook=12_04.xlsx&amp;sheet=A0&amp;row=1581&amp;col=7&amp;number=0&amp;sourceID=14","0")</f>
        <v>0</v>
      </c>
    </row>
    <row r="1582" spans="1:7">
      <c r="A1582" s="3">
        <v>12</v>
      </c>
      <c r="B1582" s="3">
        <v>4</v>
      </c>
      <c r="C1582" s="3">
        <v>97</v>
      </c>
      <c r="D1582" s="3">
        <v>19</v>
      </c>
      <c r="E1582" s="3">
        <v>159.936</v>
      </c>
      <c r="F1582" s="4" t="str">
        <f>HYPERLINK("http://141.218.60.56/~jnz1568/getInfo.php?workbook=12_04.xlsx&amp;sheet=A0&amp;row=1582&amp;col=6&amp;number=160000&amp;sourceID=14","160000")</f>
        <v>160000</v>
      </c>
      <c r="G1582" s="4" t="str">
        <f>HYPERLINK("http://141.218.60.56/~jnz1568/getInfo.php?workbook=12_04.xlsx&amp;sheet=A0&amp;row=1582&amp;col=7&amp;number=0&amp;sourceID=14","0")</f>
        <v>0</v>
      </c>
    </row>
    <row r="1583" spans="1:7">
      <c r="A1583" s="3">
        <v>12</v>
      </c>
      <c r="B1583" s="3">
        <v>4</v>
      </c>
      <c r="C1583" s="3">
        <v>98</v>
      </c>
      <c r="D1583" s="3">
        <v>19</v>
      </c>
      <c r="E1583" s="3">
        <v>159.493</v>
      </c>
      <c r="F1583" s="4" t="str">
        <f>HYPERLINK("http://141.218.60.56/~jnz1568/getInfo.php?workbook=12_04.xlsx&amp;sheet=A0&amp;row=1583&amp;col=6&amp;number=1.14&amp;sourceID=14","1.14")</f>
        <v>1.14</v>
      </c>
      <c r="G1583" s="4" t="str">
        <f>HYPERLINK("http://141.218.60.56/~jnz1568/getInfo.php?workbook=12_04.xlsx&amp;sheet=A0&amp;row=1583&amp;col=7&amp;number=0&amp;sourceID=14","0")</f>
        <v>0</v>
      </c>
    </row>
    <row r="1584" spans="1:7">
      <c r="A1584" s="3">
        <v>12</v>
      </c>
      <c r="B1584" s="3">
        <v>4</v>
      </c>
      <c r="C1584" s="3">
        <v>21</v>
      </c>
      <c r="D1584" s="3">
        <v>20</v>
      </c>
      <c r="E1584" s="3">
        <v>1799.859</v>
      </c>
      <c r="F1584" s="4" t="str">
        <f>HYPERLINK("http://141.218.60.56/~jnz1568/getInfo.php?workbook=12_04.xlsx&amp;sheet=A0&amp;row=1584&amp;col=6&amp;number=1.13e-06&amp;sourceID=14","1.13e-06")</f>
        <v>1.13e-06</v>
      </c>
      <c r="G1584" s="4" t="str">
        <f>HYPERLINK("http://141.218.60.56/~jnz1568/getInfo.php?workbook=12_04.xlsx&amp;sheet=A0&amp;row=1584&amp;col=7&amp;number=0&amp;sourceID=14","0")</f>
        <v>0</v>
      </c>
    </row>
    <row r="1585" spans="1:7">
      <c r="A1585" s="3">
        <v>12</v>
      </c>
      <c r="B1585" s="3">
        <v>4</v>
      </c>
      <c r="C1585" s="3">
        <v>22</v>
      </c>
      <c r="D1585" s="3">
        <v>20</v>
      </c>
      <c r="E1585" s="3">
        <v>1764.605</v>
      </c>
      <c r="F1585" s="4" t="str">
        <f>HYPERLINK("http://141.218.60.56/~jnz1568/getInfo.php?workbook=12_04.xlsx&amp;sheet=A0&amp;row=1585&amp;col=6&amp;number=52300&amp;sourceID=14","52300")</f>
        <v>52300</v>
      </c>
      <c r="G1585" s="4" t="str">
        <f>HYPERLINK("http://141.218.60.56/~jnz1568/getInfo.php?workbook=12_04.xlsx&amp;sheet=A0&amp;row=1585&amp;col=7&amp;number=0&amp;sourceID=14","0")</f>
        <v>0</v>
      </c>
    </row>
    <row r="1586" spans="1:7">
      <c r="A1586" s="3">
        <v>12</v>
      </c>
      <c r="B1586" s="3">
        <v>4</v>
      </c>
      <c r="C1586" s="3">
        <v>23</v>
      </c>
      <c r="D1586" s="3">
        <v>20</v>
      </c>
      <c r="E1586" s="3">
        <v>1685.775</v>
      </c>
      <c r="F1586" s="4" t="str">
        <f>HYPERLINK("http://141.218.60.56/~jnz1568/getInfo.php?workbook=12_04.xlsx&amp;sheet=A0&amp;row=1586&amp;col=6&amp;number=395&amp;sourceID=14","395")</f>
        <v>395</v>
      </c>
      <c r="G1586" s="4" t="str">
        <f>HYPERLINK("http://141.218.60.56/~jnz1568/getInfo.php?workbook=12_04.xlsx&amp;sheet=A0&amp;row=1586&amp;col=7&amp;number=0&amp;sourceID=14","0")</f>
        <v>0</v>
      </c>
    </row>
    <row r="1587" spans="1:7">
      <c r="A1587" s="3">
        <v>12</v>
      </c>
      <c r="B1587" s="3">
        <v>4</v>
      </c>
      <c r="C1587" s="3">
        <v>24</v>
      </c>
      <c r="D1587" s="3">
        <v>20</v>
      </c>
      <c r="E1587" s="3">
        <v>1130.457</v>
      </c>
      <c r="F1587" s="4" t="str">
        <f>HYPERLINK("http://141.218.60.56/~jnz1568/getInfo.php?workbook=12_04.xlsx&amp;sheet=A0&amp;row=1587&amp;col=6&amp;number=35000000&amp;sourceID=14","35000000")</f>
        <v>35000000</v>
      </c>
      <c r="G1587" s="4" t="str">
        <f>HYPERLINK("http://141.218.60.56/~jnz1568/getInfo.php?workbook=12_04.xlsx&amp;sheet=A0&amp;row=1587&amp;col=7&amp;number=0&amp;sourceID=14","0")</f>
        <v>0</v>
      </c>
    </row>
    <row r="1588" spans="1:7">
      <c r="A1588" s="3">
        <v>12</v>
      </c>
      <c r="B1588" s="3">
        <v>4</v>
      </c>
      <c r="C1588" s="3">
        <v>25</v>
      </c>
      <c r="D1588" s="3">
        <v>20</v>
      </c>
      <c r="E1588" s="3">
        <v>1069.063</v>
      </c>
      <c r="F1588" s="4" t="str">
        <f>HYPERLINK("http://141.218.60.56/~jnz1568/getInfo.php?workbook=12_04.xlsx&amp;sheet=A0&amp;row=1588&amp;col=6&amp;number=2.4&amp;sourceID=14","2.4")</f>
        <v>2.4</v>
      </c>
      <c r="G1588" s="4" t="str">
        <f>HYPERLINK("http://141.218.60.56/~jnz1568/getInfo.php?workbook=12_04.xlsx&amp;sheet=A0&amp;row=1588&amp;col=7&amp;number=0&amp;sourceID=14","0")</f>
        <v>0</v>
      </c>
    </row>
    <row r="1589" spans="1:7">
      <c r="A1589" s="3">
        <v>12</v>
      </c>
      <c r="B1589" s="3">
        <v>4</v>
      </c>
      <c r="C1589" s="3">
        <v>26</v>
      </c>
      <c r="D1589" s="3">
        <v>20</v>
      </c>
      <c r="E1589" s="3">
        <v>991.18</v>
      </c>
      <c r="F1589" s="4" t="str">
        <f>HYPERLINK("http://141.218.60.56/~jnz1568/getInfo.php?workbook=12_04.xlsx&amp;sheet=A0&amp;row=1589&amp;col=6&amp;number=0.17&amp;sourceID=14","0.17")</f>
        <v>0.17</v>
      </c>
      <c r="G1589" s="4" t="str">
        <f>HYPERLINK("http://141.218.60.56/~jnz1568/getInfo.php?workbook=12_04.xlsx&amp;sheet=A0&amp;row=1589&amp;col=7&amp;number=0&amp;sourceID=14","0")</f>
        <v>0</v>
      </c>
    </row>
    <row r="1590" spans="1:7">
      <c r="A1590" s="3">
        <v>12</v>
      </c>
      <c r="B1590" s="3">
        <v>4</v>
      </c>
      <c r="C1590" s="3">
        <v>27</v>
      </c>
      <c r="D1590" s="3">
        <v>20</v>
      </c>
      <c r="E1590" s="3">
        <v>981.452</v>
      </c>
      <c r="F1590" s="4" t="str">
        <f>HYPERLINK("http://141.218.60.56/~jnz1568/getInfo.php?workbook=12_04.xlsx&amp;sheet=A0&amp;row=1590&amp;col=6&amp;number=0.00789&amp;sourceID=14","0.00789")</f>
        <v>0.00789</v>
      </c>
      <c r="G1590" s="4" t="str">
        <f>HYPERLINK("http://141.218.60.56/~jnz1568/getInfo.php?workbook=12_04.xlsx&amp;sheet=A0&amp;row=1590&amp;col=7&amp;number=0&amp;sourceID=14","0")</f>
        <v>0</v>
      </c>
    </row>
    <row r="1591" spans="1:7">
      <c r="A1591" s="3">
        <v>12</v>
      </c>
      <c r="B1591" s="3">
        <v>4</v>
      </c>
      <c r="C1591" s="3">
        <v>28</v>
      </c>
      <c r="D1591" s="3">
        <v>20</v>
      </c>
      <c r="E1591" s="3">
        <v>957.948</v>
      </c>
      <c r="F1591" s="4" t="str">
        <f>HYPERLINK("http://141.218.60.56/~jnz1568/getInfo.php?workbook=12_04.xlsx&amp;sheet=A0&amp;row=1591&amp;col=6&amp;number=0.0291&amp;sourceID=14","0.0291")</f>
        <v>0.0291</v>
      </c>
      <c r="G1591" s="4" t="str">
        <f>HYPERLINK("http://141.218.60.56/~jnz1568/getInfo.php?workbook=12_04.xlsx&amp;sheet=A0&amp;row=1591&amp;col=7&amp;number=0&amp;sourceID=14","0")</f>
        <v>0</v>
      </c>
    </row>
    <row r="1592" spans="1:7">
      <c r="A1592" s="3">
        <v>12</v>
      </c>
      <c r="B1592" s="3">
        <v>4</v>
      </c>
      <c r="C1592" s="3">
        <v>29</v>
      </c>
      <c r="D1592" s="3">
        <v>20</v>
      </c>
      <c r="E1592" s="3">
        <v>863.559</v>
      </c>
      <c r="F1592" s="4" t="str">
        <f>HYPERLINK("http://141.218.60.56/~jnz1568/getInfo.php?workbook=12_04.xlsx&amp;sheet=A0&amp;row=1592&amp;col=6&amp;number=0.0162&amp;sourceID=14","0.0162")</f>
        <v>0.0162</v>
      </c>
      <c r="G1592" s="4" t="str">
        <f>HYPERLINK("http://141.218.60.56/~jnz1568/getInfo.php?workbook=12_04.xlsx&amp;sheet=A0&amp;row=1592&amp;col=7&amp;number=0&amp;sourceID=14","0")</f>
        <v>0</v>
      </c>
    </row>
    <row r="1593" spans="1:7">
      <c r="A1593" s="3">
        <v>12</v>
      </c>
      <c r="B1593" s="3">
        <v>4</v>
      </c>
      <c r="C1593" s="3">
        <v>30</v>
      </c>
      <c r="D1593" s="3">
        <v>20</v>
      </c>
      <c r="E1593" s="3">
        <v>-825.425</v>
      </c>
      <c r="F1593" s="4" t="str">
        <f>HYPERLINK("http://141.218.60.56/~jnz1568/getInfo.php?workbook=12_04.xlsx&amp;sheet=A0&amp;row=1593&amp;col=6&amp;number=0.179&amp;sourceID=14","0.179")</f>
        <v>0.179</v>
      </c>
      <c r="G1593" s="4" t="str">
        <f>HYPERLINK("http://141.218.60.56/~jnz1568/getInfo.php?workbook=12_04.xlsx&amp;sheet=A0&amp;row=1593&amp;col=7&amp;number=0&amp;sourceID=14","0")</f>
        <v>0</v>
      </c>
    </row>
    <row r="1594" spans="1:7">
      <c r="A1594" s="3">
        <v>12</v>
      </c>
      <c r="B1594" s="3">
        <v>4</v>
      </c>
      <c r="C1594" s="3">
        <v>31</v>
      </c>
      <c r="D1594" s="3">
        <v>20</v>
      </c>
      <c r="E1594" s="3">
        <v>805.738</v>
      </c>
      <c r="F1594" s="4" t="str">
        <f>HYPERLINK("http://141.218.60.56/~jnz1568/getInfo.php?workbook=12_04.xlsx&amp;sheet=A0&amp;row=1594&amp;col=6&amp;number=0.0845&amp;sourceID=14","0.0845")</f>
        <v>0.0845</v>
      </c>
      <c r="G1594" s="4" t="str">
        <f>HYPERLINK("http://141.218.60.56/~jnz1568/getInfo.php?workbook=12_04.xlsx&amp;sheet=A0&amp;row=1594&amp;col=7&amp;number=0&amp;sourceID=14","0")</f>
        <v>0</v>
      </c>
    </row>
    <row r="1595" spans="1:7">
      <c r="A1595" s="3">
        <v>12</v>
      </c>
      <c r="B1595" s="3">
        <v>4</v>
      </c>
      <c r="C1595" s="3">
        <v>32</v>
      </c>
      <c r="D1595" s="3">
        <v>20</v>
      </c>
      <c r="E1595" s="3">
        <v>797.386</v>
      </c>
      <c r="F1595" s="4" t="str">
        <f>HYPERLINK("http://141.218.60.56/~jnz1568/getInfo.php?workbook=12_04.xlsx&amp;sheet=A0&amp;row=1595&amp;col=6&amp;number=0.154&amp;sourceID=14","0.154")</f>
        <v>0.154</v>
      </c>
      <c r="G1595" s="4" t="str">
        <f>HYPERLINK("http://141.218.60.56/~jnz1568/getInfo.php?workbook=12_04.xlsx&amp;sheet=A0&amp;row=1595&amp;col=7&amp;number=0&amp;sourceID=14","0")</f>
        <v>0</v>
      </c>
    </row>
    <row r="1596" spans="1:7">
      <c r="A1596" s="3">
        <v>12</v>
      </c>
      <c r="B1596" s="3">
        <v>4</v>
      </c>
      <c r="C1596" s="3">
        <v>33</v>
      </c>
      <c r="D1596" s="3">
        <v>20</v>
      </c>
      <c r="E1596" s="3">
        <v>-772.942</v>
      </c>
      <c r="F1596" s="4" t="str">
        <f>HYPERLINK("http://141.218.60.56/~jnz1568/getInfo.php?workbook=12_04.xlsx&amp;sheet=A0&amp;row=1596&amp;col=6&amp;number=97300000&amp;sourceID=14","97300000")</f>
        <v>97300000</v>
      </c>
      <c r="G1596" s="4" t="str">
        <f>HYPERLINK("http://141.218.60.56/~jnz1568/getInfo.php?workbook=12_04.xlsx&amp;sheet=A0&amp;row=1596&amp;col=7&amp;number=0&amp;sourceID=14","0")</f>
        <v>0</v>
      </c>
    </row>
    <row r="1597" spans="1:7">
      <c r="A1597" s="3">
        <v>12</v>
      </c>
      <c r="B1597" s="3">
        <v>4</v>
      </c>
      <c r="C1597" s="3">
        <v>34</v>
      </c>
      <c r="D1597" s="3">
        <v>20</v>
      </c>
      <c r="E1597" s="3">
        <v>-760.909</v>
      </c>
      <c r="F1597" s="4" t="str">
        <f>HYPERLINK("http://141.218.60.56/~jnz1568/getInfo.php?workbook=12_04.xlsx&amp;sheet=A0&amp;row=1597&amp;col=6&amp;number=100000&amp;sourceID=14","100000")</f>
        <v>100000</v>
      </c>
      <c r="G1597" s="4" t="str">
        <f>HYPERLINK("http://141.218.60.56/~jnz1568/getInfo.php?workbook=12_04.xlsx&amp;sheet=A0&amp;row=1597&amp;col=7&amp;number=0&amp;sourceID=14","0")</f>
        <v>0</v>
      </c>
    </row>
    <row r="1598" spans="1:7">
      <c r="A1598" s="3">
        <v>12</v>
      </c>
      <c r="B1598" s="3">
        <v>4</v>
      </c>
      <c r="C1598" s="3">
        <v>35</v>
      </c>
      <c r="D1598" s="3">
        <v>20</v>
      </c>
      <c r="E1598" s="3">
        <v>740.413</v>
      </c>
      <c r="F1598" s="4" t="str">
        <f>HYPERLINK("http://141.218.60.56/~jnz1568/getInfo.php?workbook=12_04.xlsx&amp;sheet=A0&amp;row=1598&amp;col=6&amp;number=386000000&amp;sourceID=14","386000000")</f>
        <v>386000000</v>
      </c>
      <c r="G1598" s="4" t="str">
        <f>HYPERLINK("http://141.218.60.56/~jnz1568/getInfo.php?workbook=12_04.xlsx&amp;sheet=A0&amp;row=1598&amp;col=7&amp;number=0&amp;sourceID=14","0")</f>
        <v>0</v>
      </c>
    </row>
    <row r="1599" spans="1:7">
      <c r="A1599" s="3">
        <v>12</v>
      </c>
      <c r="B1599" s="3">
        <v>4</v>
      </c>
      <c r="C1599" s="3">
        <v>36</v>
      </c>
      <c r="D1599" s="3">
        <v>20</v>
      </c>
      <c r="E1599" s="3">
        <v>-749.419</v>
      </c>
      <c r="F1599" s="4" t="str">
        <f>HYPERLINK("http://141.218.60.56/~jnz1568/getInfo.php?workbook=12_04.xlsx&amp;sheet=A0&amp;row=1599&amp;col=6&amp;number=0.0647&amp;sourceID=14","0.0647")</f>
        <v>0.0647</v>
      </c>
      <c r="G1599" s="4" t="str">
        <f>HYPERLINK("http://141.218.60.56/~jnz1568/getInfo.php?workbook=12_04.xlsx&amp;sheet=A0&amp;row=1599&amp;col=7&amp;number=0&amp;sourceID=14","0")</f>
        <v>0</v>
      </c>
    </row>
    <row r="1600" spans="1:7">
      <c r="A1600" s="3">
        <v>12</v>
      </c>
      <c r="B1600" s="3">
        <v>4</v>
      </c>
      <c r="C1600" s="3">
        <v>37</v>
      </c>
      <c r="D1600" s="3">
        <v>20</v>
      </c>
      <c r="E1600" s="3">
        <v>707.765</v>
      </c>
      <c r="F1600" s="4" t="str">
        <f>HYPERLINK("http://141.218.60.56/~jnz1568/getInfo.php?workbook=12_04.xlsx&amp;sheet=A0&amp;row=1600&amp;col=6&amp;number=0.947&amp;sourceID=14","0.947")</f>
        <v>0.947</v>
      </c>
      <c r="G1600" s="4" t="str">
        <f>HYPERLINK("http://141.218.60.56/~jnz1568/getInfo.php?workbook=12_04.xlsx&amp;sheet=A0&amp;row=1600&amp;col=7&amp;number=0&amp;sourceID=14","0")</f>
        <v>0</v>
      </c>
    </row>
    <row r="1601" spans="1:7">
      <c r="A1601" s="3">
        <v>12</v>
      </c>
      <c r="B1601" s="3">
        <v>4</v>
      </c>
      <c r="C1601" s="3">
        <v>38</v>
      </c>
      <c r="D1601" s="3">
        <v>20</v>
      </c>
      <c r="E1601" s="3">
        <v>654.709</v>
      </c>
      <c r="F1601" s="4" t="str">
        <f>HYPERLINK("http://141.218.60.56/~jnz1568/getInfo.php?workbook=12_04.xlsx&amp;sheet=A0&amp;row=1601&amp;col=6&amp;number=1970000&amp;sourceID=14","1970000")</f>
        <v>1970000</v>
      </c>
      <c r="G1601" s="4" t="str">
        <f>HYPERLINK("http://141.218.60.56/~jnz1568/getInfo.php?workbook=12_04.xlsx&amp;sheet=A0&amp;row=1601&amp;col=7&amp;number=0&amp;sourceID=14","0")</f>
        <v>0</v>
      </c>
    </row>
    <row r="1602" spans="1:7">
      <c r="A1602" s="3">
        <v>12</v>
      </c>
      <c r="B1602" s="3">
        <v>4</v>
      </c>
      <c r="C1602" s="3">
        <v>39</v>
      </c>
      <c r="D1602" s="3">
        <v>20</v>
      </c>
      <c r="E1602" s="3">
        <v>652.402</v>
      </c>
      <c r="F1602" s="4" t="str">
        <f>HYPERLINK("http://141.218.60.56/~jnz1568/getInfo.php?workbook=12_04.xlsx&amp;sheet=A0&amp;row=1602&amp;col=6&amp;number=825000&amp;sourceID=14","825000")</f>
        <v>825000</v>
      </c>
      <c r="G1602" s="4" t="str">
        <f>HYPERLINK("http://141.218.60.56/~jnz1568/getInfo.php?workbook=12_04.xlsx&amp;sheet=A0&amp;row=1602&amp;col=7&amp;number=0&amp;sourceID=14","0")</f>
        <v>0</v>
      </c>
    </row>
    <row r="1603" spans="1:7">
      <c r="A1603" s="3">
        <v>12</v>
      </c>
      <c r="B1603" s="3">
        <v>4</v>
      </c>
      <c r="C1603" s="3">
        <v>40</v>
      </c>
      <c r="D1603" s="3">
        <v>20</v>
      </c>
      <c r="E1603" s="3">
        <v>648.173</v>
      </c>
      <c r="F1603" s="4" t="str">
        <f>HYPERLINK("http://141.218.60.56/~jnz1568/getInfo.php?workbook=12_04.xlsx&amp;sheet=A0&amp;row=1603&amp;col=6&amp;number=120000&amp;sourceID=14","120000")</f>
        <v>120000</v>
      </c>
      <c r="G1603" s="4" t="str">
        <f>HYPERLINK("http://141.218.60.56/~jnz1568/getInfo.php?workbook=12_04.xlsx&amp;sheet=A0&amp;row=1603&amp;col=7&amp;number=0&amp;sourceID=14","0")</f>
        <v>0</v>
      </c>
    </row>
    <row r="1604" spans="1:7">
      <c r="A1604" s="3">
        <v>12</v>
      </c>
      <c r="B1604" s="3">
        <v>4</v>
      </c>
      <c r="C1604" s="3">
        <v>41</v>
      </c>
      <c r="D1604" s="3">
        <v>20</v>
      </c>
      <c r="E1604" s="3">
        <v>622.511</v>
      </c>
      <c r="F1604" s="4" t="str">
        <f>HYPERLINK("http://141.218.60.56/~jnz1568/getInfo.php?workbook=12_04.xlsx&amp;sheet=A0&amp;row=1604&amp;col=6&amp;number=1640000&amp;sourceID=14","1640000")</f>
        <v>1640000</v>
      </c>
      <c r="G1604" s="4" t="str">
        <f>HYPERLINK("http://141.218.60.56/~jnz1568/getInfo.php?workbook=12_04.xlsx&amp;sheet=A0&amp;row=1604&amp;col=7&amp;number=0&amp;sourceID=14","0")</f>
        <v>0</v>
      </c>
    </row>
    <row r="1605" spans="1:7">
      <c r="A1605" s="3">
        <v>12</v>
      </c>
      <c r="B1605" s="3">
        <v>4</v>
      </c>
      <c r="C1605" s="3">
        <v>42</v>
      </c>
      <c r="D1605" s="3">
        <v>20</v>
      </c>
      <c r="E1605" s="3">
        <v>618.698</v>
      </c>
      <c r="F1605" s="4" t="str">
        <f>HYPERLINK("http://141.218.60.56/~jnz1568/getInfo.php?workbook=12_04.xlsx&amp;sheet=A0&amp;row=1605&amp;col=6&amp;number=740000&amp;sourceID=14","740000")</f>
        <v>740000</v>
      </c>
      <c r="G1605" s="4" t="str">
        <f>HYPERLINK("http://141.218.60.56/~jnz1568/getInfo.php?workbook=12_04.xlsx&amp;sheet=A0&amp;row=1605&amp;col=7&amp;number=0&amp;sourceID=14","0")</f>
        <v>0</v>
      </c>
    </row>
    <row r="1606" spans="1:7">
      <c r="A1606" s="3">
        <v>12</v>
      </c>
      <c r="B1606" s="3">
        <v>4</v>
      </c>
      <c r="C1606" s="3">
        <v>43</v>
      </c>
      <c r="D1606" s="3">
        <v>20</v>
      </c>
      <c r="E1606" s="3">
        <v>616.714</v>
      </c>
      <c r="F1606" s="4" t="str">
        <f>HYPERLINK("http://141.218.60.56/~jnz1568/getInfo.php?workbook=12_04.xlsx&amp;sheet=A0&amp;row=1606&amp;col=6&amp;number=0.052&amp;sourceID=14","0.052")</f>
        <v>0.052</v>
      </c>
      <c r="G1606" s="4" t="str">
        <f>HYPERLINK("http://141.218.60.56/~jnz1568/getInfo.php?workbook=12_04.xlsx&amp;sheet=A0&amp;row=1606&amp;col=7&amp;number=0&amp;sourceID=14","0")</f>
        <v>0</v>
      </c>
    </row>
    <row r="1607" spans="1:7">
      <c r="A1607" s="3">
        <v>12</v>
      </c>
      <c r="B1607" s="3">
        <v>4</v>
      </c>
      <c r="C1607" s="3">
        <v>44</v>
      </c>
      <c r="D1607" s="3">
        <v>20</v>
      </c>
      <c r="E1607" s="3">
        <v>-570.992</v>
      </c>
      <c r="F1607" s="4" t="str">
        <f>HYPERLINK("http://141.218.60.56/~jnz1568/getInfo.php?workbook=12_04.xlsx&amp;sheet=A0&amp;row=1607&amp;col=6&amp;number=583&amp;sourceID=14","583")</f>
        <v>583</v>
      </c>
      <c r="G1607" s="4" t="str">
        <f>HYPERLINK("http://141.218.60.56/~jnz1568/getInfo.php?workbook=12_04.xlsx&amp;sheet=A0&amp;row=1607&amp;col=7&amp;number=0&amp;sourceID=14","0")</f>
        <v>0</v>
      </c>
    </row>
    <row r="1608" spans="1:7">
      <c r="A1608" s="3">
        <v>12</v>
      </c>
      <c r="B1608" s="3">
        <v>4</v>
      </c>
      <c r="C1608" s="3">
        <v>45</v>
      </c>
      <c r="D1608" s="3">
        <v>20</v>
      </c>
      <c r="E1608" s="3">
        <v>555.217</v>
      </c>
      <c r="F1608" s="4" t="str">
        <f>HYPERLINK("http://141.218.60.56/~jnz1568/getInfo.php?workbook=12_04.xlsx&amp;sheet=A0&amp;row=1608&amp;col=6&amp;number=291000000&amp;sourceID=14","291000000")</f>
        <v>291000000</v>
      </c>
      <c r="G1608" s="4" t="str">
        <f>HYPERLINK("http://141.218.60.56/~jnz1568/getInfo.php?workbook=12_04.xlsx&amp;sheet=A0&amp;row=1608&amp;col=7&amp;number=0&amp;sourceID=14","0")</f>
        <v>0</v>
      </c>
    </row>
    <row r="1609" spans="1:7">
      <c r="A1609" s="3">
        <v>12</v>
      </c>
      <c r="B1609" s="3">
        <v>4</v>
      </c>
      <c r="C1609" s="3">
        <v>46</v>
      </c>
      <c r="D1609" s="3">
        <v>20</v>
      </c>
      <c r="E1609" s="3">
        <v>534.818</v>
      </c>
      <c r="F1609" s="4" t="str">
        <f>HYPERLINK("http://141.218.60.56/~jnz1568/getInfo.php?workbook=12_04.xlsx&amp;sheet=A0&amp;row=1609&amp;col=6&amp;number=1640000000&amp;sourceID=14","1640000000")</f>
        <v>1640000000</v>
      </c>
      <c r="G1609" s="4" t="str">
        <f>HYPERLINK("http://141.218.60.56/~jnz1568/getInfo.php?workbook=12_04.xlsx&amp;sheet=A0&amp;row=1609&amp;col=7&amp;number=0&amp;sourceID=14","0")</f>
        <v>0</v>
      </c>
    </row>
    <row r="1610" spans="1:7">
      <c r="A1610" s="3">
        <v>12</v>
      </c>
      <c r="B1610" s="3">
        <v>4</v>
      </c>
      <c r="C1610" s="3">
        <v>47</v>
      </c>
      <c r="D1610" s="3">
        <v>20</v>
      </c>
      <c r="E1610" s="3">
        <v>-260.731</v>
      </c>
      <c r="F1610" s="4" t="str">
        <f>HYPERLINK("http://141.218.60.56/~jnz1568/getInfo.php?workbook=12_04.xlsx&amp;sheet=A0&amp;row=1610&amp;col=6&amp;number=6.17&amp;sourceID=14","6.17")</f>
        <v>6.17</v>
      </c>
      <c r="G1610" s="4" t="str">
        <f>HYPERLINK("http://141.218.60.56/~jnz1568/getInfo.php?workbook=12_04.xlsx&amp;sheet=A0&amp;row=1610&amp;col=7&amp;number=0&amp;sourceID=14","0")</f>
        <v>0</v>
      </c>
    </row>
    <row r="1611" spans="1:7">
      <c r="A1611" s="3">
        <v>12</v>
      </c>
      <c r="B1611" s="3">
        <v>4</v>
      </c>
      <c r="C1611" s="3">
        <v>48</v>
      </c>
      <c r="D1611" s="3">
        <v>20</v>
      </c>
      <c r="E1611" s="3">
        <v>-254.06</v>
      </c>
      <c r="F1611" s="4" t="str">
        <f>HYPERLINK("http://141.218.60.56/~jnz1568/getInfo.php?workbook=12_04.xlsx&amp;sheet=A0&amp;row=1611&amp;col=6&amp;number=830000&amp;sourceID=14","830000")</f>
        <v>830000</v>
      </c>
      <c r="G1611" s="4" t="str">
        <f>HYPERLINK("http://141.218.60.56/~jnz1568/getInfo.php?workbook=12_04.xlsx&amp;sheet=A0&amp;row=1611&amp;col=7&amp;number=0&amp;sourceID=14","0")</f>
        <v>0</v>
      </c>
    </row>
    <row r="1612" spans="1:7">
      <c r="A1612" s="3">
        <v>12</v>
      </c>
      <c r="B1612" s="3">
        <v>4</v>
      </c>
      <c r="C1612" s="3">
        <v>49</v>
      </c>
      <c r="D1612" s="3">
        <v>20</v>
      </c>
      <c r="E1612" s="3">
        <v>-245.017</v>
      </c>
      <c r="F1612" s="4" t="str">
        <f>HYPERLINK("http://141.218.60.56/~jnz1568/getInfo.php?workbook=12_04.xlsx&amp;sheet=A0&amp;row=1612&amp;col=6&amp;number=4.45&amp;sourceID=14","4.45")</f>
        <v>4.45</v>
      </c>
      <c r="G1612" s="4" t="str">
        <f>HYPERLINK("http://141.218.60.56/~jnz1568/getInfo.php?workbook=12_04.xlsx&amp;sheet=A0&amp;row=1612&amp;col=7&amp;number=0&amp;sourceID=14","0")</f>
        <v>0</v>
      </c>
    </row>
    <row r="1613" spans="1:7">
      <c r="A1613" s="3">
        <v>12</v>
      </c>
      <c r="B1613" s="3">
        <v>4</v>
      </c>
      <c r="C1613" s="3">
        <v>50</v>
      </c>
      <c r="D1613" s="3">
        <v>20</v>
      </c>
      <c r="E1613" s="3">
        <v>-244.948</v>
      </c>
      <c r="F1613" s="4" t="str">
        <f>HYPERLINK("http://141.218.60.56/~jnz1568/getInfo.php?workbook=12_04.xlsx&amp;sheet=A0&amp;row=1613&amp;col=6&amp;number=15900000&amp;sourceID=14","15900000")</f>
        <v>15900000</v>
      </c>
      <c r="G1613" s="4" t="str">
        <f>HYPERLINK("http://141.218.60.56/~jnz1568/getInfo.php?workbook=12_04.xlsx&amp;sheet=A0&amp;row=1613&amp;col=7&amp;number=0&amp;sourceID=14","0")</f>
        <v>0</v>
      </c>
    </row>
    <row r="1614" spans="1:7">
      <c r="A1614" s="3">
        <v>12</v>
      </c>
      <c r="B1614" s="3">
        <v>4</v>
      </c>
      <c r="C1614" s="3">
        <v>51</v>
      </c>
      <c r="D1614" s="3">
        <v>20</v>
      </c>
      <c r="E1614" s="3">
        <v>-244.791</v>
      </c>
      <c r="F1614" s="4" t="str">
        <f>HYPERLINK("http://141.218.60.56/~jnz1568/getInfo.php?workbook=12_04.xlsx&amp;sheet=A0&amp;row=1614&amp;col=6&amp;number=18000&amp;sourceID=14","18000")</f>
        <v>18000</v>
      </c>
      <c r="G1614" s="4" t="str">
        <f>HYPERLINK("http://141.218.60.56/~jnz1568/getInfo.php?workbook=12_04.xlsx&amp;sheet=A0&amp;row=1614&amp;col=7&amp;number=0&amp;sourceID=14","0")</f>
        <v>0</v>
      </c>
    </row>
    <row r="1615" spans="1:7">
      <c r="A1615" s="3">
        <v>12</v>
      </c>
      <c r="B1615" s="3">
        <v>4</v>
      </c>
      <c r="C1615" s="3">
        <v>52</v>
      </c>
      <c r="D1615" s="3">
        <v>20</v>
      </c>
      <c r="E1615" s="3">
        <v>241.488</v>
      </c>
      <c r="F1615" s="4" t="str">
        <f>HYPERLINK("http://141.218.60.56/~jnz1568/getInfo.php?workbook=12_04.xlsx&amp;sheet=A0&amp;row=1615&amp;col=6&amp;number=5000000000&amp;sourceID=14","5000000000")</f>
        <v>5000000000</v>
      </c>
      <c r="G1615" s="4" t="str">
        <f>HYPERLINK("http://141.218.60.56/~jnz1568/getInfo.php?workbook=12_04.xlsx&amp;sheet=A0&amp;row=1615&amp;col=7&amp;number=0&amp;sourceID=14","0")</f>
        <v>0</v>
      </c>
    </row>
    <row r="1616" spans="1:7">
      <c r="A1616" s="3">
        <v>12</v>
      </c>
      <c r="B1616" s="3">
        <v>4</v>
      </c>
      <c r="C1616" s="3">
        <v>53</v>
      </c>
      <c r="D1616" s="3">
        <v>20</v>
      </c>
      <c r="E1616" s="3">
        <v>235.079</v>
      </c>
      <c r="F1616" s="4" t="str">
        <f>HYPERLINK("http://141.218.60.56/~jnz1568/getInfo.php?workbook=12_04.xlsx&amp;sheet=A0&amp;row=1616&amp;col=6&amp;number=8.86&amp;sourceID=14","8.86")</f>
        <v>8.86</v>
      </c>
      <c r="G1616" s="4" t="str">
        <f>HYPERLINK("http://141.218.60.56/~jnz1568/getInfo.php?workbook=12_04.xlsx&amp;sheet=A0&amp;row=1616&amp;col=7&amp;number=0&amp;sourceID=14","0")</f>
        <v>0</v>
      </c>
    </row>
    <row r="1617" spans="1:7">
      <c r="A1617" s="3">
        <v>12</v>
      </c>
      <c r="B1617" s="3">
        <v>4</v>
      </c>
      <c r="C1617" s="3">
        <v>54</v>
      </c>
      <c r="D1617" s="3">
        <v>20</v>
      </c>
      <c r="E1617" s="3">
        <v>235.079</v>
      </c>
      <c r="F1617" s="4" t="str">
        <f>HYPERLINK("http://141.218.60.56/~jnz1568/getInfo.php?workbook=12_04.xlsx&amp;sheet=A0&amp;row=1617&amp;col=6&amp;number=10&amp;sourceID=14","10")</f>
        <v>10</v>
      </c>
      <c r="G1617" s="4" t="str">
        <f>HYPERLINK("http://141.218.60.56/~jnz1568/getInfo.php?workbook=12_04.xlsx&amp;sheet=A0&amp;row=1617&amp;col=7&amp;number=0&amp;sourceID=14","0")</f>
        <v>0</v>
      </c>
    </row>
    <row r="1618" spans="1:7">
      <c r="A1618" s="3">
        <v>12</v>
      </c>
      <c r="B1618" s="3">
        <v>4</v>
      </c>
      <c r="C1618" s="3">
        <v>55</v>
      </c>
      <c r="D1618" s="3">
        <v>20</v>
      </c>
      <c r="E1618" s="3">
        <v>235.035</v>
      </c>
      <c r="F1618" s="4" t="str">
        <f>HYPERLINK("http://141.218.60.56/~jnz1568/getInfo.php?workbook=12_04.xlsx&amp;sheet=A0&amp;row=1618&amp;col=6&amp;number=4.28&amp;sourceID=14","4.28")</f>
        <v>4.28</v>
      </c>
      <c r="G1618" s="4" t="str">
        <f>HYPERLINK("http://141.218.60.56/~jnz1568/getInfo.php?workbook=12_04.xlsx&amp;sheet=A0&amp;row=1618&amp;col=7&amp;number=0&amp;sourceID=14","0")</f>
        <v>0</v>
      </c>
    </row>
    <row r="1619" spans="1:7">
      <c r="A1619" s="3">
        <v>12</v>
      </c>
      <c r="B1619" s="3">
        <v>4</v>
      </c>
      <c r="C1619" s="3">
        <v>56</v>
      </c>
      <c r="D1619" s="3">
        <v>20</v>
      </c>
      <c r="E1619" s="3">
        <v>230.782</v>
      </c>
      <c r="F1619" s="4" t="str">
        <f>HYPERLINK("http://141.218.60.56/~jnz1568/getInfo.php?workbook=12_04.xlsx&amp;sheet=A0&amp;row=1619&amp;col=6&amp;number=691000&amp;sourceID=14","691000")</f>
        <v>691000</v>
      </c>
      <c r="G1619" s="4" t="str">
        <f>HYPERLINK("http://141.218.60.56/~jnz1568/getInfo.php?workbook=12_04.xlsx&amp;sheet=A0&amp;row=1619&amp;col=7&amp;number=0&amp;sourceID=14","0")</f>
        <v>0</v>
      </c>
    </row>
    <row r="1620" spans="1:7">
      <c r="A1620" s="3">
        <v>12</v>
      </c>
      <c r="B1620" s="3">
        <v>4</v>
      </c>
      <c r="C1620" s="3">
        <v>57</v>
      </c>
      <c r="D1620" s="3">
        <v>20</v>
      </c>
      <c r="E1620" s="3">
        <v>-231.926</v>
      </c>
      <c r="F1620" s="4" t="str">
        <f>HYPERLINK("http://141.218.60.56/~jnz1568/getInfo.php?workbook=12_04.xlsx&amp;sheet=A0&amp;row=1620&amp;col=6&amp;number=312000&amp;sourceID=14","312000")</f>
        <v>312000</v>
      </c>
      <c r="G1620" s="4" t="str">
        <f>HYPERLINK("http://141.218.60.56/~jnz1568/getInfo.php?workbook=12_04.xlsx&amp;sheet=A0&amp;row=1620&amp;col=7&amp;number=0&amp;sourceID=14","0")</f>
        <v>0</v>
      </c>
    </row>
    <row r="1621" spans="1:7">
      <c r="A1621" s="3">
        <v>12</v>
      </c>
      <c r="B1621" s="3">
        <v>4</v>
      </c>
      <c r="C1621" s="3">
        <v>58</v>
      </c>
      <c r="D1621" s="3">
        <v>20</v>
      </c>
      <c r="E1621" s="3">
        <v>-231.911</v>
      </c>
      <c r="F1621" s="4" t="str">
        <f>HYPERLINK("http://141.218.60.56/~jnz1568/getInfo.php?workbook=12_04.xlsx&amp;sheet=A0&amp;row=1621&amp;col=6&amp;number=1630000&amp;sourceID=14","1630000")</f>
        <v>1630000</v>
      </c>
      <c r="G1621" s="4" t="str">
        <f>HYPERLINK("http://141.218.60.56/~jnz1568/getInfo.php?workbook=12_04.xlsx&amp;sheet=A0&amp;row=1621&amp;col=7&amp;number=0&amp;sourceID=14","0")</f>
        <v>0</v>
      </c>
    </row>
    <row r="1622" spans="1:7">
      <c r="A1622" s="3">
        <v>12</v>
      </c>
      <c r="B1622" s="3">
        <v>4</v>
      </c>
      <c r="C1622" s="3">
        <v>59</v>
      </c>
      <c r="D1622" s="3">
        <v>20</v>
      </c>
      <c r="E1622" s="3">
        <v>-231.89</v>
      </c>
      <c r="F1622" s="4" t="str">
        <f>HYPERLINK("http://141.218.60.56/~jnz1568/getInfo.php?workbook=12_04.xlsx&amp;sheet=A0&amp;row=1622&amp;col=6&amp;number=73.8&amp;sourceID=14","73.8")</f>
        <v>73.8</v>
      </c>
      <c r="G1622" s="4" t="str">
        <f>HYPERLINK("http://141.218.60.56/~jnz1568/getInfo.php?workbook=12_04.xlsx&amp;sheet=A0&amp;row=1622&amp;col=7&amp;number=0&amp;sourceID=14","0")</f>
        <v>0</v>
      </c>
    </row>
    <row r="1623" spans="1:7">
      <c r="A1623" s="3">
        <v>12</v>
      </c>
      <c r="B1623" s="3">
        <v>4</v>
      </c>
      <c r="C1623" s="3">
        <v>60</v>
      </c>
      <c r="D1623" s="3">
        <v>20</v>
      </c>
      <c r="E1623" s="3">
        <v>-230.54</v>
      </c>
      <c r="F1623" s="4" t="str">
        <f>HYPERLINK("http://141.218.60.56/~jnz1568/getInfo.php?workbook=12_04.xlsx&amp;sheet=A0&amp;row=1623&amp;col=6&amp;number=94100000000&amp;sourceID=14","94100000000")</f>
        <v>94100000000</v>
      </c>
      <c r="G1623" s="4" t="str">
        <f>HYPERLINK("http://141.218.60.56/~jnz1568/getInfo.php?workbook=12_04.xlsx&amp;sheet=A0&amp;row=1623&amp;col=7&amp;number=0&amp;sourceID=14","0")</f>
        <v>0</v>
      </c>
    </row>
    <row r="1624" spans="1:7">
      <c r="A1624" s="3">
        <v>12</v>
      </c>
      <c r="B1624" s="3">
        <v>4</v>
      </c>
      <c r="C1624" s="3">
        <v>61</v>
      </c>
      <c r="D1624" s="3">
        <v>20</v>
      </c>
      <c r="E1624" s="3">
        <v>-181.993</v>
      </c>
      <c r="F1624" s="4" t="str">
        <f>HYPERLINK("http://141.218.60.56/~jnz1568/getInfo.php?workbook=12_04.xlsx&amp;sheet=A0&amp;row=1624&amp;col=6&amp;number=0.000756&amp;sourceID=14","0.000756")</f>
        <v>0.000756</v>
      </c>
      <c r="G1624" s="4" t="str">
        <f>HYPERLINK("http://141.218.60.56/~jnz1568/getInfo.php?workbook=12_04.xlsx&amp;sheet=A0&amp;row=1624&amp;col=7&amp;number=0&amp;sourceID=14","0")</f>
        <v>0</v>
      </c>
    </row>
    <row r="1625" spans="1:7">
      <c r="A1625" s="3">
        <v>12</v>
      </c>
      <c r="B1625" s="3">
        <v>4</v>
      </c>
      <c r="C1625" s="3">
        <v>62</v>
      </c>
      <c r="D1625" s="3">
        <v>20</v>
      </c>
      <c r="E1625" s="3">
        <v>-181.689</v>
      </c>
      <c r="F1625" s="4" t="str">
        <f>HYPERLINK("http://141.218.60.56/~jnz1568/getInfo.php?workbook=12_04.xlsx&amp;sheet=A0&amp;row=1625&amp;col=6&amp;number=5860000&amp;sourceID=14","5860000")</f>
        <v>5860000</v>
      </c>
      <c r="G1625" s="4" t="str">
        <f>HYPERLINK("http://141.218.60.56/~jnz1568/getInfo.php?workbook=12_04.xlsx&amp;sheet=A0&amp;row=1625&amp;col=7&amp;number=0&amp;sourceID=14","0")</f>
        <v>0</v>
      </c>
    </row>
    <row r="1626" spans="1:7">
      <c r="A1626" s="3">
        <v>12</v>
      </c>
      <c r="B1626" s="3">
        <v>4</v>
      </c>
      <c r="C1626" s="3">
        <v>63</v>
      </c>
      <c r="D1626" s="3">
        <v>20</v>
      </c>
      <c r="E1626" s="3">
        <v>-180.711</v>
      </c>
      <c r="F1626" s="4" t="str">
        <f>HYPERLINK("http://141.218.60.56/~jnz1568/getInfo.php?workbook=12_04.xlsx&amp;sheet=A0&amp;row=1626&amp;col=6&amp;number=2650&amp;sourceID=14","2650")</f>
        <v>2650</v>
      </c>
      <c r="G1626" s="4" t="str">
        <f>HYPERLINK("http://141.218.60.56/~jnz1568/getInfo.php?workbook=12_04.xlsx&amp;sheet=A0&amp;row=1626&amp;col=7&amp;number=0&amp;sourceID=14","0")</f>
        <v>0</v>
      </c>
    </row>
    <row r="1627" spans="1:7">
      <c r="A1627" s="3">
        <v>12</v>
      </c>
      <c r="B1627" s="3">
        <v>4</v>
      </c>
      <c r="C1627" s="3">
        <v>64</v>
      </c>
      <c r="D1627" s="3">
        <v>20</v>
      </c>
      <c r="E1627" s="3">
        <v>-178.696</v>
      </c>
      <c r="F1627" s="4" t="str">
        <f>HYPERLINK("http://141.218.60.56/~jnz1568/getInfo.php?workbook=12_04.xlsx&amp;sheet=A0&amp;row=1627&amp;col=6&amp;number=116000000&amp;sourceID=14","116000000")</f>
        <v>116000000</v>
      </c>
      <c r="G1627" s="4" t="str">
        <f>HYPERLINK("http://141.218.60.56/~jnz1568/getInfo.php?workbook=12_04.xlsx&amp;sheet=A0&amp;row=1627&amp;col=7&amp;number=0&amp;sourceID=14","0")</f>
        <v>0</v>
      </c>
    </row>
    <row r="1628" spans="1:7">
      <c r="A1628" s="3">
        <v>12</v>
      </c>
      <c r="B1628" s="3">
        <v>4</v>
      </c>
      <c r="C1628" s="3">
        <v>65</v>
      </c>
      <c r="D1628" s="3">
        <v>20</v>
      </c>
      <c r="E1628" s="3">
        <v>-176.324</v>
      </c>
      <c r="F1628" s="4" t="str">
        <f>HYPERLINK("http://141.218.60.56/~jnz1568/getInfo.php?workbook=12_04.xlsx&amp;sheet=A0&amp;row=1628&amp;col=6&amp;number=3930&amp;sourceID=14","3930")</f>
        <v>3930</v>
      </c>
      <c r="G1628" s="4" t="str">
        <f>HYPERLINK("http://141.218.60.56/~jnz1568/getInfo.php?workbook=12_04.xlsx&amp;sheet=A0&amp;row=1628&amp;col=7&amp;number=0&amp;sourceID=14","0")</f>
        <v>0</v>
      </c>
    </row>
    <row r="1629" spans="1:7">
      <c r="A1629" s="3">
        <v>12</v>
      </c>
      <c r="B1629" s="3">
        <v>4</v>
      </c>
      <c r="C1629" s="3">
        <v>66</v>
      </c>
      <c r="D1629" s="3">
        <v>20</v>
      </c>
      <c r="E1629" s="3">
        <v>-175.534</v>
      </c>
      <c r="F1629" s="4" t="str">
        <f>HYPERLINK("http://141.218.60.56/~jnz1568/getInfo.php?workbook=12_04.xlsx&amp;sheet=A0&amp;row=1629&amp;col=6&amp;number=1870&amp;sourceID=14","1870")</f>
        <v>1870</v>
      </c>
      <c r="G1629" s="4" t="str">
        <f>HYPERLINK("http://141.218.60.56/~jnz1568/getInfo.php?workbook=12_04.xlsx&amp;sheet=A0&amp;row=1629&amp;col=7&amp;number=0&amp;sourceID=14","0")</f>
        <v>0</v>
      </c>
    </row>
    <row r="1630" spans="1:7">
      <c r="A1630" s="3">
        <v>12</v>
      </c>
      <c r="B1630" s="3">
        <v>4</v>
      </c>
      <c r="C1630" s="3">
        <v>67</v>
      </c>
      <c r="D1630" s="3">
        <v>20</v>
      </c>
      <c r="E1630" s="3">
        <v>-175.395</v>
      </c>
      <c r="F1630" s="4" t="str">
        <f>HYPERLINK("http://141.218.60.56/~jnz1568/getInfo.php?workbook=12_04.xlsx&amp;sheet=A0&amp;row=1630&amp;col=6&amp;number=141&amp;sourceID=14","141")</f>
        <v>141</v>
      </c>
      <c r="G1630" s="4" t="str">
        <f>HYPERLINK("http://141.218.60.56/~jnz1568/getInfo.php?workbook=12_04.xlsx&amp;sheet=A0&amp;row=1630&amp;col=7&amp;number=0&amp;sourceID=14","0")</f>
        <v>0</v>
      </c>
    </row>
    <row r="1631" spans="1:7">
      <c r="A1631" s="3">
        <v>12</v>
      </c>
      <c r="B1631" s="3">
        <v>4</v>
      </c>
      <c r="C1631" s="3">
        <v>68</v>
      </c>
      <c r="D1631" s="3">
        <v>20</v>
      </c>
      <c r="E1631" s="3">
        <v>173.868</v>
      </c>
      <c r="F1631" s="4" t="str">
        <f>HYPERLINK("http://141.218.60.56/~jnz1568/getInfo.php?workbook=12_04.xlsx&amp;sheet=A0&amp;row=1631&amp;col=6&amp;number=0.033&amp;sourceID=14","0.033")</f>
        <v>0.033</v>
      </c>
      <c r="G1631" s="4" t="str">
        <f>HYPERLINK("http://141.218.60.56/~jnz1568/getInfo.php?workbook=12_04.xlsx&amp;sheet=A0&amp;row=1631&amp;col=7&amp;number=0&amp;sourceID=14","0")</f>
        <v>0</v>
      </c>
    </row>
    <row r="1632" spans="1:7">
      <c r="A1632" s="3">
        <v>12</v>
      </c>
      <c r="B1632" s="3">
        <v>4</v>
      </c>
      <c r="C1632" s="3">
        <v>69</v>
      </c>
      <c r="D1632" s="3">
        <v>20</v>
      </c>
      <c r="E1632" s="3">
        <v>-173.769</v>
      </c>
      <c r="F1632" s="4" t="str">
        <f>HYPERLINK("http://141.218.60.56/~jnz1568/getInfo.php?workbook=12_04.xlsx&amp;sheet=A0&amp;row=1632&amp;col=6&amp;number=403&amp;sourceID=14","403")</f>
        <v>403</v>
      </c>
      <c r="G1632" s="4" t="str">
        <f>HYPERLINK("http://141.218.60.56/~jnz1568/getInfo.php?workbook=12_04.xlsx&amp;sheet=A0&amp;row=1632&amp;col=7&amp;number=0&amp;sourceID=14","0")</f>
        <v>0</v>
      </c>
    </row>
    <row r="1633" spans="1:7">
      <c r="A1633" s="3">
        <v>12</v>
      </c>
      <c r="B1633" s="3">
        <v>4</v>
      </c>
      <c r="C1633" s="3">
        <v>70</v>
      </c>
      <c r="D1633" s="3">
        <v>20</v>
      </c>
      <c r="E1633" s="3">
        <v>-173.579</v>
      </c>
      <c r="F1633" s="4" t="str">
        <f>HYPERLINK("http://141.218.60.56/~jnz1568/getInfo.php?workbook=12_04.xlsx&amp;sheet=A0&amp;row=1633&amp;col=6&amp;number=1220&amp;sourceID=14","1220")</f>
        <v>1220</v>
      </c>
      <c r="G1633" s="4" t="str">
        <f>HYPERLINK("http://141.218.60.56/~jnz1568/getInfo.php?workbook=12_04.xlsx&amp;sheet=A0&amp;row=1633&amp;col=7&amp;number=0&amp;sourceID=14","0")</f>
        <v>0</v>
      </c>
    </row>
    <row r="1634" spans="1:7">
      <c r="A1634" s="3">
        <v>12</v>
      </c>
      <c r="B1634" s="3">
        <v>4</v>
      </c>
      <c r="C1634" s="3">
        <v>71</v>
      </c>
      <c r="D1634" s="3">
        <v>20</v>
      </c>
      <c r="E1634" s="3">
        <v>-172.999</v>
      </c>
      <c r="F1634" s="4" t="str">
        <f>HYPERLINK("http://141.218.60.56/~jnz1568/getInfo.php?workbook=12_04.xlsx&amp;sheet=A0&amp;row=1634&amp;col=6&amp;number=0.871&amp;sourceID=14","0.871")</f>
        <v>0.871</v>
      </c>
      <c r="G1634" s="4" t="str">
        <f>HYPERLINK("http://141.218.60.56/~jnz1568/getInfo.php?workbook=12_04.xlsx&amp;sheet=A0&amp;row=1634&amp;col=7&amp;number=0&amp;sourceID=14","0")</f>
        <v>0</v>
      </c>
    </row>
    <row r="1635" spans="1:7">
      <c r="A1635" s="3">
        <v>12</v>
      </c>
      <c r="B1635" s="3">
        <v>4</v>
      </c>
      <c r="C1635" s="3">
        <v>72</v>
      </c>
      <c r="D1635" s="3">
        <v>20</v>
      </c>
      <c r="E1635" s="3">
        <v>172.185</v>
      </c>
      <c r="F1635" s="4" t="str">
        <f>HYPERLINK("http://141.218.60.56/~jnz1568/getInfo.php?workbook=12_04.xlsx&amp;sheet=A0&amp;row=1635&amp;col=6&amp;number=195&amp;sourceID=14","195")</f>
        <v>195</v>
      </c>
      <c r="G1635" s="4" t="str">
        <f>HYPERLINK("http://141.218.60.56/~jnz1568/getInfo.php?workbook=12_04.xlsx&amp;sheet=A0&amp;row=1635&amp;col=7&amp;number=0&amp;sourceID=14","0")</f>
        <v>0</v>
      </c>
    </row>
    <row r="1636" spans="1:7">
      <c r="A1636" s="3">
        <v>12</v>
      </c>
      <c r="B1636" s="3">
        <v>4</v>
      </c>
      <c r="C1636" s="3">
        <v>73</v>
      </c>
      <c r="D1636" s="3">
        <v>20</v>
      </c>
      <c r="E1636" s="3">
        <v>-171.957</v>
      </c>
      <c r="F1636" s="4" t="str">
        <f>HYPERLINK("http://141.218.60.56/~jnz1568/getInfo.php?workbook=12_04.xlsx&amp;sheet=A0&amp;row=1636&amp;col=6&amp;number=40700000&amp;sourceID=14","40700000")</f>
        <v>40700000</v>
      </c>
      <c r="G1636" s="4" t="str">
        <f>HYPERLINK("http://141.218.60.56/~jnz1568/getInfo.php?workbook=12_04.xlsx&amp;sheet=A0&amp;row=1636&amp;col=7&amp;number=0&amp;sourceID=14","0")</f>
        <v>0</v>
      </c>
    </row>
    <row r="1637" spans="1:7">
      <c r="A1637" s="3">
        <v>12</v>
      </c>
      <c r="B1637" s="3">
        <v>4</v>
      </c>
      <c r="C1637" s="3">
        <v>74</v>
      </c>
      <c r="D1637" s="3">
        <v>20</v>
      </c>
      <c r="E1637" s="3">
        <v>-171.394</v>
      </c>
      <c r="F1637" s="4" t="str">
        <f>HYPERLINK("http://141.218.60.56/~jnz1568/getInfo.php?workbook=12_04.xlsx&amp;sheet=A0&amp;row=1637&amp;col=6&amp;number=15800000&amp;sourceID=14","15800000")</f>
        <v>15800000</v>
      </c>
      <c r="G1637" s="4" t="str">
        <f>HYPERLINK("http://141.218.60.56/~jnz1568/getInfo.php?workbook=12_04.xlsx&amp;sheet=A0&amp;row=1637&amp;col=7&amp;number=0&amp;sourceID=14","0")</f>
        <v>0</v>
      </c>
    </row>
    <row r="1638" spans="1:7">
      <c r="A1638" s="3">
        <v>12</v>
      </c>
      <c r="B1638" s="3">
        <v>4</v>
      </c>
      <c r="C1638" s="3">
        <v>75</v>
      </c>
      <c r="D1638" s="3">
        <v>20</v>
      </c>
      <c r="E1638" s="3">
        <v>170.465</v>
      </c>
      <c r="F1638" s="4" t="str">
        <f>HYPERLINK("http://141.218.60.56/~jnz1568/getInfo.php?workbook=12_04.xlsx&amp;sheet=A0&amp;row=1638&amp;col=6&amp;number=87700000&amp;sourceID=14","87700000")</f>
        <v>87700000</v>
      </c>
      <c r="G1638" s="4" t="str">
        <f>HYPERLINK("http://141.218.60.56/~jnz1568/getInfo.php?workbook=12_04.xlsx&amp;sheet=A0&amp;row=1638&amp;col=7&amp;number=0&amp;sourceID=14","0")</f>
        <v>0</v>
      </c>
    </row>
    <row r="1639" spans="1:7">
      <c r="A1639" s="3">
        <v>12</v>
      </c>
      <c r="B1639" s="3">
        <v>4</v>
      </c>
      <c r="C1639" s="3">
        <v>76</v>
      </c>
      <c r="D1639" s="3">
        <v>20</v>
      </c>
      <c r="E1639" s="3">
        <v>170.503</v>
      </c>
      <c r="F1639" s="4" t="str">
        <f>HYPERLINK("http://141.218.60.56/~jnz1568/getInfo.php?workbook=12_04.xlsx&amp;sheet=A0&amp;row=1639&amp;col=6&amp;number=14400&amp;sourceID=14","14400")</f>
        <v>14400</v>
      </c>
      <c r="G1639" s="4" t="str">
        <f>HYPERLINK("http://141.218.60.56/~jnz1568/getInfo.php?workbook=12_04.xlsx&amp;sheet=A0&amp;row=1639&amp;col=7&amp;number=0&amp;sourceID=14","0")</f>
        <v>0</v>
      </c>
    </row>
    <row r="1640" spans="1:7">
      <c r="A1640" s="3">
        <v>12</v>
      </c>
      <c r="B1640" s="3">
        <v>4</v>
      </c>
      <c r="C1640" s="3">
        <v>77</v>
      </c>
      <c r="D1640" s="3">
        <v>20</v>
      </c>
      <c r="E1640" s="3">
        <v>-170.757</v>
      </c>
      <c r="F1640" s="4" t="str">
        <f>HYPERLINK("http://141.218.60.56/~jnz1568/getInfo.php?workbook=12_04.xlsx&amp;sheet=A0&amp;row=1640&amp;col=6&amp;number=1.5&amp;sourceID=14","1.5")</f>
        <v>1.5</v>
      </c>
      <c r="G1640" s="4" t="str">
        <f>HYPERLINK("http://141.218.60.56/~jnz1568/getInfo.php?workbook=12_04.xlsx&amp;sheet=A0&amp;row=1640&amp;col=7&amp;number=0&amp;sourceID=14","0")</f>
        <v>0</v>
      </c>
    </row>
    <row r="1641" spans="1:7">
      <c r="A1641" s="3">
        <v>12</v>
      </c>
      <c r="B1641" s="3">
        <v>4</v>
      </c>
      <c r="C1641" s="3">
        <v>78</v>
      </c>
      <c r="D1641" s="3">
        <v>20</v>
      </c>
      <c r="E1641" s="3">
        <v>-169.886</v>
      </c>
      <c r="F1641" s="4" t="str">
        <f>HYPERLINK("http://141.218.60.56/~jnz1568/getInfo.php?workbook=12_04.xlsx&amp;sheet=A0&amp;row=1641&amp;col=6&amp;number=27100000&amp;sourceID=14","27100000")</f>
        <v>27100000</v>
      </c>
      <c r="G1641" s="4" t="str">
        <f>HYPERLINK("http://141.218.60.56/~jnz1568/getInfo.php?workbook=12_04.xlsx&amp;sheet=A0&amp;row=1641&amp;col=7&amp;number=0&amp;sourceID=14","0")</f>
        <v>0</v>
      </c>
    </row>
    <row r="1642" spans="1:7">
      <c r="A1642" s="3">
        <v>12</v>
      </c>
      <c r="B1642" s="3">
        <v>4</v>
      </c>
      <c r="C1642" s="3">
        <v>79</v>
      </c>
      <c r="D1642" s="3">
        <v>20</v>
      </c>
      <c r="E1642" s="3">
        <v>-169.707</v>
      </c>
      <c r="F1642" s="4" t="str">
        <f>HYPERLINK("http://141.218.60.56/~jnz1568/getInfo.php?workbook=12_04.xlsx&amp;sheet=A0&amp;row=1642&amp;col=6&amp;number=5200000&amp;sourceID=14","5200000")</f>
        <v>5200000</v>
      </c>
      <c r="G1642" s="4" t="str">
        <f>HYPERLINK("http://141.218.60.56/~jnz1568/getInfo.php?workbook=12_04.xlsx&amp;sheet=A0&amp;row=1642&amp;col=7&amp;number=0&amp;sourceID=14","0")</f>
        <v>0</v>
      </c>
    </row>
    <row r="1643" spans="1:7">
      <c r="A1643" s="3">
        <v>12</v>
      </c>
      <c r="B1643" s="3">
        <v>4</v>
      </c>
      <c r="C1643" s="3">
        <v>80</v>
      </c>
      <c r="D1643" s="3">
        <v>20</v>
      </c>
      <c r="E1643" s="3">
        <v>-169.351</v>
      </c>
      <c r="F1643" s="4" t="str">
        <f>HYPERLINK("http://141.218.60.56/~jnz1568/getInfo.php?workbook=12_04.xlsx&amp;sheet=A0&amp;row=1643&amp;col=6&amp;number=3490&amp;sourceID=14","3490")</f>
        <v>3490</v>
      </c>
      <c r="G1643" s="4" t="str">
        <f>HYPERLINK("http://141.218.60.56/~jnz1568/getInfo.php?workbook=12_04.xlsx&amp;sheet=A0&amp;row=1643&amp;col=7&amp;number=0&amp;sourceID=14","0")</f>
        <v>0</v>
      </c>
    </row>
    <row r="1644" spans="1:7">
      <c r="A1644" s="3">
        <v>12</v>
      </c>
      <c r="B1644" s="3">
        <v>4</v>
      </c>
      <c r="C1644" s="3">
        <v>81</v>
      </c>
      <c r="D1644" s="3">
        <v>20</v>
      </c>
      <c r="E1644" s="3">
        <v>168.444</v>
      </c>
      <c r="F1644" s="4" t="str">
        <f>HYPERLINK("http://141.218.60.56/~jnz1568/getInfo.php?workbook=12_04.xlsx&amp;sheet=A0&amp;row=1644&amp;col=6&amp;number=8520000&amp;sourceID=14","8520000")</f>
        <v>8520000</v>
      </c>
      <c r="G1644" s="4" t="str">
        <f>HYPERLINK("http://141.218.60.56/~jnz1568/getInfo.php?workbook=12_04.xlsx&amp;sheet=A0&amp;row=1644&amp;col=7&amp;number=0&amp;sourceID=14","0")</f>
        <v>0</v>
      </c>
    </row>
    <row r="1645" spans="1:7">
      <c r="A1645" s="3">
        <v>12</v>
      </c>
      <c r="B1645" s="3">
        <v>4</v>
      </c>
      <c r="C1645" s="3">
        <v>82</v>
      </c>
      <c r="D1645" s="3">
        <v>20</v>
      </c>
      <c r="E1645" s="3">
        <v>-169.247</v>
      </c>
      <c r="F1645" s="4" t="str">
        <f>HYPERLINK("http://141.218.60.56/~jnz1568/getInfo.php?workbook=12_04.xlsx&amp;sheet=A0&amp;row=1645&amp;col=6&amp;number=1200&amp;sourceID=14","1200")</f>
        <v>1200</v>
      </c>
      <c r="G1645" s="4" t="str">
        <f>HYPERLINK("http://141.218.60.56/~jnz1568/getInfo.php?workbook=12_04.xlsx&amp;sheet=A0&amp;row=1645&amp;col=7&amp;number=0&amp;sourceID=14","0")</f>
        <v>0</v>
      </c>
    </row>
    <row r="1646" spans="1:7">
      <c r="A1646" s="3">
        <v>12</v>
      </c>
      <c r="B1646" s="3">
        <v>4</v>
      </c>
      <c r="C1646" s="3">
        <v>83</v>
      </c>
      <c r="D1646" s="3">
        <v>20</v>
      </c>
      <c r="E1646" s="3">
        <v>-169.245</v>
      </c>
      <c r="F1646" s="4" t="str">
        <f>HYPERLINK("http://141.218.60.56/~jnz1568/getInfo.php?workbook=12_04.xlsx&amp;sheet=A0&amp;row=1646&amp;col=6&amp;number=63.2&amp;sourceID=14","63.2")</f>
        <v>63.2</v>
      </c>
      <c r="G1646" s="4" t="str">
        <f>HYPERLINK("http://141.218.60.56/~jnz1568/getInfo.php?workbook=12_04.xlsx&amp;sheet=A0&amp;row=1646&amp;col=7&amp;number=0&amp;sourceID=14","0")</f>
        <v>0</v>
      </c>
    </row>
    <row r="1647" spans="1:7">
      <c r="A1647" s="3">
        <v>12</v>
      </c>
      <c r="B1647" s="3">
        <v>4</v>
      </c>
      <c r="C1647" s="3">
        <v>84</v>
      </c>
      <c r="D1647" s="3">
        <v>20</v>
      </c>
      <c r="E1647" s="3">
        <v>-169.152</v>
      </c>
      <c r="F1647" s="4" t="str">
        <f>HYPERLINK("http://141.218.60.56/~jnz1568/getInfo.php?workbook=12_04.xlsx&amp;sheet=A0&amp;row=1647&amp;col=6&amp;number=12600&amp;sourceID=14","12600")</f>
        <v>12600</v>
      </c>
      <c r="G1647" s="4" t="str">
        <f>HYPERLINK("http://141.218.60.56/~jnz1568/getInfo.php?workbook=12_04.xlsx&amp;sheet=A0&amp;row=1647&amp;col=7&amp;number=0&amp;sourceID=14","0")</f>
        <v>0</v>
      </c>
    </row>
    <row r="1648" spans="1:7">
      <c r="A1648" s="3">
        <v>12</v>
      </c>
      <c r="B1648" s="3">
        <v>4</v>
      </c>
      <c r="C1648" s="3">
        <v>85</v>
      </c>
      <c r="D1648" s="3">
        <v>20</v>
      </c>
      <c r="E1648" s="3">
        <v>168.104</v>
      </c>
      <c r="F1648" s="4" t="str">
        <f>HYPERLINK("http://141.218.60.56/~jnz1568/getInfo.php?workbook=12_04.xlsx&amp;sheet=A0&amp;row=1648&amp;col=6&amp;number=874000&amp;sourceID=14","874000")</f>
        <v>874000</v>
      </c>
      <c r="G1648" s="4" t="str">
        <f>HYPERLINK("http://141.218.60.56/~jnz1568/getInfo.php?workbook=12_04.xlsx&amp;sheet=A0&amp;row=1648&amp;col=7&amp;number=0&amp;sourceID=14","0")</f>
        <v>0</v>
      </c>
    </row>
    <row r="1649" spans="1:7">
      <c r="A1649" s="3">
        <v>12</v>
      </c>
      <c r="B1649" s="3">
        <v>4</v>
      </c>
      <c r="C1649" s="3">
        <v>86</v>
      </c>
      <c r="D1649" s="3">
        <v>20</v>
      </c>
      <c r="E1649" s="3">
        <v>167.957</v>
      </c>
      <c r="F1649" s="4" t="str">
        <f>HYPERLINK("http://141.218.60.56/~jnz1568/getInfo.php?workbook=12_04.xlsx&amp;sheet=A0&amp;row=1649&amp;col=6&amp;number=3940000&amp;sourceID=14","3940000")</f>
        <v>3940000</v>
      </c>
      <c r="G1649" s="4" t="str">
        <f>HYPERLINK("http://141.218.60.56/~jnz1568/getInfo.php?workbook=12_04.xlsx&amp;sheet=A0&amp;row=1649&amp;col=7&amp;number=0&amp;sourceID=14","0")</f>
        <v>0</v>
      </c>
    </row>
    <row r="1650" spans="1:7">
      <c r="A1650" s="3">
        <v>12</v>
      </c>
      <c r="B1650" s="3">
        <v>4</v>
      </c>
      <c r="C1650" s="3">
        <v>87</v>
      </c>
      <c r="D1650" s="3">
        <v>20</v>
      </c>
      <c r="E1650" s="3">
        <v>-168.46</v>
      </c>
      <c r="F1650" s="4" t="str">
        <f>HYPERLINK("http://141.218.60.56/~jnz1568/getInfo.php?workbook=12_04.xlsx&amp;sheet=A0&amp;row=1650&amp;col=6&amp;number=2.39&amp;sourceID=14","2.39")</f>
        <v>2.39</v>
      </c>
      <c r="G1650" s="4" t="str">
        <f>HYPERLINK("http://141.218.60.56/~jnz1568/getInfo.php?workbook=12_04.xlsx&amp;sheet=A0&amp;row=1650&amp;col=7&amp;number=0&amp;sourceID=14","0")</f>
        <v>0</v>
      </c>
    </row>
    <row r="1651" spans="1:7">
      <c r="A1651" s="3">
        <v>12</v>
      </c>
      <c r="B1651" s="3">
        <v>4</v>
      </c>
      <c r="C1651" s="3">
        <v>88</v>
      </c>
      <c r="D1651" s="3">
        <v>20</v>
      </c>
      <c r="E1651" s="3">
        <v>-168.238</v>
      </c>
      <c r="F1651" s="4" t="str">
        <f>HYPERLINK("http://141.218.60.56/~jnz1568/getInfo.php?workbook=12_04.xlsx&amp;sheet=A0&amp;row=1651&amp;col=6&amp;number=616&amp;sourceID=14","616")</f>
        <v>616</v>
      </c>
      <c r="G1651" s="4" t="str">
        <f>HYPERLINK("http://141.218.60.56/~jnz1568/getInfo.php?workbook=12_04.xlsx&amp;sheet=A0&amp;row=1651&amp;col=7&amp;number=0&amp;sourceID=14","0")</f>
        <v>0</v>
      </c>
    </row>
    <row r="1652" spans="1:7">
      <c r="A1652" s="3">
        <v>12</v>
      </c>
      <c r="B1652" s="3">
        <v>4</v>
      </c>
      <c r="C1652" s="3">
        <v>89</v>
      </c>
      <c r="D1652" s="3">
        <v>20</v>
      </c>
      <c r="E1652" s="3">
        <v>-168.107</v>
      </c>
      <c r="F1652" s="4" t="str">
        <f>HYPERLINK("http://141.218.60.56/~jnz1568/getInfo.php?workbook=12_04.xlsx&amp;sheet=A0&amp;row=1652&amp;col=6&amp;number=11800&amp;sourceID=14","11800")</f>
        <v>11800</v>
      </c>
      <c r="G1652" s="4" t="str">
        <f>HYPERLINK("http://141.218.60.56/~jnz1568/getInfo.php?workbook=12_04.xlsx&amp;sheet=A0&amp;row=1652&amp;col=7&amp;number=0&amp;sourceID=14","0")</f>
        <v>0</v>
      </c>
    </row>
    <row r="1653" spans="1:7">
      <c r="A1653" s="3">
        <v>12</v>
      </c>
      <c r="B1653" s="3">
        <v>4</v>
      </c>
      <c r="C1653" s="3">
        <v>90</v>
      </c>
      <c r="D1653" s="3">
        <v>20</v>
      </c>
      <c r="E1653" s="3">
        <v>-167.72</v>
      </c>
      <c r="F1653" s="4" t="str">
        <f>HYPERLINK("http://141.218.60.56/~jnz1568/getInfo.php?workbook=12_04.xlsx&amp;sheet=A0&amp;row=1653&amp;col=6&amp;number=0.000261&amp;sourceID=14","0.000261")</f>
        <v>0.000261</v>
      </c>
      <c r="G1653" s="4" t="str">
        <f>HYPERLINK("http://141.218.60.56/~jnz1568/getInfo.php?workbook=12_04.xlsx&amp;sheet=A0&amp;row=1653&amp;col=7&amp;number=0&amp;sourceID=14","0")</f>
        <v>0</v>
      </c>
    </row>
    <row r="1654" spans="1:7">
      <c r="A1654" s="3">
        <v>12</v>
      </c>
      <c r="B1654" s="3">
        <v>4</v>
      </c>
      <c r="C1654" s="3">
        <v>91</v>
      </c>
      <c r="D1654" s="3">
        <v>20</v>
      </c>
      <c r="E1654" s="3">
        <v>-167.377</v>
      </c>
      <c r="F1654" s="4" t="str">
        <f>HYPERLINK("http://141.218.60.56/~jnz1568/getInfo.php?workbook=12_04.xlsx&amp;sheet=A0&amp;row=1654&amp;col=6&amp;number=89.2&amp;sourceID=14","89.2")</f>
        <v>89.2</v>
      </c>
      <c r="G1654" s="4" t="str">
        <f>HYPERLINK("http://141.218.60.56/~jnz1568/getInfo.php?workbook=12_04.xlsx&amp;sheet=A0&amp;row=1654&amp;col=7&amp;number=0&amp;sourceID=14","0")</f>
        <v>0</v>
      </c>
    </row>
    <row r="1655" spans="1:7">
      <c r="A1655" s="3">
        <v>12</v>
      </c>
      <c r="B1655" s="3">
        <v>4</v>
      </c>
      <c r="C1655" s="3">
        <v>92</v>
      </c>
      <c r="D1655" s="3">
        <v>20</v>
      </c>
      <c r="E1655" s="3">
        <v>-167.297</v>
      </c>
      <c r="F1655" s="4" t="str">
        <f>HYPERLINK("http://141.218.60.56/~jnz1568/getInfo.php?workbook=12_04.xlsx&amp;sheet=A0&amp;row=1655&amp;col=6&amp;number=127000&amp;sourceID=14","127000")</f>
        <v>127000</v>
      </c>
      <c r="G1655" s="4" t="str">
        <f>HYPERLINK("http://141.218.60.56/~jnz1568/getInfo.php?workbook=12_04.xlsx&amp;sheet=A0&amp;row=1655&amp;col=7&amp;number=0&amp;sourceID=14","0")</f>
        <v>0</v>
      </c>
    </row>
    <row r="1656" spans="1:7">
      <c r="A1656" s="3">
        <v>12</v>
      </c>
      <c r="B1656" s="3">
        <v>4</v>
      </c>
      <c r="C1656" s="3">
        <v>93</v>
      </c>
      <c r="D1656" s="3">
        <v>20</v>
      </c>
      <c r="E1656" s="3">
        <v>-167.224</v>
      </c>
      <c r="F1656" s="4" t="str">
        <f>HYPERLINK("http://141.218.60.56/~jnz1568/getInfo.php?workbook=12_04.xlsx&amp;sheet=A0&amp;row=1656&amp;col=6&amp;number=6190&amp;sourceID=14","6190")</f>
        <v>6190</v>
      </c>
      <c r="G1656" s="4" t="str">
        <f>HYPERLINK("http://141.218.60.56/~jnz1568/getInfo.php?workbook=12_04.xlsx&amp;sheet=A0&amp;row=1656&amp;col=7&amp;number=0&amp;sourceID=14","0")</f>
        <v>0</v>
      </c>
    </row>
    <row r="1657" spans="1:7">
      <c r="A1657" s="3">
        <v>12</v>
      </c>
      <c r="B1657" s="3">
        <v>4</v>
      </c>
      <c r="C1657" s="3">
        <v>94</v>
      </c>
      <c r="D1657" s="3">
        <v>20</v>
      </c>
      <c r="E1657" s="3">
        <v>-166.954</v>
      </c>
      <c r="F1657" s="4" t="str">
        <f>HYPERLINK("http://141.218.60.56/~jnz1568/getInfo.php?workbook=12_04.xlsx&amp;sheet=A0&amp;row=1657&amp;col=6&amp;number=0.0694&amp;sourceID=14","0.0694")</f>
        <v>0.0694</v>
      </c>
      <c r="G1657" s="4" t="str">
        <f>HYPERLINK("http://141.218.60.56/~jnz1568/getInfo.php?workbook=12_04.xlsx&amp;sheet=A0&amp;row=1657&amp;col=7&amp;number=0&amp;sourceID=14","0")</f>
        <v>0</v>
      </c>
    </row>
    <row r="1658" spans="1:7">
      <c r="A1658" s="3">
        <v>12</v>
      </c>
      <c r="B1658" s="3">
        <v>4</v>
      </c>
      <c r="C1658" s="3">
        <v>95</v>
      </c>
      <c r="D1658" s="3">
        <v>20</v>
      </c>
      <c r="E1658" s="3">
        <v>-166.777</v>
      </c>
      <c r="F1658" s="4" t="str">
        <f>HYPERLINK("http://141.218.60.56/~jnz1568/getInfo.php?workbook=12_04.xlsx&amp;sheet=A0&amp;row=1658&amp;col=6&amp;number=160000&amp;sourceID=14","160000")</f>
        <v>160000</v>
      </c>
      <c r="G1658" s="4" t="str">
        <f>HYPERLINK("http://141.218.60.56/~jnz1568/getInfo.php?workbook=12_04.xlsx&amp;sheet=A0&amp;row=1658&amp;col=7&amp;number=0&amp;sourceID=14","0")</f>
        <v>0</v>
      </c>
    </row>
    <row r="1659" spans="1:7">
      <c r="A1659" s="3">
        <v>12</v>
      </c>
      <c r="B1659" s="3">
        <v>4</v>
      </c>
      <c r="C1659" s="3">
        <v>96</v>
      </c>
      <c r="D1659" s="3">
        <v>20</v>
      </c>
      <c r="E1659" s="3">
        <v>-166.614</v>
      </c>
      <c r="F1659" s="4" t="str">
        <f>HYPERLINK("http://141.218.60.56/~jnz1568/getInfo.php?workbook=12_04.xlsx&amp;sheet=A0&amp;row=1659&amp;col=6&amp;number=35500&amp;sourceID=14","35500")</f>
        <v>35500</v>
      </c>
      <c r="G1659" s="4" t="str">
        <f>HYPERLINK("http://141.218.60.56/~jnz1568/getInfo.php?workbook=12_04.xlsx&amp;sheet=A0&amp;row=1659&amp;col=7&amp;number=0&amp;sourceID=14","0")</f>
        <v>0</v>
      </c>
    </row>
    <row r="1660" spans="1:7">
      <c r="A1660" s="3">
        <v>12</v>
      </c>
      <c r="B1660" s="3">
        <v>4</v>
      </c>
      <c r="C1660" s="3">
        <v>97</v>
      </c>
      <c r="D1660" s="3">
        <v>20</v>
      </c>
      <c r="E1660" s="3">
        <v>166.116</v>
      </c>
      <c r="F1660" s="4" t="str">
        <f>HYPERLINK("http://141.218.60.56/~jnz1568/getInfo.php?workbook=12_04.xlsx&amp;sheet=A0&amp;row=1660&amp;col=6&amp;number=1620000000&amp;sourceID=14","1620000000")</f>
        <v>1620000000</v>
      </c>
      <c r="G1660" s="4" t="str">
        <f>HYPERLINK("http://141.218.60.56/~jnz1568/getInfo.php?workbook=12_04.xlsx&amp;sheet=A0&amp;row=1660&amp;col=7&amp;number=0&amp;sourceID=14","0")</f>
        <v>0</v>
      </c>
    </row>
    <row r="1661" spans="1:7">
      <c r="A1661" s="3">
        <v>12</v>
      </c>
      <c r="B1661" s="3">
        <v>4</v>
      </c>
      <c r="C1661" s="3">
        <v>98</v>
      </c>
      <c r="D1661" s="3">
        <v>20</v>
      </c>
      <c r="E1661" s="3">
        <v>165.637</v>
      </c>
      <c r="F1661" s="4" t="str">
        <f>HYPERLINK("http://141.218.60.56/~jnz1568/getInfo.php?workbook=12_04.xlsx&amp;sheet=A0&amp;row=1661&amp;col=6&amp;number=1820000000&amp;sourceID=14","1820000000")</f>
        <v>1820000000</v>
      </c>
      <c r="G1661" s="4" t="str">
        <f>HYPERLINK("http://141.218.60.56/~jnz1568/getInfo.php?workbook=12_04.xlsx&amp;sheet=A0&amp;row=1661&amp;col=7&amp;number=0&amp;sourceID=14","0")</f>
        <v>0</v>
      </c>
    </row>
    <row r="1662" spans="1:7">
      <c r="A1662" s="3">
        <v>12</v>
      </c>
      <c r="B1662" s="3">
        <v>4</v>
      </c>
      <c r="C1662" s="3">
        <v>22</v>
      </c>
      <c r="D1662" s="3">
        <v>21</v>
      </c>
      <c r="E1662" s="3">
        <v>90090.258</v>
      </c>
      <c r="F1662" s="4" t="str">
        <f>HYPERLINK("http://141.218.60.56/~jnz1568/getInfo.php?workbook=12_04.xlsx&amp;sheet=A0&amp;row=1662&amp;col=6&amp;number=0.0245&amp;sourceID=14","0.0245")</f>
        <v>0.0245</v>
      </c>
      <c r="G1662" s="4" t="str">
        <f>HYPERLINK("http://141.218.60.56/~jnz1568/getInfo.php?workbook=12_04.xlsx&amp;sheet=A0&amp;row=1662&amp;col=7&amp;number=0&amp;sourceID=14","0")</f>
        <v>0</v>
      </c>
    </row>
    <row r="1663" spans="1:7">
      <c r="A1663" s="3">
        <v>12</v>
      </c>
      <c r="B1663" s="3">
        <v>4</v>
      </c>
      <c r="C1663" s="3">
        <v>23</v>
      </c>
      <c r="D1663" s="3">
        <v>21</v>
      </c>
      <c r="E1663" s="3">
        <v>26595.793</v>
      </c>
      <c r="F1663" s="4" t="str">
        <f>HYPERLINK("http://141.218.60.56/~jnz1568/getInfo.php?workbook=12_04.xlsx&amp;sheet=A0&amp;row=1663&amp;col=6&amp;number=1.79e-08&amp;sourceID=14","1.79e-08")</f>
        <v>1.79e-08</v>
      </c>
      <c r="G1663" s="4" t="str">
        <f>HYPERLINK("http://141.218.60.56/~jnz1568/getInfo.php?workbook=12_04.xlsx&amp;sheet=A0&amp;row=1663&amp;col=7&amp;number=0&amp;sourceID=14","0")</f>
        <v>0</v>
      </c>
    </row>
    <row r="1664" spans="1:7">
      <c r="A1664" s="3">
        <v>12</v>
      </c>
      <c r="B1664" s="3">
        <v>4</v>
      </c>
      <c r="C1664" s="3">
        <v>24</v>
      </c>
      <c r="D1664" s="3">
        <v>21</v>
      </c>
      <c r="E1664" s="3">
        <v>3039.519</v>
      </c>
      <c r="F1664" s="4" t="str">
        <f>HYPERLINK("http://141.218.60.56/~jnz1568/getInfo.php?workbook=12_04.xlsx&amp;sheet=A0&amp;row=1664&amp;col=6&amp;number=2.34&amp;sourceID=14","2.34")</f>
        <v>2.34</v>
      </c>
      <c r="G1664" s="4" t="str">
        <f>HYPERLINK("http://141.218.60.56/~jnz1568/getInfo.php?workbook=12_04.xlsx&amp;sheet=A0&amp;row=1664&amp;col=7&amp;number=0&amp;sourceID=14","0")</f>
        <v>0</v>
      </c>
    </row>
    <row r="1665" spans="1:7">
      <c r="A1665" s="3">
        <v>12</v>
      </c>
      <c r="B1665" s="3">
        <v>4</v>
      </c>
      <c r="C1665" s="3">
        <v>25</v>
      </c>
      <c r="D1665" s="3">
        <v>21</v>
      </c>
      <c r="E1665" s="3">
        <v>2632.97</v>
      </c>
      <c r="F1665" s="4" t="str">
        <f>HYPERLINK("http://141.218.60.56/~jnz1568/getInfo.php?workbook=12_04.xlsx&amp;sheet=A0&amp;row=1665&amp;col=6&amp;number=883000&amp;sourceID=14","883000")</f>
        <v>883000</v>
      </c>
      <c r="G1665" s="4" t="str">
        <f>HYPERLINK("http://141.218.60.56/~jnz1568/getInfo.php?workbook=12_04.xlsx&amp;sheet=A0&amp;row=1665&amp;col=7&amp;number=0&amp;sourceID=14","0")</f>
        <v>0</v>
      </c>
    </row>
    <row r="1666" spans="1:7">
      <c r="A1666" s="3">
        <v>12</v>
      </c>
      <c r="B1666" s="3">
        <v>4</v>
      </c>
      <c r="C1666" s="3">
        <v>26</v>
      </c>
      <c r="D1666" s="3">
        <v>21</v>
      </c>
      <c r="E1666" s="3">
        <v>2206.049</v>
      </c>
      <c r="F1666" s="4" t="str">
        <f>HYPERLINK("http://141.218.60.56/~jnz1568/getInfo.php?workbook=12_04.xlsx&amp;sheet=A0&amp;row=1666&amp;col=6&amp;number=63400000&amp;sourceID=14","63400000")</f>
        <v>63400000</v>
      </c>
      <c r="G1666" s="4" t="str">
        <f>HYPERLINK("http://141.218.60.56/~jnz1568/getInfo.php?workbook=12_04.xlsx&amp;sheet=A0&amp;row=1666&amp;col=7&amp;number=0&amp;sourceID=14","0")</f>
        <v>0</v>
      </c>
    </row>
    <row r="1667" spans="1:7">
      <c r="A1667" s="3">
        <v>12</v>
      </c>
      <c r="B1667" s="3">
        <v>4</v>
      </c>
      <c r="C1667" s="3">
        <v>27</v>
      </c>
      <c r="D1667" s="3">
        <v>21</v>
      </c>
      <c r="E1667" s="3">
        <v>2158.433</v>
      </c>
      <c r="F1667" s="4" t="str">
        <f>HYPERLINK("http://141.218.60.56/~jnz1568/getInfo.php?workbook=12_04.xlsx&amp;sheet=A0&amp;row=1667&amp;col=6&amp;number=0.000532&amp;sourceID=14","0.000532")</f>
        <v>0.000532</v>
      </c>
      <c r="G1667" s="4" t="str">
        <f>HYPERLINK("http://141.218.60.56/~jnz1568/getInfo.php?workbook=12_04.xlsx&amp;sheet=A0&amp;row=1667&amp;col=7&amp;number=0&amp;sourceID=14","0")</f>
        <v>0</v>
      </c>
    </row>
    <row r="1668" spans="1:7">
      <c r="A1668" s="3">
        <v>12</v>
      </c>
      <c r="B1668" s="3">
        <v>4</v>
      </c>
      <c r="C1668" s="3">
        <v>28</v>
      </c>
      <c r="D1668" s="3">
        <v>21</v>
      </c>
      <c r="E1668" s="3">
        <v>2047.925</v>
      </c>
      <c r="F1668" s="4" t="str">
        <f>HYPERLINK("http://141.218.60.56/~jnz1568/getInfo.php?workbook=12_04.xlsx&amp;sheet=A0&amp;row=1668&amp;col=6&amp;number=7.51e-09&amp;sourceID=14","7.51e-09")</f>
        <v>7.51e-09</v>
      </c>
      <c r="G1668" s="4" t="str">
        <f>HYPERLINK("http://141.218.60.56/~jnz1568/getInfo.php?workbook=12_04.xlsx&amp;sheet=A0&amp;row=1668&amp;col=7&amp;number=0&amp;sourceID=14","0")</f>
        <v>0</v>
      </c>
    </row>
    <row r="1669" spans="1:7">
      <c r="A1669" s="3">
        <v>12</v>
      </c>
      <c r="B1669" s="3">
        <v>4</v>
      </c>
      <c r="C1669" s="3">
        <v>29</v>
      </c>
      <c r="D1669" s="3">
        <v>21</v>
      </c>
      <c r="E1669" s="3">
        <v>1660.03</v>
      </c>
      <c r="F1669" s="4" t="str">
        <f>HYPERLINK("http://141.218.60.56/~jnz1568/getInfo.php?workbook=12_04.xlsx&amp;sheet=A0&amp;row=1669&amp;col=6&amp;number=41400000&amp;sourceID=14","41400000")</f>
        <v>41400000</v>
      </c>
      <c r="G1669" s="4" t="str">
        <f>HYPERLINK("http://141.218.60.56/~jnz1568/getInfo.php?workbook=12_04.xlsx&amp;sheet=A0&amp;row=1669&amp;col=7&amp;number=0&amp;sourceID=14","0")</f>
        <v>0</v>
      </c>
    </row>
    <row r="1670" spans="1:7">
      <c r="A1670" s="3">
        <v>12</v>
      </c>
      <c r="B1670" s="3">
        <v>4</v>
      </c>
      <c r="C1670" s="3">
        <v>31</v>
      </c>
      <c r="D1670" s="3">
        <v>21</v>
      </c>
      <c r="E1670" s="3">
        <v>1458.792</v>
      </c>
      <c r="F1670" s="4" t="str">
        <f>HYPERLINK("http://141.218.60.56/~jnz1568/getInfo.php?workbook=12_04.xlsx&amp;sheet=A0&amp;row=1670&amp;col=6&amp;number=109000000&amp;sourceID=14","109000000")</f>
        <v>109000000</v>
      </c>
      <c r="G1670" s="4" t="str">
        <f>HYPERLINK("http://141.218.60.56/~jnz1568/getInfo.php?workbook=12_04.xlsx&amp;sheet=A0&amp;row=1670&amp;col=7&amp;number=0&amp;sourceID=14","0")</f>
        <v>0</v>
      </c>
    </row>
    <row r="1671" spans="1:7">
      <c r="A1671" s="3">
        <v>12</v>
      </c>
      <c r="B1671" s="3">
        <v>4</v>
      </c>
      <c r="C1671" s="3">
        <v>32</v>
      </c>
      <c r="D1671" s="3">
        <v>21</v>
      </c>
      <c r="E1671" s="3">
        <v>1431.642</v>
      </c>
      <c r="F1671" s="4" t="str">
        <f>HYPERLINK("http://141.218.60.56/~jnz1568/getInfo.php?workbook=12_04.xlsx&amp;sheet=A0&amp;row=1671&amp;col=6&amp;number=0.00181&amp;sourceID=14","0.00181")</f>
        <v>0.00181</v>
      </c>
      <c r="G1671" s="4" t="str">
        <f>HYPERLINK("http://141.218.60.56/~jnz1568/getInfo.php?workbook=12_04.xlsx&amp;sheet=A0&amp;row=1671&amp;col=7&amp;number=0&amp;sourceID=14","0")</f>
        <v>0</v>
      </c>
    </row>
    <row r="1672" spans="1:7">
      <c r="A1672" s="3">
        <v>12</v>
      </c>
      <c r="B1672" s="3">
        <v>4</v>
      </c>
      <c r="C1672" s="3">
        <v>33</v>
      </c>
      <c r="D1672" s="3">
        <v>21</v>
      </c>
      <c r="E1672" s="3">
        <v>-1312.511</v>
      </c>
      <c r="F1672" s="4" t="str">
        <f>HYPERLINK("http://141.218.60.56/~jnz1568/getInfo.php?workbook=12_04.xlsx&amp;sheet=A0&amp;row=1672&amp;col=6&amp;number=51.3&amp;sourceID=14","51.3")</f>
        <v>51.3</v>
      </c>
      <c r="G1672" s="4" t="str">
        <f>HYPERLINK("http://141.218.60.56/~jnz1568/getInfo.php?workbook=12_04.xlsx&amp;sheet=A0&amp;row=1672&amp;col=7&amp;number=0&amp;sourceID=14","0")</f>
        <v>0</v>
      </c>
    </row>
    <row r="1673" spans="1:7">
      <c r="A1673" s="3">
        <v>12</v>
      </c>
      <c r="B1673" s="3">
        <v>4</v>
      </c>
      <c r="C1673" s="3">
        <v>35</v>
      </c>
      <c r="D1673" s="3">
        <v>21</v>
      </c>
      <c r="E1673" s="3">
        <v>1257.864</v>
      </c>
      <c r="F1673" s="4" t="str">
        <f>HYPERLINK("http://141.218.60.56/~jnz1568/getInfo.php?workbook=12_04.xlsx&amp;sheet=A0&amp;row=1673&amp;col=6&amp;number=23.1&amp;sourceID=14","23.1")</f>
        <v>23.1</v>
      </c>
      <c r="G1673" s="4" t="str">
        <f>HYPERLINK("http://141.218.60.56/~jnz1568/getInfo.php?workbook=12_04.xlsx&amp;sheet=A0&amp;row=1673&amp;col=7&amp;number=0&amp;sourceID=14","0")</f>
        <v>0</v>
      </c>
    </row>
    <row r="1674" spans="1:7">
      <c r="A1674" s="3">
        <v>12</v>
      </c>
      <c r="B1674" s="3">
        <v>4</v>
      </c>
      <c r="C1674" s="3">
        <v>36</v>
      </c>
      <c r="D1674" s="3">
        <v>21</v>
      </c>
      <c r="E1674" s="3">
        <v>-1246.093</v>
      </c>
      <c r="F1674" s="4" t="str">
        <f>HYPERLINK("http://141.218.60.56/~jnz1568/getInfo.php?workbook=12_04.xlsx&amp;sheet=A0&amp;row=1674&amp;col=6&amp;number=3.18e-14&amp;sourceID=14","3.18e-14")</f>
        <v>3.18e-14</v>
      </c>
      <c r="G1674" s="4" t="str">
        <f>HYPERLINK("http://141.218.60.56/~jnz1568/getInfo.php?workbook=12_04.xlsx&amp;sheet=A0&amp;row=1674&amp;col=7&amp;number=0&amp;sourceID=14","0")</f>
        <v>0</v>
      </c>
    </row>
    <row r="1675" spans="1:7">
      <c r="A1675" s="3">
        <v>12</v>
      </c>
      <c r="B1675" s="3">
        <v>4</v>
      </c>
      <c r="C1675" s="3">
        <v>37</v>
      </c>
      <c r="D1675" s="3">
        <v>21</v>
      </c>
      <c r="E1675" s="3">
        <v>1166.455</v>
      </c>
      <c r="F1675" s="4" t="str">
        <f>HYPERLINK("http://141.218.60.56/~jnz1568/getInfo.php?workbook=12_04.xlsx&amp;sheet=A0&amp;row=1675&amp;col=6&amp;number=0.00757&amp;sourceID=14","0.00757")</f>
        <v>0.00757</v>
      </c>
      <c r="G1675" s="4" t="str">
        <f>HYPERLINK("http://141.218.60.56/~jnz1568/getInfo.php?workbook=12_04.xlsx&amp;sheet=A0&amp;row=1675&amp;col=7&amp;number=0&amp;sourceID=14","0")</f>
        <v>0</v>
      </c>
    </row>
    <row r="1676" spans="1:7">
      <c r="A1676" s="3">
        <v>12</v>
      </c>
      <c r="B1676" s="3">
        <v>4</v>
      </c>
      <c r="C1676" s="3">
        <v>38</v>
      </c>
      <c r="D1676" s="3">
        <v>21</v>
      </c>
      <c r="E1676" s="3">
        <v>1029.02</v>
      </c>
      <c r="F1676" s="4" t="str">
        <f>HYPERLINK("http://141.218.60.56/~jnz1568/getInfo.php?workbook=12_04.xlsx&amp;sheet=A0&amp;row=1676&amp;col=6&amp;number=0.0417&amp;sourceID=14","0.0417")</f>
        <v>0.0417</v>
      </c>
      <c r="G1676" s="4" t="str">
        <f>HYPERLINK("http://141.218.60.56/~jnz1568/getInfo.php?workbook=12_04.xlsx&amp;sheet=A0&amp;row=1676&amp;col=7&amp;number=0&amp;sourceID=14","0")</f>
        <v>0</v>
      </c>
    </row>
    <row r="1677" spans="1:7">
      <c r="A1677" s="3">
        <v>12</v>
      </c>
      <c r="B1677" s="3">
        <v>4</v>
      </c>
      <c r="C1677" s="3">
        <v>39</v>
      </c>
      <c r="D1677" s="3">
        <v>21</v>
      </c>
      <c r="E1677" s="3">
        <v>1023.334</v>
      </c>
      <c r="F1677" s="4" t="str">
        <f>HYPERLINK("http://141.218.60.56/~jnz1568/getInfo.php?workbook=12_04.xlsx&amp;sheet=A0&amp;row=1677&amp;col=6&amp;number=237&amp;sourceID=14","237")</f>
        <v>237</v>
      </c>
      <c r="G1677" s="4" t="str">
        <f>HYPERLINK("http://141.218.60.56/~jnz1568/getInfo.php?workbook=12_04.xlsx&amp;sheet=A0&amp;row=1677&amp;col=7&amp;number=0&amp;sourceID=14","0")</f>
        <v>0</v>
      </c>
    </row>
    <row r="1678" spans="1:7">
      <c r="A1678" s="3">
        <v>12</v>
      </c>
      <c r="B1678" s="3">
        <v>4</v>
      </c>
      <c r="C1678" s="3">
        <v>41</v>
      </c>
      <c r="D1678" s="3">
        <v>21</v>
      </c>
      <c r="E1678" s="3">
        <v>951.658</v>
      </c>
      <c r="F1678" s="4" t="str">
        <f>HYPERLINK("http://141.218.60.56/~jnz1568/getInfo.php?workbook=12_04.xlsx&amp;sheet=A0&amp;row=1678&amp;col=6&amp;number=72.8&amp;sourceID=14","72.8")</f>
        <v>72.8</v>
      </c>
      <c r="G1678" s="4" t="str">
        <f>HYPERLINK("http://141.218.60.56/~jnz1568/getInfo.php?workbook=12_04.xlsx&amp;sheet=A0&amp;row=1678&amp;col=7&amp;number=0&amp;sourceID=14","0")</f>
        <v>0</v>
      </c>
    </row>
    <row r="1679" spans="1:7">
      <c r="A1679" s="3">
        <v>12</v>
      </c>
      <c r="B1679" s="3">
        <v>4</v>
      </c>
      <c r="C1679" s="3">
        <v>42</v>
      </c>
      <c r="D1679" s="3">
        <v>21</v>
      </c>
      <c r="E1679" s="3">
        <v>942.775</v>
      </c>
      <c r="F1679" s="4" t="str">
        <f>HYPERLINK("http://141.218.60.56/~jnz1568/getInfo.php?workbook=12_04.xlsx&amp;sheet=A0&amp;row=1679&amp;col=6&amp;number=0.0743&amp;sourceID=14","0.0743")</f>
        <v>0.0743</v>
      </c>
      <c r="G1679" s="4" t="str">
        <f>HYPERLINK("http://141.218.60.56/~jnz1568/getInfo.php?workbook=12_04.xlsx&amp;sheet=A0&amp;row=1679&amp;col=7&amp;number=0&amp;sourceID=14","0")</f>
        <v>0</v>
      </c>
    </row>
    <row r="1680" spans="1:7">
      <c r="A1680" s="3">
        <v>12</v>
      </c>
      <c r="B1680" s="3">
        <v>4</v>
      </c>
      <c r="C1680" s="3">
        <v>46</v>
      </c>
      <c r="D1680" s="3">
        <v>21</v>
      </c>
      <c r="E1680" s="3">
        <v>760.921</v>
      </c>
      <c r="F1680" s="4" t="str">
        <f>HYPERLINK("http://141.218.60.56/~jnz1568/getInfo.php?workbook=12_04.xlsx&amp;sheet=A0&amp;row=1680&amp;col=6&amp;number=0.0163&amp;sourceID=14","0.0163")</f>
        <v>0.0163</v>
      </c>
      <c r="G1680" s="4" t="str">
        <f>HYPERLINK("http://141.218.60.56/~jnz1568/getInfo.php?workbook=12_04.xlsx&amp;sheet=A0&amp;row=1680&amp;col=7&amp;number=0&amp;sourceID=14","0")</f>
        <v>0</v>
      </c>
    </row>
    <row r="1681" spans="1:7">
      <c r="A1681" s="3">
        <v>12</v>
      </c>
      <c r="B1681" s="3">
        <v>4</v>
      </c>
      <c r="C1681" s="3">
        <v>47</v>
      </c>
      <c r="D1681" s="3">
        <v>21</v>
      </c>
      <c r="E1681" s="3">
        <v>-302.708</v>
      </c>
      <c r="F1681" s="4" t="str">
        <f>HYPERLINK("http://141.218.60.56/~jnz1568/getInfo.php?workbook=12_04.xlsx&amp;sheet=A0&amp;row=1681&amp;col=6&amp;number=9520000&amp;sourceID=14","9520000")</f>
        <v>9520000</v>
      </c>
      <c r="G1681" s="4" t="str">
        <f>HYPERLINK("http://141.218.60.56/~jnz1568/getInfo.php?workbook=12_04.xlsx&amp;sheet=A0&amp;row=1681&amp;col=7&amp;number=0&amp;sourceID=14","0")</f>
        <v>0</v>
      </c>
    </row>
    <row r="1682" spans="1:7">
      <c r="A1682" s="3">
        <v>12</v>
      </c>
      <c r="B1682" s="3">
        <v>4</v>
      </c>
      <c r="C1682" s="3">
        <v>50</v>
      </c>
      <c r="D1682" s="3">
        <v>21</v>
      </c>
      <c r="E1682" s="3">
        <v>-281.639</v>
      </c>
      <c r="F1682" s="4" t="str">
        <f>HYPERLINK("http://141.218.60.56/~jnz1568/getInfo.php?workbook=12_04.xlsx&amp;sheet=A0&amp;row=1682&amp;col=6&amp;number=0.0044&amp;sourceID=14","0.0044")</f>
        <v>0.0044</v>
      </c>
      <c r="G1682" s="4" t="str">
        <f>HYPERLINK("http://141.218.60.56/~jnz1568/getInfo.php?workbook=12_04.xlsx&amp;sheet=A0&amp;row=1682&amp;col=7&amp;number=0&amp;sourceID=14","0")</f>
        <v>0</v>
      </c>
    </row>
    <row r="1683" spans="1:7">
      <c r="A1683" s="3">
        <v>12</v>
      </c>
      <c r="B1683" s="3">
        <v>4</v>
      </c>
      <c r="C1683" s="3">
        <v>51</v>
      </c>
      <c r="D1683" s="3">
        <v>21</v>
      </c>
      <c r="E1683" s="3">
        <v>-281.431</v>
      </c>
      <c r="F1683" s="4" t="str">
        <f>HYPERLINK("http://141.218.60.56/~jnz1568/getInfo.php?workbook=12_04.xlsx&amp;sheet=A0&amp;row=1683&amp;col=6&amp;number=212&amp;sourceID=14","212")</f>
        <v>212</v>
      </c>
      <c r="G1683" s="4" t="str">
        <f>HYPERLINK("http://141.218.60.56/~jnz1568/getInfo.php?workbook=12_04.xlsx&amp;sheet=A0&amp;row=1683&amp;col=7&amp;number=0&amp;sourceID=14","0")</f>
        <v>0</v>
      </c>
    </row>
    <row r="1684" spans="1:7">
      <c r="A1684" s="3">
        <v>12</v>
      </c>
      <c r="B1684" s="3">
        <v>4</v>
      </c>
      <c r="C1684" s="3">
        <v>52</v>
      </c>
      <c r="D1684" s="3">
        <v>21</v>
      </c>
      <c r="E1684" s="3">
        <v>278.909</v>
      </c>
      <c r="F1684" s="4" t="str">
        <f>HYPERLINK("http://141.218.60.56/~jnz1568/getInfo.php?workbook=12_04.xlsx&amp;sheet=A0&amp;row=1684&amp;col=6&amp;number=0.0306&amp;sourceID=14","0.0306")</f>
        <v>0.0306</v>
      </c>
      <c r="G1684" s="4" t="str">
        <f>HYPERLINK("http://141.218.60.56/~jnz1568/getInfo.php?workbook=12_04.xlsx&amp;sheet=A0&amp;row=1684&amp;col=7&amp;number=0&amp;sourceID=14","0")</f>
        <v>0</v>
      </c>
    </row>
    <row r="1685" spans="1:7">
      <c r="A1685" s="3">
        <v>12</v>
      </c>
      <c r="B1685" s="3">
        <v>4</v>
      </c>
      <c r="C1685" s="3">
        <v>53</v>
      </c>
      <c r="D1685" s="3">
        <v>21</v>
      </c>
      <c r="E1685" s="3">
        <v>270.395</v>
      </c>
      <c r="F1685" s="4" t="str">
        <f>HYPERLINK("http://141.218.60.56/~jnz1568/getInfo.php?workbook=12_04.xlsx&amp;sheet=A0&amp;row=1685&amp;col=6&amp;number=6350000&amp;sourceID=14","6350000")</f>
        <v>6350000</v>
      </c>
      <c r="G1685" s="4" t="str">
        <f>HYPERLINK("http://141.218.60.56/~jnz1568/getInfo.php?workbook=12_04.xlsx&amp;sheet=A0&amp;row=1685&amp;col=7&amp;number=0&amp;sourceID=14","0")</f>
        <v>0</v>
      </c>
    </row>
    <row r="1686" spans="1:7">
      <c r="A1686" s="3">
        <v>12</v>
      </c>
      <c r="B1686" s="3">
        <v>4</v>
      </c>
      <c r="C1686" s="3">
        <v>54</v>
      </c>
      <c r="D1686" s="3">
        <v>21</v>
      </c>
      <c r="E1686" s="3">
        <v>270.395</v>
      </c>
      <c r="F1686" s="4" t="str">
        <f>HYPERLINK("http://141.218.60.56/~jnz1568/getInfo.php?workbook=12_04.xlsx&amp;sheet=A0&amp;row=1686&amp;col=6&amp;number=0.00015&amp;sourceID=14","0.00015")</f>
        <v>0.00015</v>
      </c>
      <c r="G1686" s="4" t="str">
        <f>HYPERLINK("http://141.218.60.56/~jnz1568/getInfo.php?workbook=12_04.xlsx&amp;sheet=A0&amp;row=1686&amp;col=7&amp;number=0&amp;sourceID=14","0")</f>
        <v>0</v>
      </c>
    </row>
    <row r="1687" spans="1:7">
      <c r="A1687" s="3">
        <v>12</v>
      </c>
      <c r="B1687" s="3">
        <v>4</v>
      </c>
      <c r="C1687" s="3">
        <v>55</v>
      </c>
      <c r="D1687" s="3">
        <v>21</v>
      </c>
      <c r="E1687" s="3">
        <v>270.337</v>
      </c>
      <c r="F1687" s="4" t="str">
        <f>HYPERLINK("http://141.218.60.56/~jnz1568/getInfo.php?workbook=12_04.xlsx&amp;sheet=A0&amp;row=1687&amp;col=6&amp;number=0.000881&amp;sourceID=14","0.000881")</f>
        <v>0.000881</v>
      </c>
      <c r="G1687" s="4" t="str">
        <f>HYPERLINK("http://141.218.60.56/~jnz1568/getInfo.php?workbook=12_04.xlsx&amp;sheet=A0&amp;row=1687&amp;col=7&amp;number=0&amp;sourceID=14","0")</f>
        <v>0</v>
      </c>
    </row>
    <row r="1688" spans="1:7">
      <c r="A1688" s="3">
        <v>12</v>
      </c>
      <c r="B1688" s="3">
        <v>4</v>
      </c>
      <c r="C1688" s="3">
        <v>56</v>
      </c>
      <c r="D1688" s="3">
        <v>21</v>
      </c>
      <c r="E1688" s="3">
        <v>264.726</v>
      </c>
      <c r="F1688" s="4" t="str">
        <f>HYPERLINK("http://141.218.60.56/~jnz1568/getInfo.php?workbook=12_04.xlsx&amp;sheet=A0&amp;row=1688&amp;col=6&amp;number=0.00177&amp;sourceID=14","0.00177")</f>
        <v>0.00177</v>
      </c>
      <c r="G1688" s="4" t="str">
        <f>HYPERLINK("http://141.218.60.56/~jnz1568/getInfo.php?workbook=12_04.xlsx&amp;sheet=A0&amp;row=1688&amp;col=7&amp;number=0&amp;sourceID=14","0")</f>
        <v>0</v>
      </c>
    </row>
    <row r="1689" spans="1:7">
      <c r="A1689" s="3">
        <v>12</v>
      </c>
      <c r="B1689" s="3">
        <v>4</v>
      </c>
      <c r="C1689" s="3">
        <v>57</v>
      </c>
      <c r="D1689" s="3">
        <v>21</v>
      </c>
      <c r="E1689" s="3">
        <v>-264.56</v>
      </c>
      <c r="F1689" s="4" t="str">
        <f>HYPERLINK("http://141.218.60.56/~jnz1568/getInfo.php?workbook=12_04.xlsx&amp;sheet=A0&amp;row=1689&amp;col=6&amp;number=2350&amp;sourceID=14","2350")</f>
        <v>2350</v>
      </c>
      <c r="G1689" s="4" t="str">
        <f>HYPERLINK("http://141.218.60.56/~jnz1568/getInfo.php?workbook=12_04.xlsx&amp;sheet=A0&amp;row=1689&amp;col=7&amp;number=0&amp;sourceID=14","0")</f>
        <v>0</v>
      </c>
    </row>
    <row r="1690" spans="1:7">
      <c r="A1690" s="3">
        <v>12</v>
      </c>
      <c r="B1690" s="3">
        <v>4</v>
      </c>
      <c r="C1690" s="3">
        <v>58</v>
      </c>
      <c r="D1690" s="3">
        <v>21</v>
      </c>
      <c r="E1690" s="3">
        <v>-264.54</v>
      </c>
      <c r="F1690" s="4" t="str">
        <f>HYPERLINK("http://141.218.60.56/~jnz1568/getInfo.php?workbook=12_04.xlsx&amp;sheet=A0&amp;row=1690&amp;col=6&amp;number=7.62e-07&amp;sourceID=14","7.62e-07")</f>
        <v>7.62e-07</v>
      </c>
      <c r="G1690" s="4" t="str">
        <f>HYPERLINK("http://141.218.60.56/~jnz1568/getInfo.php?workbook=12_04.xlsx&amp;sheet=A0&amp;row=1690&amp;col=7&amp;number=0&amp;sourceID=14","0")</f>
        <v>0</v>
      </c>
    </row>
    <row r="1691" spans="1:7">
      <c r="A1691" s="3">
        <v>12</v>
      </c>
      <c r="B1691" s="3">
        <v>4</v>
      </c>
      <c r="C1691" s="3">
        <v>59</v>
      </c>
      <c r="D1691" s="3">
        <v>21</v>
      </c>
      <c r="E1691" s="3">
        <v>-264.514</v>
      </c>
      <c r="F1691" s="4" t="str">
        <f>HYPERLINK("http://141.218.60.56/~jnz1568/getInfo.php?workbook=12_04.xlsx&amp;sheet=A0&amp;row=1691&amp;col=6&amp;number=4.75e-08&amp;sourceID=14","4.75e-08")</f>
        <v>4.75e-08</v>
      </c>
      <c r="G1691" s="4" t="str">
        <f>HYPERLINK("http://141.218.60.56/~jnz1568/getInfo.php?workbook=12_04.xlsx&amp;sheet=A0&amp;row=1691&amp;col=7&amp;number=0&amp;sourceID=14","0")</f>
        <v>0</v>
      </c>
    </row>
    <row r="1692" spans="1:7">
      <c r="A1692" s="3">
        <v>12</v>
      </c>
      <c r="B1692" s="3">
        <v>4</v>
      </c>
      <c r="C1692" s="3">
        <v>60</v>
      </c>
      <c r="D1692" s="3">
        <v>21</v>
      </c>
      <c r="E1692" s="3">
        <v>-262.758</v>
      </c>
      <c r="F1692" s="4" t="str">
        <f>HYPERLINK("http://141.218.60.56/~jnz1568/getInfo.php?workbook=12_04.xlsx&amp;sheet=A0&amp;row=1692&amp;col=6&amp;number=4.27e-06&amp;sourceID=14","4.27e-06")</f>
        <v>4.27e-06</v>
      </c>
      <c r="G1692" s="4" t="str">
        <f>HYPERLINK("http://141.218.60.56/~jnz1568/getInfo.php?workbook=12_04.xlsx&amp;sheet=A0&amp;row=1692&amp;col=7&amp;number=0&amp;sourceID=14","0")</f>
        <v>0</v>
      </c>
    </row>
    <row r="1693" spans="1:7">
      <c r="A1693" s="3">
        <v>12</v>
      </c>
      <c r="B1693" s="3">
        <v>4</v>
      </c>
      <c r="C1693" s="3">
        <v>62</v>
      </c>
      <c r="D1693" s="3">
        <v>21</v>
      </c>
      <c r="E1693" s="3">
        <v>-201.124</v>
      </c>
      <c r="F1693" s="4" t="str">
        <f>HYPERLINK("http://141.218.60.56/~jnz1568/getInfo.php?workbook=12_04.xlsx&amp;sheet=A0&amp;row=1693&amp;col=6&amp;number=0.0475&amp;sourceID=14","0.0475")</f>
        <v>0.0475</v>
      </c>
      <c r="G1693" s="4" t="str">
        <f>HYPERLINK("http://141.218.60.56/~jnz1568/getInfo.php?workbook=12_04.xlsx&amp;sheet=A0&amp;row=1693&amp;col=7&amp;number=0&amp;sourceID=14","0")</f>
        <v>0</v>
      </c>
    </row>
    <row r="1694" spans="1:7">
      <c r="A1694" s="3">
        <v>12</v>
      </c>
      <c r="B1694" s="3">
        <v>4</v>
      </c>
      <c r="C1694" s="3">
        <v>63</v>
      </c>
      <c r="D1694" s="3">
        <v>21</v>
      </c>
      <c r="E1694" s="3">
        <v>-199.926</v>
      </c>
      <c r="F1694" s="4" t="str">
        <f>HYPERLINK("http://141.218.60.56/~jnz1568/getInfo.php?workbook=12_04.xlsx&amp;sheet=A0&amp;row=1694&amp;col=6&amp;number=7980&amp;sourceID=14","7980")</f>
        <v>7980</v>
      </c>
      <c r="G1694" s="4" t="str">
        <f>HYPERLINK("http://141.218.60.56/~jnz1568/getInfo.php?workbook=12_04.xlsx&amp;sheet=A0&amp;row=1694&amp;col=7&amp;number=0&amp;sourceID=14","0")</f>
        <v>0</v>
      </c>
    </row>
    <row r="1695" spans="1:7">
      <c r="A1695" s="3">
        <v>12</v>
      </c>
      <c r="B1695" s="3">
        <v>4</v>
      </c>
      <c r="C1695" s="3">
        <v>64</v>
      </c>
      <c r="D1695" s="3">
        <v>21</v>
      </c>
      <c r="E1695" s="3">
        <v>-197.463</v>
      </c>
      <c r="F1695" s="4" t="str">
        <f>HYPERLINK("http://141.218.60.56/~jnz1568/getInfo.php?workbook=12_04.xlsx&amp;sheet=A0&amp;row=1695&amp;col=6&amp;number=0.0315&amp;sourceID=14","0.0315")</f>
        <v>0.0315</v>
      </c>
      <c r="G1695" s="4" t="str">
        <f>HYPERLINK("http://141.218.60.56/~jnz1568/getInfo.php?workbook=12_04.xlsx&amp;sheet=A0&amp;row=1695&amp;col=7&amp;number=0&amp;sourceID=14","0")</f>
        <v>0</v>
      </c>
    </row>
    <row r="1696" spans="1:7">
      <c r="A1696" s="3">
        <v>12</v>
      </c>
      <c r="B1696" s="3">
        <v>4</v>
      </c>
      <c r="C1696" s="3">
        <v>65</v>
      </c>
      <c r="D1696" s="3">
        <v>21</v>
      </c>
      <c r="E1696" s="3">
        <v>-194.571</v>
      </c>
      <c r="F1696" s="4" t="str">
        <f>HYPERLINK("http://141.218.60.56/~jnz1568/getInfo.php?workbook=12_04.xlsx&amp;sheet=A0&amp;row=1696&amp;col=6&amp;number=2190000000&amp;sourceID=14","2190000000")</f>
        <v>2190000000</v>
      </c>
      <c r="G1696" s="4" t="str">
        <f>HYPERLINK("http://141.218.60.56/~jnz1568/getInfo.php?workbook=12_04.xlsx&amp;sheet=A0&amp;row=1696&amp;col=7&amp;number=0&amp;sourceID=14","0")</f>
        <v>0</v>
      </c>
    </row>
    <row r="1697" spans="1:7">
      <c r="A1697" s="3">
        <v>12</v>
      </c>
      <c r="B1697" s="3">
        <v>4</v>
      </c>
      <c r="C1697" s="3">
        <v>66</v>
      </c>
      <c r="D1697" s="3">
        <v>21</v>
      </c>
      <c r="E1697" s="3">
        <v>-193.61</v>
      </c>
      <c r="F1697" s="4" t="str">
        <f>HYPERLINK("http://141.218.60.56/~jnz1568/getInfo.php?workbook=12_04.xlsx&amp;sheet=A0&amp;row=1697&amp;col=6&amp;number=9420000000&amp;sourceID=14","9420000000")</f>
        <v>9420000000</v>
      </c>
      <c r="G1697" s="4" t="str">
        <f>HYPERLINK("http://141.218.60.56/~jnz1568/getInfo.php?workbook=12_04.xlsx&amp;sheet=A0&amp;row=1697&amp;col=7&amp;number=0&amp;sourceID=14","0")</f>
        <v>0</v>
      </c>
    </row>
    <row r="1698" spans="1:7">
      <c r="A1698" s="3">
        <v>12</v>
      </c>
      <c r="B1698" s="3">
        <v>4</v>
      </c>
      <c r="C1698" s="3">
        <v>67</v>
      </c>
      <c r="D1698" s="3">
        <v>21</v>
      </c>
      <c r="E1698" s="3">
        <v>-193.441</v>
      </c>
      <c r="F1698" s="4" t="str">
        <f>HYPERLINK("http://141.218.60.56/~jnz1568/getInfo.php?workbook=12_04.xlsx&amp;sheet=A0&amp;row=1698&amp;col=6&amp;number=7.34&amp;sourceID=14","7.34")</f>
        <v>7.34</v>
      </c>
      <c r="G1698" s="4" t="str">
        <f>HYPERLINK("http://141.218.60.56/~jnz1568/getInfo.php?workbook=12_04.xlsx&amp;sheet=A0&amp;row=1698&amp;col=7&amp;number=0&amp;sourceID=14","0")</f>
        <v>0</v>
      </c>
    </row>
    <row r="1699" spans="1:7">
      <c r="A1699" s="3">
        <v>12</v>
      </c>
      <c r="B1699" s="3">
        <v>4</v>
      </c>
      <c r="C1699" s="3">
        <v>68</v>
      </c>
      <c r="D1699" s="3">
        <v>21</v>
      </c>
      <c r="E1699" s="3">
        <v>192.46</v>
      </c>
      <c r="F1699" s="4" t="str">
        <f>HYPERLINK("http://141.218.60.56/~jnz1568/getInfo.php?workbook=12_04.xlsx&amp;sheet=A0&amp;row=1699&amp;col=6&amp;number=0.00205&amp;sourceID=14","0.00205")</f>
        <v>0.00205</v>
      </c>
      <c r="G1699" s="4" t="str">
        <f>HYPERLINK("http://141.218.60.56/~jnz1568/getInfo.php?workbook=12_04.xlsx&amp;sheet=A0&amp;row=1699&amp;col=7&amp;number=0&amp;sourceID=14","0")</f>
        <v>0</v>
      </c>
    </row>
    <row r="1700" spans="1:7">
      <c r="A1700" s="3">
        <v>12</v>
      </c>
      <c r="B1700" s="3">
        <v>4</v>
      </c>
      <c r="C1700" s="3">
        <v>69</v>
      </c>
      <c r="D1700" s="3">
        <v>21</v>
      </c>
      <c r="E1700" s="3">
        <v>-191.464</v>
      </c>
      <c r="F1700" s="4" t="str">
        <f>HYPERLINK("http://141.218.60.56/~jnz1568/getInfo.php?workbook=12_04.xlsx&amp;sheet=A0&amp;row=1700&amp;col=6&amp;number=3700000000&amp;sourceID=14","3700000000")</f>
        <v>3700000000</v>
      </c>
      <c r="G1700" s="4" t="str">
        <f>HYPERLINK("http://141.218.60.56/~jnz1568/getInfo.php?workbook=12_04.xlsx&amp;sheet=A0&amp;row=1700&amp;col=7&amp;number=0&amp;sourceID=14","0")</f>
        <v>0</v>
      </c>
    </row>
    <row r="1701" spans="1:7">
      <c r="A1701" s="3">
        <v>12</v>
      </c>
      <c r="B1701" s="3">
        <v>4</v>
      </c>
      <c r="C1701" s="3">
        <v>71</v>
      </c>
      <c r="D1701" s="3">
        <v>21</v>
      </c>
      <c r="E1701" s="3">
        <v>-190.53</v>
      </c>
      <c r="F1701" s="4" t="str">
        <f>HYPERLINK("http://141.218.60.56/~jnz1568/getInfo.php?workbook=12_04.xlsx&amp;sheet=A0&amp;row=1701&amp;col=6&amp;number=873000000&amp;sourceID=14","873000000")</f>
        <v>873000000</v>
      </c>
      <c r="G1701" s="4" t="str">
        <f>HYPERLINK("http://141.218.60.56/~jnz1568/getInfo.php?workbook=12_04.xlsx&amp;sheet=A0&amp;row=1701&amp;col=7&amp;number=0&amp;sourceID=14","0")</f>
        <v>0</v>
      </c>
    </row>
    <row r="1702" spans="1:7">
      <c r="A1702" s="3">
        <v>12</v>
      </c>
      <c r="B1702" s="3">
        <v>4</v>
      </c>
      <c r="C1702" s="3">
        <v>72</v>
      </c>
      <c r="D1702" s="3">
        <v>21</v>
      </c>
      <c r="E1702" s="3">
        <v>190.4</v>
      </c>
      <c r="F1702" s="4" t="str">
        <f>HYPERLINK("http://141.218.60.56/~jnz1568/getInfo.php?workbook=12_04.xlsx&amp;sheet=A0&amp;row=1702&amp;col=6&amp;number=6.31&amp;sourceID=14","6.31")</f>
        <v>6.31</v>
      </c>
      <c r="G1702" s="4" t="str">
        <f>HYPERLINK("http://141.218.60.56/~jnz1568/getInfo.php?workbook=12_04.xlsx&amp;sheet=A0&amp;row=1702&amp;col=7&amp;number=0&amp;sourceID=14","0")</f>
        <v>0</v>
      </c>
    </row>
    <row r="1703" spans="1:7">
      <c r="A1703" s="3">
        <v>12</v>
      </c>
      <c r="B1703" s="3">
        <v>4</v>
      </c>
      <c r="C1703" s="3">
        <v>73</v>
      </c>
      <c r="D1703" s="3">
        <v>21</v>
      </c>
      <c r="E1703" s="3">
        <v>-189.266</v>
      </c>
      <c r="F1703" s="4" t="str">
        <f>HYPERLINK("http://141.218.60.56/~jnz1568/getInfo.php?workbook=12_04.xlsx&amp;sheet=A0&amp;row=1703&amp;col=6&amp;number=967000&amp;sourceID=14","967000")</f>
        <v>967000</v>
      </c>
      <c r="G1703" s="4" t="str">
        <f>HYPERLINK("http://141.218.60.56/~jnz1568/getInfo.php?workbook=12_04.xlsx&amp;sheet=A0&amp;row=1703&amp;col=7&amp;number=0&amp;sourceID=14","0")</f>
        <v>0</v>
      </c>
    </row>
    <row r="1704" spans="1:7">
      <c r="A1704" s="3">
        <v>12</v>
      </c>
      <c r="B1704" s="3">
        <v>4</v>
      </c>
      <c r="C1704" s="3">
        <v>74</v>
      </c>
      <c r="D1704" s="3">
        <v>21</v>
      </c>
      <c r="E1704" s="3">
        <v>-188.585</v>
      </c>
      <c r="F1704" s="4" t="str">
        <f>HYPERLINK("http://141.218.60.56/~jnz1568/getInfo.php?workbook=12_04.xlsx&amp;sheet=A0&amp;row=1704&amp;col=6&amp;number=0.00127&amp;sourceID=14","0.00127")</f>
        <v>0.00127</v>
      </c>
      <c r="G1704" s="4" t="str">
        <f>HYPERLINK("http://141.218.60.56/~jnz1568/getInfo.php?workbook=12_04.xlsx&amp;sheet=A0&amp;row=1704&amp;col=7&amp;number=0&amp;sourceID=14","0")</f>
        <v>0</v>
      </c>
    </row>
    <row r="1705" spans="1:7">
      <c r="A1705" s="3">
        <v>12</v>
      </c>
      <c r="B1705" s="3">
        <v>4</v>
      </c>
      <c r="C1705" s="3">
        <v>75</v>
      </c>
      <c r="D1705" s="3">
        <v>21</v>
      </c>
      <c r="E1705" s="3">
        <v>188.299</v>
      </c>
      <c r="F1705" s="4" t="str">
        <f>HYPERLINK("http://141.218.60.56/~jnz1568/getInfo.php?workbook=12_04.xlsx&amp;sheet=A0&amp;row=1705&amp;col=6&amp;number=886000&amp;sourceID=14","886000")</f>
        <v>886000</v>
      </c>
      <c r="G1705" s="4" t="str">
        <f>HYPERLINK("http://141.218.60.56/~jnz1568/getInfo.php?workbook=12_04.xlsx&amp;sheet=A0&amp;row=1705&amp;col=7&amp;number=0&amp;sourceID=14","0")</f>
        <v>0</v>
      </c>
    </row>
    <row r="1706" spans="1:7">
      <c r="A1706" s="3">
        <v>12</v>
      </c>
      <c r="B1706" s="3">
        <v>4</v>
      </c>
      <c r="C1706" s="3">
        <v>76</v>
      </c>
      <c r="D1706" s="3">
        <v>21</v>
      </c>
      <c r="E1706" s="3">
        <v>188.346</v>
      </c>
      <c r="F1706" s="4" t="str">
        <f>HYPERLINK("http://141.218.60.56/~jnz1568/getInfo.php?workbook=12_04.xlsx&amp;sheet=A0&amp;row=1706&amp;col=6&amp;number=5.33&amp;sourceID=14","5.33")</f>
        <v>5.33</v>
      </c>
      <c r="G1706" s="4" t="str">
        <f>HYPERLINK("http://141.218.60.56/~jnz1568/getInfo.php?workbook=12_04.xlsx&amp;sheet=A0&amp;row=1706&amp;col=7&amp;number=0&amp;sourceID=14","0")</f>
        <v>0</v>
      </c>
    </row>
    <row r="1707" spans="1:7">
      <c r="A1707" s="3">
        <v>12</v>
      </c>
      <c r="B1707" s="3">
        <v>4</v>
      </c>
      <c r="C1707" s="3">
        <v>77</v>
      </c>
      <c r="D1707" s="3">
        <v>21</v>
      </c>
      <c r="E1707" s="3">
        <v>-187.814</v>
      </c>
      <c r="F1707" s="4" t="str">
        <f>HYPERLINK("http://141.218.60.56/~jnz1568/getInfo.php?workbook=12_04.xlsx&amp;sheet=A0&amp;row=1707&amp;col=6&amp;number=1.28e-06&amp;sourceID=14","1.28e-06")</f>
        <v>1.28e-06</v>
      </c>
      <c r="G1707" s="4" t="str">
        <f>HYPERLINK("http://141.218.60.56/~jnz1568/getInfo.php?workbook=12_04.xlsx&amp;sheet=A0&amp;row=1707&amp;col=7&amp;number=0&amp;sourceID=14","0")</f>
        <v>0</v>
      </c>
    </row>
    <row r="1708" spans="1:7">
      <c r="A1708" s="3">
        <v>12</v>
      </c>
      <c r="B1708" s="3">
        <v>4</v>
      </c>
      <c r="C1708" s="3">
        <v>78</v>
      </c>
      <c r="D1708" s="3">
        <v>21</v>
      </c>
      <c r="E1708" s="3">
        <v>-186.761</v>
      </c>
      <c r="F1708" s="4" t="str">
        <f>HYPERLINK("http://141.218.60.56/~jnz1568/getInfo.php?workbook=12_04.xlsx&amp;sheet=A0&amp;row=1708&amp;col=6&amp;number=7.66e-05&amp;sourceID=14","7.66e-05")</f>
        <v>7.66e-05</v>
      </c>
      <c r="G1708" s="4" t="str">
        <f>HYPERLINK("http://141.218.60.56/~jnz1568/getInfo.php?workbook=12_04.xlsx&amp;sheet=A0&amp;row=1708&amp;col=7&amp;number=0&amp;sourceID=14","0")</f>
        <v>0</v>
      </c>
    </row>
    <row r="1709" spans="1:7">
      <c r="A1709" s="3">
        <v>12</v>
      </c>
      <c r="B1709" s="3">
        <v>4</v>
      </c>
      <c r="C1709" s="3">
        <v>79</v>
      </c>
      <c r="D1709" s="3">
        <v>21</v>
      </c>
      <c r="E1709" s="3">
        <v>-186.545</v>
      </c>
      <c r="F1709" s="4" t="str">
        <f>HYPERLINK("http://141.218.60.56/~jnz1568/getInfo.php?workbook=12_04.xlsx&amp;sheet=A0&amp;row=1709&amp;col=6&amp;number=979000&amp;sourceID=14","979000")</f>
        <v>979000</v>
      </c>
      <c r="G1709" s="4" t="str">
        <f>HYPERLINK("http://141.218.60.56/~jnz1568/getInfo.php?workbook=12_04.xlsx&amp;sheet=A0&amp;row=1709&amp;col=7&amp;number=0&amp;sourceID=14","0")</f>
        <v>0</v>
      </c>
    </row>
    <row r="1710" spans="1:7">
      <c r="A1710" s="3">
        <v>12</v>
      </c>
      <c r="B1710" s="3">
        <v>4</v>
      </c>
      <c r="C1710" s="3">
        <v>80</v>
      </c>
      <c r="D1710" s="3">
        <v>21</v>
      </c>
      <c r="E1710" s="3">
        <v>-186.114</v>
      </c>
      <c r="F1710" s="4" t="str">
        <f>HYPERLINK("http://141.218.60.56/~jnz1568/getInfo.php?workbook=12_04.xlsx&amp;sheet=A0&amp;row=1710&amp;col=6&amp;number=0.309&amp;sourceID=14","0.309")</f>
        <v>0.309</v>
      </c>
      <c r="G1710" s="4" t="str">
        <f>HYPERLINK("http://141.218.60.56/~jnz1568/getInfo.php?workbook=12_04.xlsx&amp;sheet=A0&amp;row=1710&amp;col=7&amp;number=0&amp;sourceID=14","0")</f>
        <v>0</v>
      </c>
    </row>
    <row r="1711" spans="1:7">
      <c r="A1711" s="3">
        <v>12</v>
      </c>
      <c r="B1711" s="3">
        <v>4</v>
      </c>
      <c r="C1711" s="3">
        <v>81</v>
      </c>
      <c r="D1711" s="3">
        <v>21</v>
      </c>
      <c r="E1711" s="3">
        <v>185.836</v>
      </c>
      <c r="F1711" s="4" t="str">
        <f>HYPERLINK("http://141.218.60.56/~jnz1568/getInfo.php?workbook=12_04.xlsx&amp;sheet=A0&amp;row=1711&amp;col=6&amp;number=0.00195&amp;sourceID=14","0.00195")</f>
        <v>0.00195</v>
      </c>
      <c r="G1711" s="4" t="str">
        <f>HYPERLINK("http://141.218.60.56/~jnz1568/getInfo.php?workbook=12_04.xlsx&amp;sheet=A0&amp;row=1711&amp;col=7&amp;number=0&amp;sourceID=14","0")</f>
        <v>0</v>
      </c>
    </row>
    <row r="1712" spans="1:7">
      <c r="A1712" s="3">
        <v>12</v>
      </c>
      <c r="B1712" s="3">
        <v>4</v>
      </c>
      <c r="C1712" s="3">
        <v>82</v>
      </c>
      <c r="D1712" s="3">
        <v>21</v>
      </c>
      <c r="E1712" s="3">
        <v>-185.989</v>
      </c>
      <c r="F1712" s="4" t="str">
        <f>HYPERLINK("http://141.218.60.56/~jnz1568/getInfo.php?workbook=12_04.xlsx&amp;sheet=A0&amp;row=1712&amp;col=6&amp;number=0.0735&amp;sourceID=14","0.0735")</f>
        <v>0.0735</v>
      </c>
      <c r="G1712" s="4" t="str">
        <f>HYPERLINK("http://141.218.60.56/~jnz1568/getInfo.php?workbook=12_04.xlsx&amp;sheet=A0&amp;row=1712&amp;col=7&amp;number=0&amp;sourceID=14","0")</f>
        <v>0</v>
      </c>
    </row>
    <row r="1713" spans="1:7">
      <c r="A1713" s="3">
        <v>12</v>
      </c>
      <c r="B1713" s="3">
        <v>4</v>
      </c>
      <c r="C1713" s="3">
        <v>83</v>
      </c>
      <c r="D1713" s="3">
        <v>21</v>
      </c>
      <c r="E1713" s="3">
        <v>-185.987</v>
      </c>
      <c r="F1713" s="4" t="str">
        <f>HYPERLINK("http://141.218.60.56/~jnz1568/getInfo.php?workbook=12_04.xlsx&amp;sheet=A0&amp;row=1713&amp;col=6&amp;number=108&amp;sourceID=14","108")</f>
        <v>108</v>
      </c>
      <c r="G1713" s="4" t="str">
        <f>HYPERLINK("http://141.218.60.56/~jnz1568/getInfo.php?workbook=12_04.xlsx&amp;sheet=A0&amp;row=1713&amp;col=7&amp;number=0&amp;sourceID=14","0")</f>
        <v>0</v>
      </c>
    </row>
    <row r="1714" spans="1:7">
      <c r="A1714" s="3">
        <v>12</v>
      </c>
      <c r="B1714" s="3">
        <v>4</v>
      </c>
      <c r="C1714" s="3">
        <v>85</v>
      </c>
      <c r="D1714" s="3">
        <v>21</v>
      </c>
      <c r="E1714" s="3">
        <v>185.423</v>
      </c>
      <c r="F1714" s="4" t="str">
        <f>HYPERLINK("http://141.218.60.56/~jnz1568/getInfo.php?workbook=12_04.xlsx&amp;sheet=A0&amp;row=1714&amp;col=6&amp;number=62100&amp;sourceID=14","62100")</f>
        <v>62100</v>
      </c>
      <c r="G1714" s="4" t="str">
        <f>HYPERLINK("http://141.218.60.56/~jnz1568/getInfo.php?workbook=12_04.xlsx&amp;sheet=A0&amp;row=1714&amp;col=7&amp;number=0&amp;sourceID=14","0")</f>
        <v>0</v>
      </c>
    </row>
    <row r="1715" spans="1:7">
      <c r="A1715" s="3">
        <v>12</v>
      </c>
      <c r="B1715" s="3">
        <v>4</v>
      </c>
      <c r="C1715" s="3">
        <v>86</v>
      </c>
      <c r="D1715" s="3">
        <v>21</v>
      </c>
      <c r="E1715" s="3">
        <v>185.244</v>
      </c>
      <c r="F1715" s="4" t="str">
        <f>HYPERLINK("http://141.218.60.56/~jnz1568/getInfo.php?workbook=12_04.xlsx&amp;sheet=A0&amp;row=1715&amp;col=6&amp;number=0.000794&amp;sourceID=14","0.000794")</f>
        <v>0.000794</v>
      </c>
      <c r="G1715" s="4" t="str">
        <f>HYPERLINK("http://141.218.60.56/~jnz1568/getInfo.php?workbook=12_04.xlsx&amp;sheet=A0&amp;row=1715&amp;col=7&amp;number=0&amp;sourceID=14","0")</f>
        <v>0</v>
      </c>
    </row>
    <row r="1716" spans="1:7">
      <c r="A1716" s="3">
        <v>12</v>
      </c>
      <c r="B1716" s="3">
        <v>4</v>
      </c>
      <c r="C1716" s="3">
        <v>88</v>
      </c>
      <c r="D1716" s="3">
        <v>21</v>
      </c>
      <c r="E1716" s="3">
        <v>-184.771</v>
      </c>
      <c r="F1716" s="4" t="str">
        <f>HYPERLINK("http://141.218.60.56/~jnz1568/getInfo.php?workbook=12_04.xlsx&amp;sheet=A0&amp;row=1716&amp;col=6&amp;number=11.2&amp;sourceID=14","11.2")</f>
        <v>11.2</v>
      </c>
      <c r="G1716" s="4" t="str">
        <f>HYPERLINK("http://141.218.60.56/~jnz1568/getInfo.php?workbook=12_04.xlsx&amp;sheet=A0&amp;row=1716&amp;col=7&amp;number=0&amp;sourceID=14","0")</f>
        <v>0</v>
      </c>
    </row>
    <row r="1717" spans="1:7">
      <c r="A1717" s="3">
        <v>12</v>
      </c>
      <c r="B1717" s="3">
        <v>4</v>
      </c>
      <c r="C1717" s="3">
        <v>90</v>
      </c>
      <c r="D1717" s="3">
        <v>21</v>
      </c>
      <c r="E1717" s="3">
        <v>-184.146</v>
      </c>
      <c r="F1717" s="4" t="str">
        <f>HYPERLINK("http://141.218.60.56/~jnz1568/getInfo.php?workbook=12_04.xlsx&amp;sheet=A0&amp;row=1717&amp;col=6&amp;number=1.8e-08&amp;sourceID=14","1.8e-08")</f>
        <v>1.8e-08</v>
      </c>
      <c r="G1717" s="4" t="str">
        <f>HYPERLINK("http://141.218.60.56/~jnz1568/getInfo.php?workbook=12_04.xlsx&amp;sheet=A0&amp;row=1717&amp;col=7&amp;number=0&amp;sourceID=14","0")</f>
        <v>0</v>
      </c>
    </row>
    <row r="1718" spans="1:7">
      <c r="A1718" s="3">
        <v>12</v>
      </c>
      <c r="B1718" s="3">
        <v>4</v>
      </c>
      <c r="C1718" s="3">
        <v>91</v>
      </c>
      <c r="D1718" s="3">
        <v>21</v>
      </c>
      <c r="E1718" s="3">
        <v>-183.734</v>
      </c>
      <c r="F1718" s="4" t="str">
        <f>HYPERLINK("http://141.218.60.56/~jnz1568/getInfo.php?workbook=12_04.xlsx&amp;sheet=A0&amp;row=1718&amp;col=6&amp;number=13.6&amp;sourceID=14","13.6")</f>
        <v>13.6</v>
      </c>
      <c r="G1718" s="4" t="str">
        <f>HYPERLINK("http://141.218.60.56/~jnz1568/getInfo.php?workbook=12_04.xlsx&amp;sheet=A0&amp;row=1718&amp;col=7&amp;number=0&amp;sourceID=14","0")</f>
        <v>0</v>
      </c>
    </row>
    <row r="1719" spans="1:7">
      <c r="A1719" s="3">
        <v>12</v>
      </c>
      <c r="B1719" s="3">
        <v>4</v>
      </c>
      <c r="C1719" s="3">
        <v>92</v>
      </c>
      <c r="D1719" s="3">
        <v>21</v>
      </c>
      <c r="E1719" s="3">
        <v>-183.637</v>
      </c>
      <c r="F1719" s="4" t="str">
        <f>HYPERLINK("http://141.218.60.56/~jnz1568/getInfo.php?workbook=12_04.xlsx&amp;sheet=A0&amp;row=1719&amp;col=6&amp;number=1.33e-07&amp;sourceID=14","1.33e-07")</f>
        <v>1.33e-07</v>
      </c>
      <c r="G1719" s="4" t="str">
        <f>HYPERLINK("http://141.218.60.56/~jnz1568/getInfo.php?workbook=12_04.xlsx&amp;sheet=A0&amp;row=1719&amp;col=7&amp;number=0&amp;sourceID=14","0")</f>
        <v>0</v>
      </c>
    </row>
    <row r="1720" spans="1:7">
      <c r="A1720" s="3">
        <v>12</v>
      </c>
      <c r="B1720" s="3">
        <v>4</v>
      </c>
      <c r="C1720" s="3">
        <v>93</v>
      </c>
      <c r="D1720" s="3">
        <v>21</v>
      </c>
      <c r="E1720" s="3">
        <v>-183.548</v>
      </c>
      <c r="F1720" s="4" t="str">
        <f>HYPERLINK("http://141.218.60.56/~jnz1568/getInfo.php?workbook=12_04.xlsx&amp;sheet=A0&amp;row=1720&amp;col=6&amp;number=0.392&amp;sourceID=14","0.392")</f>
        <v>0.392</v>
      </c>
      <c r="G1720" s="4" t="str">
        <f>HYPERLINK("http://141.218.60.56/~jnz1568/getInfo.php?workbook=12_04.xlsx&amp;sheet=A0&amp;row=1720&amp;col=7&amp;number=0&amp;sourceID=14","0")</f>
        <v>0</v>
      </c>
    </row>
    <row r="1721" spans="1:7">
      <c r="A1721" s="3">
        <v>12</v>
      </c>
      <c r="B1721" s="3">
        <v>4</v>
      </c>
      <c r="C1721" s="3">
        <v>94</v>
      </c>
      <c r="D1721" s="3">
        <v>21</v>
      </c>
      <c r="E1721" s="3">
        <v>-183.223</v>
      </c>
      <c r="F1721" s="4" t="str">
        <f>HYPERLINK("http://141.218.60.56/~jnz1568/getInfo.php?workbook=12_04.xlsx&amp;sheet=A0&amp;row=1721&amp;col=6&amp;number=735000000&amp;sourceID=14","735000000")</f>
        <v>735000000</v>
      </c>
      <c r="G1721" s="4" t="str">
        <f>HYPERLINK("http://141.218.60.56/~jnz1568/getInfo.php?workbook=12_04.xlsx&amp;sheet=A0&amp;row=1721&amp;col=7&amp;number=0&amp;sourceID=14","0")</f>
        <v>0</v>
      </c>
    </row>
    <row r="1722" spans="1:7">
      <c r="A1722" s="3">
        <v>12</v>
      </c>
      <c r="B1722" s="3">
        <v>4</v>
      </c>
      <c r="C1722" s="3">
        <v>96</v>
      </c>
      <c r="D1722" s="3">
        <v>21</v>
      </c>
      <c r="E1722" s="3">
        <v>-182.814</v>
      </c>
      <c r="F1722" s="4" t="str">
        <f>HYPERLINK("http://141.218.60.56/~jnz1568/getInfo.php?workbook=12_04.xlsx&amp;sheet=A0&amp;row=1722&amp;col=6&amp;number=0.909&amp;sourceID=14","0.909")</f>
        <v>0.909</v>
      </c>
      <c r="G1722" s="4" t="str">
        <f>HYPERLINK("http://141.218.60.56/~jnz1568/getInfo.php?workbook=12_04.xlsx&amp;sheet=A0&amp;row=1722&amp;col=7&amp;number=0&amp;sourceID=14","0")</f>
        <v>0</v>
      </c>
    </row>
    <row r="1723" spans="1:7">
      <c r="A1723" s="3">
        <v>12</v>
      </c>
      <c r="B1723" s="3">
        <v>4</v>
      </c>
      <c r="C1723" s="3">
        <v>97</v>
      </c>
      <c r="D1723" s="3">
        <v>21</v>
      </c>
      <c r="E1723" s="3">
        <v>183.006</v>
      </c>
      <c r="F1723" s="4" t="str">
        <f>HYPERLINK("http://141.218.60.56/~jnz1568/getInfo.php?workbook=12_04.xlsx&amp;sheet=A0&amp;row=1723&amp;col=6&amp;number=0.00167&amp;sourceID=14","0.00167")</f>
        <v>0.00167</v>
      </c>
      <c r="G1723" s="4" t="str">
        <f>HYPERLINK("http://141.218.60.56/~jnz1568/getInfo.php?workbook=12_04.xlsx&amp;sheet=A0&amp;row=1723&amp;col=7&amp;number=0&amp;sourceID=14","0")</f>
        <v>0</v>
      </c>
    </row>
    <row r="1724" spans="1:7">
      <c r="A1724" s="3">
        <v>12</v>
      </c>
      <c r="B1724" s="3">
        <v>4</v>
      </c>
      <c r="C1724" s="3">
        <v>98</v>
      </c>
      <c r="D1724" s="3">
        <v>21</v>
      </c>
      <c r="E1724" s="3">
        <v>182.425</v>
      </c>
      <c r="F1724" s="4" t="str">
        <f>HYPERLINK("http://141.218.60.56/~jnz1568/getInfo.php?workbook=12_04.xlsx&amp;sheet=A0&amp;row=1724&amp;col=6&amp;number=0.00396&amp;sourceID=14","0.00396")</f>
        <v>0.00396</v>
      </c>
      <c r="G1724" s="4" t="str">
        <f>HYPERLINK("http://141.218.60.56/~jnz1568/getInfo.php?workbook=12_04.xlsx&amp;sheet=A0&amp;row=1724&amp;col=7&amp;number=0&amp;sourceID=14","0")</f>
        <v>0</v>
      </c>
    </row>
    <row r="1725" spans="1:7">
      <c r="A1725" s="3">
        <v>12</v>
      </c>
      <c r="B1725" s="3">
        <v>4</v>
      </c>
      <c r="C1725" s="3">
        <v>23</v>
      </c>
      <c r="D1725" s="3">
        <v>22</v>
      </c>
      <c r="E1725" s="3">
        <v>37735.918</v>
      </c>
      <c r="F1725" s="4" t="str">
        <f>HYPERLINK("http://141.218.60.56/~jnz1568/getInfo.php?workbook=12_04.xlsx&amp;sheet=A0&amp;row=1725&amp;col=6&amp;number=0.25&amp;sourceID=14","0.25")</f>
        <v>0.25</v>
      </c>
      <c r="G1725" s="4" t="str">
        <f>HYPERLINK("http://141.218.60.56/~jnz1568/getInfo.php?workbook=12_04.xlsx&amp;sheet=A0&amp;row=1725&amp;col=7&amp;number=0&amp;sourceID=14","0")</f>
        <v>0</v>
      </c>
    </row>
    <row r="1726" spans="1:7">
      <c r="A1726" s="3">
        <v>12</v>
      </c>
      <c r="B1726" s="3">
        <v>4</v>
      </c>
      <c r="C1726" s="3">
        <v>24</v>
      </c>
      <c r="D1726" s="3">
        <v>22</v>
      </c>
      <c r="E1726" s="3">
        <v>3145.649</v>
      </c>
      <c r="F1726" s="4" t="str">
        <f>HYPERLINK("http://141.218.60.56/~jnz1568/getInfo.php?workbook=12_04.xlsx&amp;sheet=A0&amp;row=1726&amp;col=6&amp;number=1.59&amp;sourceID=14","1.59")</f>
        <v>1.59</v>
      </c>
      <c r="G1726" s="4" t="str">
        <f>HYPERLINK("http://141.218.60.56/~jnz1568/getInfo.php?workbook=12_04.xlsx&amp;sheet=A0&amp;row=1726&amp;col=7&amp;number=0&amp;sourceID=14","0")</f>
        <v>0</v>
      </c>
    </row>
    <row r="1727" spans="1:7">
      <c r="A1727" s="3">
        <v>12</v>
      </c>
      <c r="B1727" s="3">
        <v>4</v>
      </c>
      <c r="C1727" s="3">
        <v>25</v>
      </c>
      <c r="D1727" s="3">
        <v>22</v>
      </c>
      <c r="E1727" s="3">
        <v>2712.237</v>
      </c>
      <c r="F1727" s="4" t="str">
        <f>HYPERLINK("http://141.218.60.56/~jnz1568/getInfo.php?workbook=12_04.xlsx&amp;sheet=A0&amp;row=1727&amp;col=6&amp;number=2850000&amp;sourceID=14","2850000")</f>
        <v>2850000</v>
      </c>
      <c r="G1727" s="4" t="str">
        <f>HYPERLINK("http://141.218.60.56/~jnz1568/getInfo.php?workbook=12_04.xlsx&amp;sheet=A0&amp;row=1727&amp;col=7&amp;number=0&amp;sourceID=14","0")</f>
        <v>0</v>
      </c>
    </row>
    <row r="1728" spans="1:7">
      <c r="A1728" s="3">
        <v>12</v>
      </c>
      <c r="B1728" s="3">
        <v>4</v>
      </c>
      <c r="C1728" s="3">
        <v>26</v>
      </c>
      <c r="D1728" s="3">
        <v>22</v>
      </c>
      <c r="E1728" s="3">
        <v>2261.424</v>
      </c>
      <c r="F1728" s="4" t="str">
        <f>HYPERLINK("http://141.218.60.56/~jnz1568/getInfo.php?workbook=12_04.xlsx&amp;sheet=A0&amp;row=1728&amp;col=6&amp;number=36000000&amp;sourceID=14","36000000")</f>
        <v>36000000</v>
      </c>
      <c r="G1728" s="4" t="str">
        <f>HYPERLINK("http://141.218.60.56/~jnz1568/getInfo.php?workbook=12_04.xlsx&amp;sheet=A0&amp;row=1728&amp;col=7&amp;number=0&amp;sourceID=14","0")</f>
        <v>0</v>
      </c>
    </row>
    <row r="1729" spans="1:7">
      <c r="A1729" s="3">
        <v>12</v>
      </c>
      <c r="B1729" s="3">
        <v>4</v>
      </c>
      <c r="C1729" s="3">
        <v>27</v>
      </c>
      <c r="D1729" s="3">
        <v>22</v>
      </c>
      <c r="E1729" s="3">
        <v>2211.415</v>
      </c>
      <c r="F1729" s="4" t="str">
        <f>HYPERLINK("http://141.218.60.56/~jnz1568/getInfo.php?workbook=12_04.xlsx&amp;sheet=A0&amp;row=1729&amp;col=6&amp;number=85900000&amp;sourceID=14","85900000")</f>
        <v>85900000</v>
      </c>
      <c r="G1729" s="4" t="str">
        <f>HYPERLINK("http://141.218.60.56/~jnz1568/getInfo.php?workbook=12_04.xlsx&amp;sheet=A0&amp;row=1729&amp;col=7&amp;number=0&amp;sourceID=14","0")</f>
        <v>0</v>
      </c>
    </row>
    <row r="1730" spans="1:7">
      <c r="A1730" s="3">
        <v>12</v>
      </c>
      <c r="B1730" s="3">
        <v>4</v>
      </c>
      <c r="C1730" s="3">
        <v>28</v>
      </c>
      <c r="D1730" s="3">
        <v>22</v>
      </c>
      <c r="E1730" s="3">
        <v>2095.561</v>
      </c>
      <c r="F1730" s="4" t="str">
        <f>HYPERLINK("http://141.218.60.56/~jnz1568/getInfo.php?workbook=12_04.xlsx&amp;sheet=A0&amp;row=1730&amp;col=6&amp;number=0.000769&amp;sourceID=14","0.000769")</f>
        <v>0.000769</v>
      </c>
      <c r="G1730" s="4" t="str">
        <f>HYPERLINK("http://141.218.60.56/~jnz1568/getInfo.php?workbook=12_04.xlsx&amp;sheet=A0&amp;row=1730&amp;col=7&amp;number=0&amp;sourceID=14","0")</f>
        <v>0</v>
      </c>
    </row>
    <row r="1731" spans="1:7">
      <c r="A1731" s="3">
        <v>12</v>
      </c>
      <c r="B1731" s="3">
        <v>4</v>
      </c>
      <c r="C1731" s="3">
        <v>29</v>
      </c>
      <c r="D1731" s="3">
        <v>22</v>
      </c>
      <c r="E1731" s="3">
        <v>1691.192</v>
      </c>
      <c r="F1731" s="4" t="str">
        <f>HYPERLINK("http://141.218.60.56/~jnz1568/getInfo.php?workbook=12_04.xlsx&amp;sheet=A0&amp;row=1731&amp;col=6&amp;number=101000000&amp;sourceID=14","101000000")</f>
        <v>101000000</v>
      </c>
      <c r="G1731" s="4" t="str">
        <f>HYPERLINK("http://141.218.60.56/~jnz1568/getInfo.php?workbook=12_04.xlsx&amp;sheet=A0&amp;row=1731&amp;col=7&amp;number=0&amp;sourceID=14","0")</f>
        <v>0</v>
      </c>
    </row>
    <row r="1732" spans="1:7">
      <c r="A1732" s="3">
        <v>12</v>
      </c>
      <c r="B1732" s="3">
        <v>4</v>
      </c>
      <c r="C1732" s="3">
        <v>30</v>
      </c>
      <c r="D1732" s="3">
        <v>22</v>
      </c>
      <c r="E1732" s="3">
        <v>-1497.524</v>
      </c>
      <c r="F1732" s="4" t="str">
        <f>HYPERLINK("http://141.218.60.56/~jnz1568/getInfo.php?workbook=12_04.xlsx&amp;sheet=A0&amp;row=1732&amp;col=6&amp;number=384000000&amp;sourceID=14","384000000")</f>
        <v>384000000</v>
      </c>
      <c r="G1732" s="4" t="str">
        <f>HYPERLINK("http://141.218.60.56/~jnz1568/getInfo.php?workbook=12_04.xlsx&amp;sheet=A0&amp;row=1732&amp;col=7&amp;number=0&amp;sourceID=14","0")</f>
        <v>0</v>
      </c>
    </row>
    <row r="1733" spans="1:7">
      <c r="A1733" s="3">
        <v>12</v>
      </c>
      <c r="B1733" s="3">
        <v>4</v>
      </c>
      <c r="C1733" s="3">
        <v>31</v>
      </c>
      <c r="D1733" s="3">
        <v>22</v>
      </c>
      <c r="E1733" s="3">
        <v>1482.802</v>
      </c>
      <c r="F1733" s="4" t="str">
        <f>HYPERLINK("http://141.218.60.56/~jnz1568/getInfo.php?workbook=12_04.xlsx&amp;sheet=A0&amp;row=1733&amp;col=6&amp;number=76200000&amp;sourceID=14","76200000")</f>
        <v>76200000</v>
      </c>
      <c r="G1733" s="4" t="str">
        <f>HYPERLINK("http://141.218.60.56/~jnz1568/getInfo.php?workbook=12_04.xlsx&amp;sheet=A0&amp;row=1733&amp;col=7&amp;number=0&amp;sourceID=14","0")</f>
        <v>0</v>
      </c>
    </row>
    <row r="1734" spans="1:7">
      <c r="A1734" s="3">
        <v>12</v>
      </c>
      <c r="B1734" s="3">
        <v>4</v>
      </c>
      <c r="C1734" s="3">
        <v>32</v>
      </c>
      <c r="D1734" s="3">
        <v>22</v>
      </c>
      <c r="E1734" s="3">
        <v>1454.76</v>
      </c>
      <c r="F1734" s="4" t="str">
        <f>HYPERLINK("http://141.218.60.56/~jnz1568/getInfo.php?workbook=12_04.xlsx&amp;sheet=A0&amp;row=1734&amp;col=6&amp;number=92800000&amp;sourceID=14","92800000")</f>
        <v>92800000</v>
      </c>
      <c r="G1734" s="4" t="str">
        <f>HYPERLINK("http://141.218.60.56/~jnz1568/getInfo.php?workbook=12_04.xlsx&amp;sheet=A0&amp;row=1734&amp;col=7&amp;number=0&amp;sourceID=14","0")</f>
        <v>0</v>
      </c>
    </row>
    <row r="1735" spans="1:7">
      <c r="A1735" s="3">
        <v>12</v>
      </c>
      <c r="B1735" s="3">
        <v>4</v>
      </c>
      <c r="C1735" s="3">
        <v>33</v>
      </c>
      <c r="D1735" s="3">
        <v>22</v>
      </c>
      <c r="E1735" s="3">
        <v>-1333.283</v>
      </c>
      <c r="F1735" s="4" t="str">
        <f>HYPERLINK("http://141.218.60.56/~jnz1568/getInfo.php?workbook=12_04.xlsx&amp;sheet=A0&amp;row=1735&amp;col=6&amp;number=50.4&amp;sourceID=14","50.4")</f>
        <v>50.4</v>
      </c>
      <c r="G1735" s="4" t="str">
        <f>HYPERLINK("http://141.218.60.56/~jnz1568/getInfo.php?workbook=12_04.xlsx&amp;sheet=A0&amp;row=1735&amp;col=7&amp;number=0&amp;sourceID=14","0")</f>
        <v>0</v>
      </c>
    </row>
    <row r="1736" spans="1:7">
      <c r="A1736" s="3">
        <v>12</v>
      </c>
      <c r="B1736" s="3">
        <v>4</v>
      </c>
      <c r="C1736" s="3">
        <v>34</v>
      </c>
      <c r="D1736" s="3">
        <v>22</v>
      </c>
      <c r="E1736" s="3">
        <v>-1297.878</v>
      </c>
      <c r="F1736" s="4" t="str">
        <f>HYPERLINK("http://141.218.60.56/~jnz1568/getInfo.php?workbook=12_04.xlsx&amp;sheet=A0&amp;row=1736&amp;col=6&amp;number=105&amp;sourceID=14","105")</f>
        <v>105</v>
      </c>
      <c r="G1736" s="4" t="str">
        <f>HYPERLINK("http://141.218.60.56/~jnz1568/getInfo.php?workbook=12_04.xlsx&amp;sheet=A0&amp;row=1736&amp;col=7&amp;number=0&amp;sourceID=14","0")</f>
        <v>0</v>
      </c>
    </row>
    <row r="1737" spans="1:7">
      <c r="A1737" s="3">
        <v>12</v>
      </c>
      <c r="B1737" s="3">
        <v>4</v>
      </c>
      <c r="C1737" s="3">
        <v>35</v>
      </c>
      <c r="D1737" s="3">
        <v>22</v>
      </c>
      <c r="E1737" s="3">
        <v>1275.675</v>
      </c>
      <c r="F1737" s="4" t="str">
        <f>HYPERLINK("http://141.218.60.56/~jnz1568/getInfo.php?workbook=12_04.xlsx&amp;sheet=A0&amp;row=1737&amp;col=6&amp;number=7.2&amp;sourceID=14","7.2")</f>
        <v>7.2</v>
      </c>
      <c r="G1737" s="4" t="str">
        <f>HYPERLINK("http://141.218.60.56/~jnz1568/getInfo.php?workbook=12_04.xlsx&amp;sheet=A0&amp;row=1737&amp;col=7&amp;number=0&amp;sourceID=14","0")</f>
        <v>0</v>
      </c>
    </row>
    <row r="1738" spans="1:7">
      <c r="A1738" s="3">
        <v>12</v>
      </c>
      <c r="B1738" s="3">
        <v>4</v>
      </c>
      <c r="C1738" s="3">
        <v>36</v>
      </c>
      <c r="D1738" s="3">
        <v>22</v>
      </c>
      <c r="E1738" s="3">
        <v>-1264.8</v>
      </c>
      <c r="F1738" s="4" t="str">
        <f>HYPERLINK("http://141.218.60.56/~jnz1568/getInfo.php?workbook=12_04.xlsx&amp;sheet=A0&amp;row=1738&amp;col=6&amp;number=3.51e-09&amp;sourceID=14","3.51e-09")</f>
        <v>3.51e-09</v>
      </c>
      <c r="G1738" s="4" t="str">
        <f>HYPERLINK("http://141.218.60.56/~jnz1568/getInfo.php?workbook=12_04.xlsx&amp;sheet=A0&amp;row=1738&amp;col=7&amp;number=0&amp;sourceID=14","0")</f>
        <v>0</v>
      </c>
    </row>
    <row r="1739" spans="1:7">
      <c r="A1739" s="3">
        <v>12</v>
      </c>
      <c r="B1739" s="3">
        <v>4</v>
      </c>
      <c r="C1739" s="3">
        <v>37</v>
      </c>
      <c r="D1739" s="3">
        <v>22</v>
      </c>
      <c r="E1739" s="3">
        <v>1181.756</v>
      </c>
      <c r="F1739" s="4" t="str">
        <f>HYPERLINK("http://141.218.60.56/~jnz1568/getInfo.php?workbook=12_04.xlsx&amp;sheet=A0&amp;row=1739&amp;col=6&amp;number=137000&amp;sourceID=14","137000")</f>
        <v>137000</v>
      </c>
      <c r="G1739" s="4" t="str">
        <f>HYPERLINK("http://141.218.60.56/~jnz1568/getInfo.php?workbook=12_04.xlsx&amp;sheet=A0&amp;row=1739&amp;col=7&amp;number=0&amp;sourceID=14","0")</f>
        <v>0</v>
      </c>
    </row>
    <row r="1740" spans="1:7">
      <c r="A1740" s="3">
        <v>12</v>
      </c>
      <c r="B1740" s="3">
        <v>4</v>
      </c>
      <c r="C1740" s="3">
        <v>38</v>
      </c>
      <c r="D1740" s="3">
        <v>22</v>
      </c>
      <c r="E1740" s="3">
        <v>1040.909</v>
      </c>
      <c r="F1740" s="4" t="str">
        <f>HYPERLINK("http://141.218.60.56/~jnz1568/getInfo.php?workbook=12_04.xlsx&amp;sheet=A0&amp;row=1740&amp;col=6&amp;number=492&amp;sourceID=14","492")</f>
        <v>492</v>
      </c>
      <c r="G1740" s="4" t="str">
        <f>HYPERLINK("http://141.218.60.56/~jnz1568/getInfo.php?workbook=12_04.xlsx&amp;sheet=A0&amp;row=1740&amp;col=7&amp;number=0&amp;sourceID=14","0")</f>
        <v>0</v>
      </c>
    </row>
    <row r="1741" spans="1:7">
      <c r="A1741" s="3">
        <v>12</v>
      </c>
      <c r="B1741" s="3">
        <v>4</v>
      </c>
      <c r="C1741" s="3">
        <v>39</v>
      </c>
      <c r="D1741" s="3">
        <v>22</v>
      </c>
      <c r="E1741" s="3">
        <v>1035.091</v>
      </c>
      <c r="F1741" s="4" t="str">
        <f>HYPERLINK("http://141.218.60.56/~jnz1568/getInfo.php?workbook=12_04.xlsx&amp;sheet=A0&amp;row=1741&amp;col=6&amp;number=104&amp;sourceID=14","104")</f>
        <v>104</v>
      </c>
      <c r="G1741" s="4" t="str">
        <f>HYPERLINK("http://141.218.60.56/~jnz1568/getInfo.php?workbook=12_04.xlsx&amp;sheet=A0&amp;row=1741&amp;col=7&amp;number=0&amp;sourceID=14","0")</f>
        <v>0</v>
      </c>
    </row>
    <row r="1742" spans="1:7">
      <c r="A1742" s="3">
        <v>12</v>
      </c>
      <c r="B1742" s="3">
        <v>4</v>
      </c>
      <c r="C1742" s="3">
        <v>40</v>
      </c>
      <c r="D1742" s="3">
        <v>22</v>
      </c>
      <c r="E1742" s="3">
        <v>1024.487</v>
      </c>
      <c r="F1742" s="4" t="str">
        <f>HYPERLINK("http://141.218.60.56/~jnz1568/getInfo.php?workbook=12_04.xlsx&amp;sheet=A0&amp;row=1742&amp;col=6&amp;number=183&amp;sourceID=14","183")</f>
        <v>183</v>
      </c>
      <c r="G1742" s="4" t="str">
        <f>HYPERLINK("http://141.218.60.56/~jnz1568/getInfo.php?workbook=12_04.xlsx&amp;sheet=A0&amp;row=1742&amp;col=7&amp;number=0&amp;sourceID=14","0")</f>
        <v>0</v>
      </c>
    </row>
    <row r="1743" spans="1:7">
      <c r="A1743" s="3">
        <v>12</v>
      </c>
      <c r="B1743" s="3">
        <v>4</v>
      </c>
      <c r="C1743" s="3">
        <v>41</v>
      </c>
      <c r="D1743" s="3">
        <v>22</v>
      </c>
      <c r="E1743" s="3">
        <v>961.818</v>
      </c>
      <c r="F1743" s="4" t="str">
        <f>HYPERLINK("http://141.218.60.56/~jnz1568/getInfo.php?workbook=12_04.xlsx&amp;sheet=A0&amp;row=1743&amp;col=6&amp;number=233&amp;sourceID=14","233")</f>
        <v>233</v>
      </c>
      <c r="G1743" s="4" t="str">
        <f>HYPERLINK("http://141.218.60.56/~jnz1568/getInfo.php?workbook=12_04.xlsx&amp;sheet=A0&amp;row=1743&amp;col=7&amp;number=0&amp;sourceID=14","0")</f>
        <v>0</v>
      </c>
    </row>
    <row r="1744" spans="1:7">
      <c r="A1744" s="3">
        <v>12</v>
      </c>
      <c r="B1744" s="3">
        <v>4</v>
      </c>
      <c r="C1744" s="3">
        <v>42</v>
      </c>
      <c r="D1744" s="3">
        <v>22</v>
      </c>
      <c r="E1744" s="3">
        <v>952.746</v>
      </c>
      <c r="F1744" s="4" t="str">
        <f>HYPERLINK("http://141.218.60.56/~jnz1568/getInfo.php?workbook=12_04.xlsx&amp;sheet=A0&amp;row=1744&amp;col=6&amp;number=98.4&amp;sourceID=14","98.4")</f>
        <v>98.4</v>
      </c>
      <c r="G1744" s="4" t="str">
        <f>HYPERLINK("http://141.218.60.56/~jnz1568/getInfo.php?workbook=12_04.xlsx&amp;sheet=A0&amp;row=1744&amp;col=7&amp;number=0&amp;sourceID=14","0")</f>
        <v>0</v>
      </c>
    </row>
    <row r="1745" spans="1:7">
      <c r="A1745" s="3">
        <v>12</v>
      </c>
      <c r="B1745" s="3">
        <v>4</v>
      </c>
      <c r="C1745" s="3">
        <v>43</v>
      </c>
      <c r="D1745" s="3">
        <v>22</v>
      </c>
      <c r="E1745" s="3">
        <v>948.049</v>
      </c>
      <c r="F1745" s="4" t="str">
        <f>HYPERLINK("http://141.218.60.56/~jnz1568/getInfo.php?workbook=12_04.xlsx&amp;sheet=A0&amp;row=1745&amp;col=6&amp;number=0.188&amp;sourceID=14","0.188")</f>
        <v>0.188</v>
      </c>
      <c r="G1745" s="4" t="str">
        <f>HYPERLINK("http://141.218.60.56/~jnz1568/getInfo.php?workbook=12_04.xlsx&amp;sheet=A0&amp;row=1745&amp;col=7&amp;number=0&amp;sourceID=14","0")</f>
        <v>0</v>
      </c>
    </row>
    <row r="1746" spans="1:7">
      <c r="A1746" s="3">
        <v>12</v>
      </c>
      <c r="B1746" s="3">
        <v>4</v>
      </c>
      <c r="C1746" s="3">
        <v>44</v>
      </c>
      <c r="D1746" s="3">
        <v>22</v>
      </c>
      <c r="E1746" s="3">
        <v>-828.083</v>
      </c>
      <c r="F1746" s="4" t="str">
        <f>HYPERLINK("http://141.218.60.56/~jnz1568/getInfo.php?workbook=12_04.xlsx&amp;sheet=A0&amp;row=1746&amp;col=6&amp;number=2830000&amp;sourceID=14","2830000")</f>
        <v>2830000</v>
      </c>
      <c r="G1746" s="4" t="str">
        <f>HYPERLINK("http://141.218.60.56/~jnz1568/getInfo.php?workbook=12_04.xlsx&amp;sheet=A0&amp;row=1746&amp;col=7&amp;number=0&amp;sourceID=14","0")</f>
        <v>0</v>
      </c>
    </row>
    <row r="1747" spans="1:7">
      <c r="A1747" s="3">
        <v>12</v>
      </c>
      <c r="B1747" s="3">
        <v>4</v>
      </c>
      <c r="C1747" s="3">
        <v>45</v>
      </c>
      <c r="D1747" s="3">
        <v>22</v>
      </c>
      <c r="E1747" s="3">
        <v>810.112</v>
      </c>
      <c r="F1747" s="4" t="str">
        <f>HYPERLINK("http://141.218.60.56/~jnz1568/getInfo.php?workbook=12_04.xlsx&amp;sheet=A0&amp;row=1747&amp;col=6&amp;number=0.314&amp;sourceID=14","0.314")</f>
        <v>0.314</v>
      </c>
      <c r="G1747" s="4" t="str">
        <f>HYPERLINK("http://141.218.60.56/~jnz1568/getInfo.php?workbook=12_04.xlsx&amp;sheet=A0&amp;row=1747&amp;col=7&amp;number=0&amp;sourceID=14","0")</f>
        <v>0</v>
      </c>
    </row>
    <row r="1748" spans="1:7">
      <c r="A1748" s="3">
        <v>12</v>
      </c>
      <c r="B1748" s="3">
        <v>4</v>
      </c>
      <c r="C1748" s="3">
        <v>46</v>
      </c>
      <c r="D1748" s="3">
        <v>22</v>
      </c>
      <c r="E1748" s="3">
        <v>767.402</v>
      </c>
      <c r="F1748" s="4" t="str">
        <f>HYPERLINK("http://141.218.60.56/~jnz1568/getInfo.php?workbook=12_04.xlsx&amp;sheet=A0&amp;row=1748&amp;col=6&amp;number=0.11&amp;sourceID=14","0.11")</f>
        <v>0.11</v>
      </c>
      <c r="G1748" s="4" t="str">
        <f>HYPERLINK("http://141.218.60.56/~jnz1568/getInfo.php?workbook=12_04.xlsx&amp;sheet=A0&amp;row=1748&amp;col=7&amp;number=0&amp;sourceID=14","0")</f>
        <v>0</v>
      </c>
    </row>
    <row r="1749" spans="1:7">
      <c r="A1749" s="3">
        <v>12</v>
      </c>
      <c r="B1749" s="3">
        <v>4</v>
      </c>
      <c r="C1749" s="3">
        <v>47</v>
      </c>
      <c r="D1749" s="3">
        <v>22</v>
      </c>
      <c r="E1749" s="3">
        <v>-303.8</v>
      </c>
      <c r="F1749" s="4" t="str">
        <f>HYPERLINK("http://141.218.60.56/~jnz1568/getInfo.php?workbook=12_04.xlsx&amp;sheet=A0&amp;row=1749&amp;col=6&amp;number=28600000&amp;sourceID=14","28600000")</f>
        <v>28600000</v>
      </c>
      <c r="G1749" s="4" t="str">
        <f>HYPERLINK("http://141.218.60.56/~jnz1568/getInfo.php?workbook=12_04.xlsx&amp;sheet=A0&amp;row=1749&amp;col=7&amp;number=0&amp;sourceID=14","0")</f>
        <v>0</v>
      </c>
    </row>
    <row r="1750" spans="1:7">
      <c r="A1750" s="3">
        <v>12</v>
      </c>
      <c r="B1750" s="3">
        <v>4</v>
      </c>
      <c r="C1750" s="3">
        <v>48</v>
      </c>
      <c r="D1750" s="3">
        <v>22</v>
      </c>
      <c r="E1750" s="3">
        <v>-294.781</v>
      </c>
      <c r="F1750" s="4" t="str">
        <f>HYPERLINK("http://141.218.60.56/~jnz1568/getInfo.php?workbook=12_04.xlsx&amp;sheet=A0&amp;row=1750&amp;col=6&amp;number=6030000&amp;sourceID=14","6030000")</f>
        <v>6030000</v>
      </c>
      <c r="G1750" s="4" t="str">
        <f>HYPERLINK("http://141.218.60.56/~jnz1568/getInfo.php?workbook=12_04.xlsx&amp;sheet=A0&amp;row=1750&amp;col=7&amp;number=0&amp;sourceID=14","0")</f>
        <v>0</v>
      </c>
    </row>
    <row r="1751" spans="1:7">
      <c r="A1751" s="3">
        <v>12</v>
      </c>
      <c r="B1751" s="3">
        <v>4</v>
      </c>
      <c r="C1751" s="3">
        <v>49</v>
      </c>
      <c r="D1751" s="3">
        <v>22</v>
      </c>
      <c r="E1751" s="3">
        <v>-282.676</v>
      </c>
      <c r="F1751" s="4" t="str">
        <f>HYPERLINK("http://141.218.60.56/~jnz1568/getInfo.php?workbook=12_04.xlsx&amp;sheet=A0&amp;row=1751&amp;col=6&amp;number=0.00877&amp;sourceID=14","0.00877")</f>
        <v>0.00877</v>
      </c>
      <c r="G1751" s="4" t="str">
        <f>HYPERLINK("http://141.218.60.56/~jnz1568/getInfo.php?workbook=12_04.xlsx&amp;sheet=A0&amp;row=1751&amp;col=7&amp;number=0&amp;sourceID=14","0")</f>
        <v>0</v>
      </c>
    </row>
    <row r="1752" spans="1:7">
      <c r="A1752" s="3">
        <v>12</v>
      </c>
      <c r="B1752" s="3">
        <v>4</v>
      </c>
      <c r="C1752" s="3">
        <v>50</v>
      </c>
      <c r="D1752" s="3">
        <v>22</v>
      </c>
      <c r="E1752" s="3">
        <v>-282.584</v>
      </c>
      <c r="F1752" s="4" t="str">
        <f>HYPERLINK("http://141.218.60.56/~jnz1568/getInfo.php?workbook=12_04.xlsx&amp;sheet=A0&amp;row=1752&amp;col=6&amp;number=223&amp;sourceID=14","223")</f>
        <v>223</v>
      </c>
      <c r="G1752" s="4" t="str">
        <f>HYPERLINK("http://141.218.60.56/~jnz1568/getInfo.php?workbook=12_04.xlsx&amp;sheet=A0&amp;row=1752&amp;col=7&amp;number=0&amp;sourceID=14","0")</f>
        <v>0</v>
      </c>
    </row>
    <row r="1753" spans="1:7">
      <c r="A1753" s="3">
        <v>12</v>
      </c>
      <c r="B1753" s="3">
        <v>4</v>
      </c>
      <c r="C1753" s="3">
        <v>51</v>
      </c>
      <c r="D1753" s="3">
        <v>22</v>
      </c>
      <c r="E1753" s="3">
        <v>-282.375</v>
      </c>
      <c r="F1753" s="4" t="str">
        <f>HYPERLINK("http://141.218.60.56/~jnz1568/getInfo.php?workbook=12_04.xlsx&amp;sheet=A0&amp;row=1753&amp;col=6&amp;number=475&amp;sourceID=14","475")</f>
        <v>475</v>
      </c>
      <c r="G1753" s="4" t="str">
        <f>HYPERLINK("http://141.218.60.56/~jnz1568/getInfo.php?workbook=12_04.xlsx&amp;sheet=A0&amp;row=1753&amp;col=7&amp;number=0&amp;sourceID=14","0")</f>
        <v>0</v>
      </c>
    </row>
    <row r="1754" spans="1:7">
      <c r="A1754" s="3">
        <v>12</v>
      </c>
      <c r="B1754" s="3">
        <v>4</v>
      </c>
      <c r="C1754" s="3">
        <v>52</v>
      </c>
      <c r="D1754" s="3">
        <v>22</v>
      </c>
      <c r="E1754" s="3">
        <v>279.776</v>
      </c>
      <c r="F1754" s="4" t="str">
        <f>HYPERLINK("http://141.218.60.56/~jnz1568/getInfo.php?workbook=12_04.xlsx&amp;sheet=A0&amp;row=1754&amp;col=6&amp;number=500&amp;sourceID=14","500")</f>
        <v>500</v>
      </c>
      <c r="G1754" s="4" t="str">
        <f>HYPERLINK("http://141.218.60.56/~jnz1568/getInfo.php?workbook=12_04.xlsx&amp;sheet=A0&amp;row=1754&amp;col=7&amp;number=0&amp;sourceID=14","0")</f>
        <v>0</v>
      </c>
    </row>
    <row r="1755" spans="1:7">
      <c r="A1755" s="3">
        <v>12</v>
      </c>
      <c r="B1755" s="3">
        <v>4</v>
      </c>
      <c r="C1755" s="3">
        <v>53</v>
      </c>
      <c r="D1755" s="3">
        <v>22</v>
      </c>
      <c r="E1755" s="3">
        <v>271.209</v>
      </c>
      <c r="F1755" s="4" t="str">
        <f>HYPERLINK("http://141.218.60.56/~jnz1568/getInfo.php?workbook=12_04.xlsx&amp;sheet=A0&amp;row=1755&amp;col=6&amp;number=4480000&amp;sourceID=14","4480000")</f>
        <v>4480000</v>
      </c>
      <c r="G1755" s="4" t="str">
        <f>HYPERLINK("http://141.218.60.56/~jnz1568/getInfo.php?workbook=12_04.xlsx&amp;sheet=A0&amp;row=1755&amp;col=7&amp;number=0&amp;sourceID=14","0")</f>
        <v>0</v>
      </c>
    </row>
    <row r="1756" spans="1:7">
      <c r="A1756" s="3">
        <v>12</v>
      </c>
      <c r="B1756" s="3">
        <v>4</v>
      </c>
      <c r="C1756" s="3">
        <v>54</v>
      </c>
      <c r="D1756" s="3">
        <v>22</v>
      </c>
      <c r="E1756" s="3">
        <v>271.209</v>
      </c>
      <c r="F1756" s="4" t="str">
        <f>HYPERLINK("http://141.218.60.56/~jnz1568/getInfo.php?workbook=12_04.xlsx&amp;sheet=A0&amp;row=1756&amp;col=6&amp;number=8040000&amp;sourceID=14","8040000")</f>
        <v>8040000</v>
      </c>
      <c r="G1756" s="4" t="str">
        <f>HYPERLINK("http://141.218.60.56/~jnz1568/getInfo.php?workbook=12_04.xlsx&amp;sheet=A0&amp;row=1756&amp;col=7&amp;number=0&amp;sourceID=14","0")</f>
        <v>0</v>
      </c>
    </row>
    <row r="1757" spans="1:7">
      <c r="A1757" s="3">
        <v>12</v>
      </c>
      <c r="B1757" s="3">
        <v>4</v>
      </c>
      <c r="C1757" s="3">
        <v>55</v>
      </c>
      <c r="D1757" s="3">
        <v>22</v>
      </c>
      <c r="E1757" s="3">
        <v>271.15</v>
      </c>
      <c r="F1757" s="4" t="str">
        <f>HYPERLINK("http://141.218.60.56/~jnz1568/getInfo.php?workbook=12_04.xlsx&amp;sheet=A0&amp;row=1757&amp;col=6&amp;number=0.0124&amp;sourceID=14","0.0124")</f>
        <v>0.0124</v>
      </c>
      <c r="G1757" s="4" t="str">
        <f>HYPERLINK("http://141.218.60.56/~jnz1568/getInfo.php?workbook=12_04.xlsx&amp;sheet=A0&amp;row=1757&amp;col=7&amp;number=0&amp;sourceID=14","0")</f>
        <v>0</v>
      </c>
    </row>
    <row r="1758" spans="1:7">
      <c r="A1758" s="3">
        <v>12</v>
      </c>
      <c r="B1758" s="3">
        <v>4</v>
      </c>
      <c r="C1758" s="3">
        <v>56</v>
      </c>
      <c r="D1758" s="3">
        <v>22</v>
      </c>
      <c r="E1758" s="3">
        <v>265.506</v>
      </c>
      <c r="F1758" s="4" t="str">
        <f>HYPERLINK("http://141.218.60.56/~jnz1568/getInfo.php?workbook=12_04.xlsx&amp;sheet=A0&amp;row=1758&amp;col=6&amp;number=20900000&amp;sourceID=14","20900000")</f>
        <v>20900000</v>
      </c>
      <c r="G1758" s="4" t="str">
        <f>HYPERLINK("http://141.218.60.56/~jnz1568/getInfo.php?workbook=12_04.xlsx&amp;sheet=A0&amp;row=1758&amp;col=7&amp;number=0&amp;sourceID=14","0")</f>
        <v>0</v>
      </c>
    </row>
    <row r="1759" spans="1:7">
      <c r="A1759" s="3">
        <v>12</v>
      </c>
      <c r="B1759" s="3">
        <v>4</v>
      </c>
      <c r="C1759" s="3">
        <v>57</v>
      </c>
      <c r="D1759" s="3">
        <v>22</v>
      </c>
      <c r="E1759" s="3">
        <v>-265.394</v>
      </c>
      <c r="F1759" s="4" t="str">
        <f>HYPERLINK("http://141.218.60.56/~jnz1568/getInfo.php?workbook=12_04.xlsx&amp;sheet=A0&amp;row=1759&amp;col=6&amp;number=2240&amp;sourceID=14","2240")</f>
        <v>2240</v>
      </c>
      <c r="G1759" s="4" t="str">
        <f>HYPERLINK("http://141.218.60.56/~jnz1568/getInfo.php?workbook=12_04.xlsx&amp;sheet=A0&amp;row=1759&amp;col=7&amp;number=0&amp;sourceID=14","0")</f>
        <v>0</v>
      </c>
    </row>
    <row r="1760" spans="1:7">
      <c r="A1760" s="3">
        <v>12</v>
      </c>
      <c r="B1760" s="3">
        <v>4</v>
      </c>
      <c r="C1760" s="3">
        <v>58</v>
      </c>
      <c r="D1760" s="3">
        <v>22</v>
      </c>
      <c r="E1760" s="3">
        <v>-265.373</v>
      </c>
      <c r="F1760" s="4" t="str">
        <f>HYPERLINK("http://141.218.60.56/~jnz1568/getInfo.php?workbook=12_04.xlsx&amp;sheet=A0&amp;row=1760&amp;col=6&amp;number=3190&amp;sourceID=14","3190")</f>
        <v>3190</v>
      </c>
      <c r="G1760" s="4" t="str">
        <f>HYPERLINK("http://141.218.60.56/~jnz1568/getInfo.php?workbook=12_04.xlsx&amp;sheet=A0&amp;row=1760&amp;col=7&amp;number=0&amp;sourceID=14","0")</f>
        <v>0</v>
      </c>
    </row>
    <row r="1761" spans="1:7">
      <c r="A1761" s="3">
        <v>12</v>
      </c>
      <c r="B1761" s="3">
        <v>4</v>
      </c>
      <c r="C1761" s="3">
        <v>59</v>
      </c>
      <c r="D1761" s="3">
        <v>22</v>
      </c>
      <c r="E1761" s="3">
        <v>-265.347</v>
      </c>
      <c r="F1761" s="4" t="str">
        <f>HYPERLINK("http://141.218.60.56/~jnz1568/getInfo.php?workbook=12_04.xlsx&amp;sheet=A0&amp;row=1761&amp;col=6&amp;number=3.44e-06&amp;sourceID=14","3.44e-06")</f>
        <v>3.44e-06</v>
      </c>
      <c r="G1761" s="4" t="str">
        <f>HYPERLINK("http://141.218.60.56/~jnz1568/getInfo.php?workbook=12_04.xlsx&amp;sheet=A0&amp;row=1761&amp;col=7&amp;number=0&amp;sourceID=14","0")</f>
        <v>0</v>
      </c>
    </row>
    <row r="1762" spans="1:7">
      <c r="A1762" s="3">
        <v>12</v>
      </c>
      <c r="B1762" s="3">
        <v>4</v>
      </c>
      <c r="C1762" s="3">
        <v>60</v>
      </c>
      <c r="D1762" s="3">
        <v>22</v>
      </c>
      <c r="E1762" s="3">
        <v>-263.58</v>
      </c>
      <c r="F1762" s="4" t="str">
        <f>HYPERLINK("http://141.218.60.56/~jnz1568/getInfo.php?workbook=12_04.xlsx&amp;sheet=A0&amp;row=1762&amp;col=6&amp;number=1390&amp;sourceID=14","1390")</f>
        <v>1390</v>
      </c>
      <c r="G1762" s="4" t="str">
        <f>HYPERLINK("http://141.218.60.56/~jnz1568/getInfo.php?workbook=12_04.xlsx&amp;sheet=A0&amp;row=1762&amp;col=7&amp;number=0&amp;sourceID=14","0")</f>
        <v>0</v>
      </c>
    </row>
    <row r="1763" spans="1:7">
      <c r="A1763" s="3">
        <v>12</v>
      </c>
      <c r="B1763" s="3">
        <v>4</v>
      </c>
      <c r="C1763" s="3">
        <v>61</v>
      </c>
      <c r="D1763" s="3">
        <v>22</v>
      </c>
      <c r="E1763" s="3">
        <v>-201.979</v>
      </c>
      <c r="F1763" s="4" t="str">
        <f>HYPERLINK("http://141.218.60.56/~jnz1568/getInfo.php?workbook=12_04.xlsx&amp;sheet=A0&amp;row=1763&amp;col=6&amp;number=0.0972&amp;sourceID=14","0.0972")</f>
        <v>0.0972</v>
      </c>
      <c r="G1763" s="4" t="str">
        <f>HYPERLINK("http://141.218.60.56/~jnz1568/getInfo.php?workbook=12_04.xlsx&amp;sheet=A0&amp;row=1763&amp;col=7&amp;number=0&amp;sourceID=14","0")</f>
        <v>0</v>
      </c>
    </row>
    <row r="1764" spans="1:7">
      <c r="A1764" s="3">
        <v>12</v>
      </c>
      <c r="B1764" s="3">
        <v>4</v>
      </c>
      <c r="C1764" s="3">
        <v>62</v>
      </c>
      <c r="D1764" s="3">
        <v>22</v>
      </c>
      <c r="E1764" s="3">
        <v>-201.606</v>
      </c>
      <c r="F1764" s="4" t="str">
        <f>HYPERLINK("http://141.218.60.56/~jnz1568/getInfo.php?workbook=12_04.xlsx&amp;sheet=A0&amp;row=1764&amp;col=6&amp;number=8210&amp;sourceID=14","8210")</f>
        <v>8210</v>
      </c>
      <c r="G1764" s="4" t="str">
        <f>HYPERLINK("http://141.218.60.56/~jnz1568/getInfo.php?workbook=12_04.xlsx&amp;sheet=A0&amp;row=1764&amp;col=7&amp;number=0&amp;sourceID=14","0")</f>
        <v>0</v>
      </c>
    </row>
    <row r="1765" spans="1:7">
      <c r="A1765" s="3">
        <v>12</v>
      </c>
      <c r="B1765" s="3">
        <v>4</v>
      </c>
      <c r="C1765" s="3">
        <v>63</v>
      </c>
      <c r="D1765" s="3">
        <v>22</v>
      </c>
      <c r="E1765" s="3">
        <v>-200.402</v>
      </c>
      <c r="F1765" s="4" t="str">
        <f>HYPERLINK("http://141.218.60.56/~jnz1568/getInfo.php?workbook=12_04.xlsx&amp;sheet=A0&amp;row=1765&amp;col=6&amp;number=17000&amp;sourceID=14","17000")</f>
        <v>17000</v>
      </c>
      <c r="G1765" s="4" t="str">
        <f>HYPERLINK("http://141.218.60.56/~jnz1568/getInfo.php?workbook=12_04.xlsx&amp;sheet=A0&amp;row=1765&amp;col=7&amp;number=0&amp;sourceID=14","0")</f>
        <v>0</v>
      </c>
    </row>
    <row r="1766" spans="1:7">
      <c r="A1766" s="3">
        <v>12</v>
      </c>
      <c r="B1766" s="3">
        <v>4</v>
      </c>
      <c r="C1766" s="3">
        <v>64</v>
      </c>
      <c r="D1766" s="3">
        <v>22</v>
      </c>
      <c r="E1766" s="3">
        <v>-197.927</v>
      </c>
      <c r="F1766" s="4" t="str">
        <f>HYPERLINK("http://141.218.60.56/~jnz1568/getInfo.php?workbook=12_04.xlsx&amp;sheet=A0&amp;row=1766&amp;col=6&amp;number=379&amp;sourceID=14","379")</f>
        <v>379</v>
      </c>
      <c r="G1766" s="4" t="str">
        <f>HYPERLINK("http://141.218.60.56/~jnz1568/getInfo.php?workbook=12_04.xlsx&amp;sheet=A0&amp;row=1766&amp;col=7&amp;number=0&amp;sourceID=14","0")</f>
        <v>0</v>
      </c>
    </row>
    <row r="1767" spans="1:7">
      <c r="A1767" s="3">
        <v>12</v>
      </c>
      <c r="B1767" s="3">
        <v>4</v>
      </c>
      <c r="C1767" s="3">
        <v>65</v>
      </c>
      <c r="D1767" s="3">
        <v>22</v>
      </c>
      <c r="E1767" s="3">
        <v>-195.022</v>
      </c>
      <c r="F1767" s="4" t="str">
        <f>HYPERLINK("http://141.218.60.56/~jnz1568/getInfo.php?workbook=12_04.xlsx&amp;sheet=A0&amp;row=1767&amp;col=6&amp;number=4130000000&amp;sourceID=14","4130000000")</f>
        <v>4130000000</v>
      </c>
      <c r="G1767" s="4" t="str">
        <f>HYPERLINK("http://141.218.60.56/~jnz1568/getInfo.php?workbook=12_04.xlsx&amp;sheet=A0&amp;row=1767&amp;col=7&amp;number=0&amp;sourceID=14","0")</f>
        <v>0</v>
      </c>
    </row>
    <row r="1768" spans="1:7">
      <c r="A1768" s="3">
        <v>12</v>
      </c>
      <c r="B1768" s="3">
        <v>4</v>
      </c>
      <c r="C1768" s="3">
        <v>66</v>
      </c>
      <c r="D1768" s="3">
        <v>22</v>
      </c>
      <c r="E1768" s="3">
        <v>-194.056</v>
      </c>
      <c r="F1768" s="4" t="str">
        <f>HYPERLINK("http://141.218.60.56/~jnz1568/getInfo.php?workbook=12_04.xlsx&amp;sheet=A0&amp;row=1768&amp;col=6&amp;number=1970000000&amp;sourceID=14","1970000000")</f>
        <v>1970000000</v>
      </c>
      <c r="G1768" s="4" t="str">
        <f>HYPERLINK("http://141.218.60.56/~jnz1568/getInfo.php?workbook=12_04.xlsx&amp;sheet=A0&amp;row=1768&amp;col=7&amp;number=0&amp;sourceID=14","0")</f>
        <v>0</v>
      </c>
    </row>
    <row r="1769" spans="1:7">
      <c r="A1769" s="3">
        <v>12</v>
      </c>
      <c r="B1769" s="3">
        <v>4</v>
      </c>
      <c r="C1769" s="3">
        <v>67</v>
      </c>
      <c r="D1769" s="3">
        <v>22</v>
      </c>
      <c r="E1769" s="3">
        <v>-193.886</v>
      </c>
      <c r="F1769" s="4" t="str">
        <f>HYPERLINK("http://141.218.60.56/~jnz1568/getInfo.php?workbook=12_04.xlsx&amp;sheet=A0&amp;row=1769&amp;col=6&amp;number=14400000000&amp;sourceID=14","14400000000")</f>
        <v>14400000000</v>
      </c>
      <c r="G1769" s="4" t="str">
        <f>HYPERLINK("http://141.218.60.56/~jnz1568/getInfo.php?workbook=12_04.xlsx&amp;sheet=A0&amp;row=1769&amp;col=7&amp;number=0&amp;sourceID=14","0")</f>
        <v>0</v>
      </c>
    </row>
    <row r="1770" spans="1:7">
      <c r="A1770" s="3">
        <v>12</v>
      </c>
      <c r="B1770" s="3">
        <v>4</v>
      </c>
      <c r="C1770" s="3">
        <v>68</v>
      </c>
      <c r="D1770" s="3">
        <v>22</v>
      </c>
      <c r="E1770" s="3">
        <v>192.872</v>
      </c>
      <c r="F1770" s="4" t="str">
        <f>HYPERLINK("http://141.218.60.56/~jnz1568/getInfo.php?workbook=12_04.xlsx&amp;sheet=A0&amp;row=1770&amp;col=6&amp;number=12.4&amp;sourceID=14","12.4")</f>
        <v>12.4</v>
      </c>
      <c r="G1770" s="4" t="str">
        <f>HYPERLINK("http://141.218.60.56/~jnz1568/getInfo.php?workbook=12_04.xlsx&amp;sheet=A0&amp;row=1770&amp;col=7&amp;number=0&amp;sourceID=14","0")</f>
        <v>0</v>
      </c>
    </row>
    <row r="1771" spans="1:7">
      <c r="A1771" s="3">
        <v>12</v>
      </c>
      <c r="B1771" s="3">
        <v>4</v>
      </c>
      <c r="C1771" s="3">
        <v>69</v>
      </c>
      <c r="D1771" s="3">
        <v>22</v>
      </c>
      <c r="E1771" s="3">
        <v>-191.901</v>
      </c>
      <c r="F1771" s="4" t="str">
        <f>HYPERLINK("http://141.218.60.56/~jnz1568/getInfo.php?workbook=12_04.xlsx&amp;sheet=A0&amp;row=1771&amp;col=6&amp;number=9320000000&amp;sourceID=14","9320000000")</f>
        <v>9320000000</v>
      </c>
      <c r="G1771" s="4" t="str">
        <f>HYPERLINK("http://141.218.60.56/~jnz1568/getInfo.php?workbook=12_04.xlsx&amp;sheet=A0&amp;row=1771&amp;col=7&amp;number=0&amp;sourceID=14","0")</f>
        <v>0</v>
      </c>
    </row>
    <row r="1772" spans="1:7">
      <c r="A1772" s="3">
        <v>12</v>
      </c>
      <c r="B1772" s="3">
        <v>4</v>
      </c>
      <c r="C1772" s="3">
        <v>70</v>
      </c>
      <c r="D1772" s="3">
        <v>22</v>
      </c>
      <c r="E1772" s="3">
        <v>-191.668</v>
      </c>
      <c r="F1772" s="4" t="str">
        <f>HYPERLINK("http://141.218.60.56/~jnz1568/getInfo.php?workbook=12_04.xlsx&amp;sheet=A0&amp;row=1772&amp;col=6&amp;number=15500000000&amp;sourceID=14","15500000000")</f>
        <v>15500000000</v>
      </c>
      <c r="G1772" s="4" t="str">
        <f>HYPERLINK("http://141.218.60.56/~jnz1568/getInfo.php?workbook=12_04.xlsx&amp;sheet=A0&amp;row=1772&amp;col=7&amp;number=0&amp;sourceID=14","0")</f>
        <v>0</v>
      </c>
    </row>
    <row r="1773" spans="1:7">
      <c r="A1773" s="3">
        <v>12</v>
      </c>
      <c r="B1773" s="3">
        <v>4</v>
      </c>
      <c r="C1773" s="3">
        <v>71</v>
      </c>
      <c r="D1773" s="3">
        <v>22</v>
      </c>
      <c r="E1773" s="3">
        <v>-190.961</v>
      </c>
      <c r="F1773" s="4" t="str">
        <f>HYPERLINK("http://141.218.60.56/~jnz1568/getInfo.php?workbook=12_04.xlsx&amp;sheet=A0&amp;row=1773&amp;col=6&amp;number=320000000&amp;sourceID=14","320000000")</f>
        <v>320000000</v>
      </c>
      <c r="G1773" s="4" t="str">
        <f>HYPERLINK("http://141.218.60.56/~jnz1568/getInfo.php?workbook=12_04.xlsx&amp;sheet=A0&amp;row=1773&amp;col=7&amp;number=0&amp;sourceID=14","0")</f>
        <v>0</v>
      </c>
    </row>
    <row r="1774" spans="1:7">
      <c r="A1774" s="3">
        <v>12</v>
      </c>
      <c r="B1774" s="3">
        <v>4</v>
      </c>
      <c r="C1774" s="3">
        <v>72</v>
      </c>
      <c r="D1774" s="3">
        <v>22</v>
      </c>
      <c r="E1774" s="3">
        <v>190.804</v>
      </c>
      <c r="F1774" s="4" t="str">
        <f>HYPERLINK("http://141.218.60.56/~jnz1568/getInfo.php?workbook=12_04.xlsx&amp;sheet=A0&amp;row=1774&amp;col=6&amp;number=2070000000&amp;sourceID=14","2070000000")</f>
        <v>2070000000</v>
      </c>
      <c r="G1774" s="4" t="str">
        <f>HYPERLINK("http://141.218.60.56/~jnz1568/getInfo.php?workbook=12_04.xlsx&amp;sheet=A0&amp;row=1774&amp;col=7&amp;number=0&amp;sourceID=14","0")</f>
        <v>0</v>
      </c>
    </row>
    <row r="1775" spans="1:7">
      <c r="A1775" s="3">
        <v>12</v>
      </c>
      <c r="B1775" s="3">
        <v>4</v>
      </c>
      <c r="C1775" s="3">
        <v>73</v>
      </c>
      <c r="D1775" s="3">
        <v>22</v>
      </c>
      <c r="E1775" s="3">
        <v>-189.692</v>
      </c>
      <c r="F1775" s="4" t="str">
        <f>HYPERLINK("http://141.218.60.56/~jnz1568/getInfo.php?workbook=12_04.xlsx&amp;sheet=A0&amp;row=1775&amp;col=6&amp;number=1090000&amp;sourceID=14","1090000")</f>
        <v>1090000</v>
      </c>
      <c r="G1775" s="4" t="str">
        <f>HYPERLINK("http://141.218.60.56/~jnz1568/getInfo.php?workbook=12_04.xlsx&amp;sheet=A0&amp;row=1775&amp;col=7&amp;number=0&amp;sourceID=14","0")</f>
        <v>0</v>
      </c>
    </row>
    <row r="1776" spans="1:7">
      <c r="A1776" s="3">
        <v>12</v>
      </c>
      <c r="B1776" s="3">
        <v>4</v>
      </c>
      <c r="C1776" s="3">
        <v>74</v>
      </c>
      <c r="D1776" s="3">
        <v>22</v>
      </c>
      <c r="E1776" s="3">
        <v>-189.008</v>
      </c>
      <c r="F1776" s="4" t="str">
        <f>HYPERLINK("http://141.218.60.56/~jnz1568/getInfo.php?workbook=12_04.xlsx&amp;sheet=A0&amp;row=1776&amp;col=6&amp;number=2370000&amp;sourceID=14","2370000")</f>
        <v>2370000</v>
      </c>
      <c r="G1776" s="4" t="str">
        <f>HYPERLINK("http://141.218.60.56/~jnz1568/getInfo.php?workbook=12_04.xlsx&amp;sheet=A0&amp;row=1776&amp;col=7&amp;number=0&amp;sourceID=14","0")</f>
        <v>0</v>
      </c>
    </row>
    <row r="1777" spans="1:7">
      <c r="A1777" s="3">
        <v>12</v>
      </c>
      <c r="B1777" s="3">
        <v>4</v>
      </c>
      <c r="C1777" s="3">
        <v>75</v>
      </c>
      <c r="D1777" s="3">
        <v>22</v>
      </c>
      <c r="E1777" s="3">
        <v>188.694</v>
      </c>
      <c r="F1777" s="4" t="str">
        <f>HYPERLINK("http://141.218.60.56/~jnz1568/getInfo.php?workbook=12_04.xlsx&amp;sheet=A0&amp;row=1777&amp;col=6&amp;number=47900&amp;sourceID=14","47900")</f>
        <v>47900</v>
      </c>
      <c r="G1777" s="4" t="str">
        <f>HYPERLINK("http://141.218.60.56/~jnz1568/getInfo.php?workbook=12_04.xlsx&amp;sheet=A0&amp;row=1777&amp;col=7&amp;number=0&amp;sourceID=14","0")</f>
        <v>0</v>
      </c>
    </row>
    <row r="1778" spans="1:7">
      <c r="A1778" s="3">
        <v>12</v>
      </c>
      <c r="B1778" s="3">
        <v>4</v>
      </c>
      <c r="C1778" s="3">
        <v>76</v>
      </c>
      <c r="D1778" s="3">
        <v>22</v>
      </c>
      <c r="E1778" s="3">
        <v>188.74</v>
      </c>
      <c r="F1778" s="4" t="str">
        <f>HYPERLINK("http://141.218.60.56/~jnz1568/getInfo.php?workbook=12_04.xlsx&amp;sheet=A0&amp;row=1778&amp;col=6&amp;number=101000000&amp;sourceID=14","101000000")</f>
        <v>101000000</v>
      </c>
      <c r="G1778" s="4" t="str">
        <f>HYPERLINK("http://141.218.60.56/~jnz1568/getInfo.php?workbook=12_04.xlsx&amp;sheet=A0&amp;row=1778&amp;col=7&amp;number=0&amp;sourceID=14","0")</f>
        <v>0</v>
      </c>
    </row>
    <row r="1779" spans="1:7">
      <c r="A1779" s="3">
        <v>12</v>
      </c>
      <c r="B1779" s="3">
        <v>4</v>
      </c>
      <c r="C1779" s="3">
        <v>77</v>
      </c>
      <c r="D1779" s="3">
        <v>22</v>
      </c>
      <c r="E1779" s="3">
        <v>-188.234</v>
      </c>
      <c r="F1779" s="4" t="str">
        <f>HYPERLINK("http://141.218.60.56/~jnz1568/getInfo.php?workbook=12_04.xlsx&amp;sheet=A0&amp;row=1779&amp;col=6&amp;number=0.0028&amp;sourceID=14","0.0028")</f>
        <v>0.0028</v>
      </c>
      <c r="G1779" s="4" t="str">
        <f>HYPERLINK("http://141.218.60.56/~jnz1568/getInfo.php?workbook=12_04.xlsx&amp;sheet=A0&amp;row=1779&amp;col=7&amp;number=0&amp;sourceID=14","0")</f>
        <v>0</v>
      </c>
    </row>
    <row r="1780" spans="1:7">
      <c r="A1780" s="3">
        <v>12</v>
      </c>
      <c r="B1780" s="3">
        <v>4</v>
      </c>
      <c r="C1780" s="3">
        <v>78</v>
      </c>
      <c r="D1780" s="3">
        <v>22</v>
      </c>
      <c r="E1780" s="3">
        <v>-187.175</v>
      </c>
      <c r="F1780" s="4" t="str">
        <f>HYPERLINK("http://141.218.60.56/~jnz1568/getInfo.php?workbook=12_04.xlsx&amp;sheet=A0&amp;row=1780&amp;col=6&amp;number=2840000&amp;sourceID=14","2840000")</f>
        <v>2840000</v>
      </c>
      <c r="G1780" s="4" t="str">
        <f>HYPERLINK("http://141.218.60.56/~jnz1568/getInfo.php?workbook=12_04.xlsx&amp;sheet=A0&amp;row=1780&amp;col=7&amp;number=0&amp;sourceID=14","0")</f>
        <v>0</v>
      </c>
    </row>
    <row r="1781" spans="1:7">
      <c r="A1781" s="3">
        <v>12</v>
      </c>
      <c r="B1781" s="3">
        <v>4</v>
      </c>
      <c r="C1781" s="3">
        <v>79</v>
      </c>
      <c r="D1781" s="3">
        <v>22</v>
      </c>
      <c r="E1781" s="3">
        <v>-186.959</v>
      </c>
      <c r="F1781" s="4" t="str">
        <f>HYPERLINK("http://141.218.60.56/~jnz1568/getInfo.php?workbook=12_04.xlsx&amp;sheet=A0&amp;row=1781&amp;col=6&amp;number=1140000&amp;sourceID=14","1140000")</f>
        <v>1140000</v>
      </c>
      <c r="G1781" s="4" t="str">
        <f>HYPERLINK("http://141.218.60.56/~jnz1568/getInfo.php?workbook=12_04.xlsx&amp;sheet=A0&amp;row=1781&amp;col=7&amp;number=0&amp;sourceID=14","0")</f>
        <v>0</v>
      </c>
    </row>
    <row r="1782" spans="1:7">
      <c r="A1782" s="3">
        <v>12</v>
      </c>
      <c r="B1782" s="3">
        <v>4</v>
      </c>
      <c r="C1782" s="3">
        <v>80</v>
      </c>
      <c r="D1782" s="3">
        <v>22</v>
      </c>
      <c r="E1782" s="3">
        <v>-186.526</v>
      </c>
      <c r="F1782" s="4" t="str">
        <f>HYPERLINK("http://141.218.60.56/~jnz1568/getInfo.php?workbook=12_04.xlsx&amp;sheet=A0&amp;row=1782&amp;col=6&amp;number=30.4&amp;sourceID=14","30.4")</f>
        <v>30.4</v>
      </c>
      <c r="G1782" s="4" t="str">
        <f>HYPERLINK("http://141.218.60.56/~jnz1568/getInfo.php?workbook=12_04.xlsx&amp;sheet=A0&amp;row=1782&amp;col=7&amp;number=0&amp;sourceID=14","0")</f>
        <v>0</v>
      </c>
    </row>
    <row r="1783" spans="1:7">
      <c r="A1783" s="3">
        <v>12</v>
      </c>
      <c r="B1783" s="3">
        <v>4</v>
      </c>
      <c r="C1783" s="3">
        <v>81</v>
      </c>
      <c r="D1783" s="3">
        <v>22</v>
      </c>
      <c r="E1783" s="3">
        <v>186.22</v>
      </c>
      <c r="F1783" s="4" t="str">
        <f>HYPERLINK("http://141.218.60.56/~jnz1568/getInfo.php?workbook=12_04.xlsx&amp;sheet=A0&amp;row=1783&amp;col=6&amp;number=545000&amp;sourceID=14","545000")</f>
        <v>545000</v>
      </c>
      <c r="G1783" s="4" t="str">
        <f>HYPERLINK("http://141.218.60.56/~jnz1568/getInfo.php?workbook=12_04.xlsx&amp;sheet=A0&amp;row=1783&amp;col=7&amp;number=0&amp;sourceID=14","0")</f>
        <v>0</v>
      </c>
    </row>
    <row r="1784" spans="1:7">
      <c r="A1784" s="3">
        <v>12</v>
      </c>
      <c r="B1784" s="3">
        <v>4</v>
      </c>
      <c r="C1784" s="3">
        <v>82</v>
      </c>
      <c r="D1784" s="3">
        <v>22</v>
      </c>
      <c r="E1784" s="3">
        <v>-186.4</v>
      </c>
      <c r="F1784" s="4" t="str">
        <f>HYPERLINK("http://141.218.60.56/~jnz1568/getInfo.php?workbook=12_04.xlsx&amp;sheet=A0&amp;row=1784&amp;col=6&amp;number=46800000&amp;sourceID=14","46800000")</f>
        <v>46800000</v>
      </c>
      <c r="G1784" s="4" t="str">
        <f>HYPERLINK("http://141.218.60.56/~jnz1568/getInfo.php?workbook=12_04.xlsx&amp;sheet=A0&amp;row=1784&amp;col=7&amp;number=0&amp;sourceID=14","0")</f>
        <v>0</v>
      </c>
    </row>
    <row r="1785" spans="1:7">
      <c r="A1785" s="3">
        <v>12</v>
      </c>
      <c r="B1785" s="3">
        <v>4</v>
      </c>
      <c r="C1785" s="3">
        <v>83</v>
      </c>
      <c r="D1785" s="3">
        <v>22</v>
      </c>
      <c r="E1785" s="3">
        <v>-186.399</v>
      </c>
      <c r="F1785" s="4" t="str">
        <f>HYPERLINK("http://141.218.60.56/~jnz1568/getInfo.php?workbook=12_04.xlsx&amp;sheet=A0&amp;row=1785&amp;col=6&amp;number=0.405&amp;sourceID=14","0.405")</f>
        <v>0.405</v>
      </c>
      <c r="G1785" s="4" t="str">
        <f>HYPERLINK("http://141.218.60.56/~jnz1568/getInfo.php?workbook=12_04.xlsx&amp;sheet=A0&amp;row=1785&amp;col=7&amp;number=0&amp;sourceID=14","0")</f>
        <v>0</v>
      </c>
    </row>
    <row r="1786" spans="1:7">
      <c r="A1786" s="3">
        <v>12</v>
      </c>
      <c r="B1786" s="3">
        <v>4</v>
      </c>
      <c r="C1786" s="3">
        <v>84</v>
      </c>
      <c r="D1786" s="3">
        <v>22</v>
      </c>
      <c r="E1786" s="3">
        <v>-186.286</v>
      </c>
      <c r="F1786" s="4" t="str">
        <f>HYPERLINK("http://141.218.60.56/~jnz1568/getInfo.php?workbook=12_04.xlsx&amp;sheet=A0&amp;row=1786&amp;col=6&amp;number=107&amp;sourceID=14","107")</f>
        <v>107</v>
      </c>
      <c r="G1786" s="4" t="str">
        <f>HYPERLINK("http://141.218.60.56/~jnz1568/getInfo.php?workbook=12_04.xlsx&amp;sheet=A0&amp;row=1786&amp;col=7&amp;number=0&amp;sourceID=14","0")</f>
        <v>0</v>
      </c>
    </row>
    <row r="1787" spans="1:7">
      <c r="A1787" s="3">
        <v>12</v>
      </c>
      <c r="B1787" s="3">
        <v>4</v>
      </c>
      <c r="C1787" s="3">
        <v>85</v>
      </c>
      <c r="D1787" s="3">
        <v>22</v>
      </c>
      <c r="E1787" s="3">
        <v>185.805</v>
      </c>
      <c r="F1787" s="4" t="str">
        <f>HYPERLINK("http://141.218.60.56/~jnz1568/getInfo.php?workbook=12_04.xlsx&amp;sheet=A0&amp;row=1787&amp;col=6&amp;number=512000&amp;sourceID=14","512000")</f>
        <v>512000</v>
      </c>
      <c r="G1787" s="4" t="str">
        <f>HYPERLINK("http://141.218.60.56/~jnz1568/getInfo.php?workbook=12_04.xlsx&amp;sheet=A0&amp;row=1787&amp;col=7&amp;number=0&amp;sourceID=14","0")</f>
        <v>0</v>
      </c>
    </row>
    <row r="1788" spans="1:7">
      <c r="A1788" s="3">
        <v>12</v>
      </c>
      <c r="B1788" s="3">
        <v>4</v>
      </c>
      <c r="C1788" s="3">
        <v>86</v>
      </c>
      <c r="D1788" s="3">
        <v>22</v>
      </c>
      <c r="E1788" s="3">
        <v>185.625</v>
      </c>
      <c r="F1788" s="4" t="str">
        <f>HYPERLINK("http://141.218.60.56/~jnz1568/getInfo.php?workbook=12_04.xlsx&amp;sheet=A0&amp;row=1788&amp;col=6&amp;number=135000&amp;sourceID=14","135000")</f>
        <v>135000</v>
      </c>
      <c r="G1788" s="4" t="str">
        <f>HYPERLINK("http://141.218.60.56/~jnz1568/getInfo.php?workbook=12_04.xlsx&amp;sheet=A0&amp;row=1788&amp;col=7&amp;number=0&amp;sourceID=14","0")</f>
        <v>0</v>
      </c>
    </row>
    <row r="1789" spans="1:7">
      <c r="A1789" s="3">
        <v>12</v>
      </c>
      <c r="B1789" s="3">
        <v>4</v>
      </c>
      <c r="C1789" s="3">
        <v>87</v>
      </c>
      <c r="D1789" s="3">
        <v>22</v>
      </c>
      <c r="E1789" s="3">
        <v>-185.446</v>
      </c>
      <c r="F1789" s="4" t="str">
        <f>HYPERLINK("http://141.218.60.56/~jnz1568/getInfo.php?workbook=12_04.xlsx&amp;sheet=A0&amp;row=1789&amp;col=6&amp;number=0.00433&amp;sourceID=14","0.00433")</f>
        <v>0.00433</v>
      </c>
      <c r="G1789" s="4" t="str">
        <f>HYPERLINK("http://141.218.60.56/~jnz1568/getInfo.php?workbook=12_04.xlsx&amp;sheet=A0&amp;row=1789&amp;col=7&amp;number=0&amp;sourceID=14","0")</f>
        <v>0</v>
      </c>
    </row>
    <row r="1790" spans="1:7">
      <c r="A1790" s="3">
        <v>12</v>
      </c>
      <c r="B1790" s="3">
        <v>4</v>
      </c>
      <c r="C1790" s="3">
        <v>88</v>
      </c>
      <c r="D1790" s="3">
        <v>22</v>
      </c>
      <c r="E1790" s="3">
        <v>-185.177</v>
      </c>
      <c r="F1790" s="4" t="str">
        <f>HYPERLINK("http://141.218.60.56/~jnz1568/getInfo.php?workbook=12_04.xlsx&amp;sheet=A0&amp;row=1790&amp;col=6&amp;number=53.8&amp;sourceID=14","53.8")</f>
        <v>53.8</v>
      </c>
      <c r="G1790" s="4" t="str">
        <f>HYPERLINK("http://141.218.60.56/~jnz1568/getInfo.php?workbook=12_04.xlsx&amp;sheet=A0&amp;row=1790&amp;col=7&amp;number=0&amp;sourceID=14","0")</f>
        <v>0</v>
      </c>
    </row>
    <row r="1791" spans="1:7">
      <c r="A1791" s="3">
        <v>12</v>
      </c>
      <c r="B1791" s="3">
        <v>4</v>
      </c>
      <c r="C1791" s="3">
        <v>89</v>
      </c>
      <c r="D1791" s="3">
        <v>22</v>
      </c>
      <c r="E1791" s="3">
        <v>-185.019</v>
      </c>
      <c r="F1791" s="4" t="str">
        <f>HYPERLINK("http://141.218.60.56/~jnz1568/getInfo.php?workbook=12_04.xlsx&amp;sheet=A0&amp;row=1791&amp;col=6&amp;number=14.3&amp;sourceID=14","14.3")</f>
        <v>14.3</v>
      </c>
      <c r="G1791" s="4" t="str">
        <f>HYPERLINK("http://141.218.60.56/~jnz1568/getInfo.php?workbook=12_04.xlsx&amp;sheet=A0&amp;row=1791&amp;col=7&amp;number=0&amp;sourceID=14","0")</f>
        <v>0</v>
      </c>
    </row>
    <row r="1792" spans="1:7">
      <c r="A1792" s="3">
        <v>12</v>
      </c>
      <c r="B1792" s="3">
        <v>4</v>
      </c>
      <c r="C1792" s="3">
        <v>90</v>
      </c>
      <c r="D1792" s="3">
        <v>22</v>
      </c>
      <c r="E1792" s="3">
        <v>-184.549</v>
      </c>
      <c r="F1792" s="4" t="str">
        <f>HYPERLINK("http://141.218.60.56/~jnz1568/getInfo.php?workbook=12_04.xlsx&amp;sheet=A0&amp;row=1792&amp;col=6&amp;number=1.8e-07&amp;sourceID=14","1.8e-07")</f>
        <v>1.8e-07</v>
      </c>
      <c r="G1792" s="4" t="str">
        <f>HYPERLINK("http://141.218.60.56/~jnz1568/getInfo.php?workbook=12_04.xlsx&amp;sheet=A0&amp;row=1792&amp;col=7&amp;number=0&amp;sourceID=14","0")</f>
        <v>0</v>
      </c>
    </row>
    <row r="1793" spans="1:7">
      <c r="A1793" s="3">
        <v>12</v>
      </c>
      <c r="B1793" s="3">
        <v>4</v>
      </c>
      <c r="C1793" s="3">
        <v>91</v>
      </c>
      <c r="D1793" s="3">
        <v>22</v>
      </c>
      <c r="E1793" s="3">
        <v>-184.135</v>
      </c>
      <c r="F1793" s="4" t="str">
        <f>HYPERLINK("http://141.218.60.56/~jnz1568/getInfo.php?workbook=12_04.xlsx&amp;sheet=A0&amp;row=1793&amp;col=6&amp;number=45.4&amp;sourceID=14","45.4")</f>
        <v>45.4</v>
      </c>
      <c r="G1793" s="4" t="str">
        <f>HYPERLINK("http://141.218.60.56/~jnz1568/getInfo.php?workbook=12_04.xlsx&amp;sheet=A0&amp;row=1793&amp;col=7&amp;number=0&amp;sourceID=14","0")</f>
        <v>0</v>
      </c>
    </row>
    <row r="1794" spans="1:7">
      <c r="A1794" s="3">
        <v>12</v>
      </c>
      <c r="B1794" s="3">
        <v>4</v>
      </c>
      <c r="C1794" s="3">
        <v>92</v>
      </c>
      <c r="D1794" s="3">
        <v>22</v>
      </c>
      <c r="E1794" s="3">
        <v>-184.038</v>
      </c>
      <c r="F1794" s="4" t="str">
        <f>HYPERLINK("http://141.218.60.56/~jnz1568/getInfo.php?workbook=12_04.xlsx&amp;sheet=A0&amp;row=1794&amp;col=6&amp;number=13.1&amp;sourceID=14","13.1")</f>
        <v>13.1</v>
      </c>
      <c r="G1794" s="4" t="str">
        <f>HYPERLINK("http://141.218.60.56/~jnz1568/getInfo.php?workbook=12_04.xlsx&amp;sheet=A0&amp;row=1794&amp;col=7&amp;number=0&amp;sourceID=14","0")</f>
        <v>0</v>
      </c>
    </row>
    <row r="1795" spans="1:7">
      <c r="A1795" s="3">
        <v>12</v>
      </c>
      <c r="B1795" s="3">
        <v>4</v>
      </c>
      <c r="C1795" s="3">
        <v>93</v>
      </c>
      <c r="D1795" s="3">
        <v>22</v>
      </c>
      <c r="E1795" s="3">
        <v>-183.949</v>
      </c>
      <c r="F1795" s="4" t="str">
        <f>HYPERLINK("http://141.218.60.56/~jnz1568/getInfo.php?workbook=12_04.xlsx&amp;sheet=A0&amp;row=1795&amp;col=6&amp;number=807000000&amp;sourceID=14","807000000")</f>
        <v>807000000</v>
      </c>
      <c r="G1795" s="4" t="str">
        <f>HYPERLINK("http://141.218.60.56/~jnz1568/getInfo.php?workbook=12_04.xlsx&amp;sheet=A0&amp;row=1795&amp;col=7&amp;number=0&amp;sourceID=14","0")</f>
        <v>0</v>
      </c>
    </row>
    <row r="1796" spans="1:7">
      <c r="A1796" s="3">
        <v>12</v>
      </c>
      <c r="B1796" s="3">
        <v>4</v>
      </c>
      <c r="C1796" s="3">
        <v>94</v>
      </c>
      <c r="D1796" s="3">
        <v>22</v>
      </c>
      <c r="E1796" s="3">
        <v>-183.622</v>
      </c>
      <c r="F1796" s="4" t="str">
        <f>HYPERLINK("http://141.218.60.56/~jnz1568/getInfo.php?workbook=12_04.xlsx&amp;sheet=A0&amp;row=1796&amp;col=6&amp;number=561000000&amp;sourceID=14","561000000")</f>
        <v>561000000</v>
      </c>
      <c r="G1796" s="4" t="str">
        <f>HYPERLINK("http://141.218.60.56/~jnz1568/getInfo.php?workbook=12_04.xlsx&amp;sheet=A0&amp;row=1796&amp;col=7&amp;number=0&amp;sourceID=14","0")</f>
        <v>0</v>
      </c>
    </row>
    <row r="1797" spans="1:7">
      <c r="A1797" s="3">
        <v>12</v>
      </c>
      <c r="B1797" s="3">
        <v>4</v>
      </c>
      <c r="C1797" s="3">
        <v>95</v>
      </c>
      <c r="D1797" s="3">
        <v>22</v>
      </c>
      <c r="E1797" s="3">
        <v>-183.409</v>
      </c>
      <c r="F1797" s="4" t="str">
        <f>HYPERLINK("http://141.218.60.56/~jnz1568/getInfo.php?workbook=12_04.xlsx&amp;sheet=A0&amp;row=1797&amp;col=6&amp;number=29000000&amp;sourceID=14","29000000")</f>
        <v>29000000</v>
      </c>
      <c r="G1797" s="4" t="str">
        <f>HYPERLINK("http://141.218.60.56/~jnz1568/getInfo.php?workbook=12_04.xlsx&amp;sheet=A0&amp;row=1797&amp;col=7&amp;number=0&amp;sourceID=14","0")</f>
        <v>0</v>
      </c>
    </row>
    <row r="1798" spans="1:7">
      <c r="A1798" s="3">
        <v>12</v>
      </c>
      <c r="B1798" s="3">
        <v>4</v>
      </c>
      <c r="C1798" s="3">
        <v>96</v>
      </c>
      <c r="D1798" s="3">
        <v>22</v>
      </c>
      <c r="E1798" s="3">
        <v>-183.212</v>
      </c>
      <c r="F1798" s="4" t="str">
        <f>HYPERLINK("http://141.218.60.56/~jnz1568/getInfo.php?workbook=12_04.xlsx&amp;sheet=A0&amp;row=1798&amp;col=6&amp;number=184000000&amp;sourceID=14","184000000")</f>
        <v>184000000</v>
      </c>
      <c r="G1798" s="4" t="str">
        <f>HYPERLINK("http://141.218.60.56/~jnz1568/getInfo.php?workbook=12_04.xlsx&amp;sheet=A0&amp;row=1798&amp;col=7&amp;number=0&amp;sourceID=14","0")</f>
        <v>0</v>
      </c>
    </row>
    <row r="1799" spans="1:7">
      <c r="A1799" s="3">
        <v>12</v>
      </c>
      <c r="B1799" s="3">
        <v>4</v>
      </c>
      <c r="C1799" s="3">
        <v>97</v>
      </c>
      <c r="D1799" s="3">
        <v>22</v>
      </c>
      <c r="E1799" s="3">
        <v>183.379</v>
      </c>
      <c r="F1799" s="4" t="str">
        <f>HYPERLINK("http://141.218.60.56/~jnz1568/getInfo.php?workbook=12_04.xlsx&amp;sheet=A0&amp;row=1799&amp;col=6&amp;number=7610&amp;sourceID=14","7610")</f>
        <v>7610</v>
      </c>
      <c r="G1799" s="4" t="str">
        <f>HYPERLINK("http://141.218.60.56/~jnz1568/getInfo.php?workbook=12_04.xlsx&amp;sheet=A0&amp;row=1799&amp;col=7&amp;number=0&amp;sourceID=14","0")</f>
        <v>0</v>
      </c>
    </row>
    <row r="1800" spans="1:7">
      <c r="A1800" s="3">
        <v>12</v>
      </c>
      <c r="B1800" s="3">
        <v>4</v>
      </c>
      <c r="C1800" s="3">
        <v>98</v>
      </c>
      <c r="D1800" s="3">
        <v>22</v>
      </c>
      <c r="E1800" s="3">
        <v>182.796</v>
      </c>
      <c r="F1800" s="4" t="str">
        <f>HYPERLINK("http://141.218.60.56/~jnz1568/getInfo.php?workbook=12_04.xlsx&amp;sheet=A0&amp;row=1800&amp;col=6&amp;number=16500&amp;sourceID=14","16500")</f>
        <v>16500</v>
      </c>
      <c r="G1800" s="4" t="str">
        <f>HYPERLINK("http://141.218.60.56/~jnz1568/getInfo.php?workbook=12_04.xlsx&amp;sheet=A0&amp;row=1800&amp;col=7&amp;number=0&amp;sourceID=14","0")</f>
        <v>0</v>
      </c>
    </row>
    <row r="1801" spans="1:7">
      <c r="A1801" s="3">
        <v>12</v>
      </c>
      <c r="B1801" s="3">
        <v>4</v>
      </c>
      <c r="C1801" s="3">
        <v>24</v>
      </c>
      <c r="D1801" s="3">
        <v>23</v>
      </c>
      <c r="E1801" s="3">
        <v>3431.715</v>
      </c>
      <c r="F1801" s="4" t="str">
        <f>HYPERLINK("http://141.218.60.56/~jnz1568/getInfo.php?workbook=12_04.xlsx&amp;sheet=A0&amp;row=1801&amp;col=6&amp;number=2.1&amp;sourceID=14","2.1")</f>
        <v>2.1</v>
      </c>
      <c r="G1801" s="4" t="str">
        <f>HYPERLINK("http://141.218.60.56/~jnz1568/getInfo.php?workbook=12_04.xlsx&amp;sheet=A0&amp;row=1801&amp;col=7&amp;number=0&amp;sourceID=14","0")</f>
        <v>0</v>
      </c>
    </row>
    <row r="1802" spans="1:7">
      <c r="A1802" s="3">
        <v>12</v>
      </c>
      <c r="B1802" s="3">
        <v>4</v>
      </c>
      <c r="C1802" s="3">
        <v>25</v>
      </c>
      <c r="D1802" s="3">
        <v>23</v>
      </c>
      <c r="E1802" s="3">
        <v>2922.273</v>
      </c>
      <c r="F1802" s="4" t="str">
        <f>HYPERLINK("http://141.218.60.56/~jnz1568/getInfo.php?workbook=12_04.xlsx&amp;sheet=A0&amp;row=1802&amp;col=6&amp;number=1590&amp;sourceID=14","1590")</f>
        <v>1590</v>
      </c>
      <c r="G1802" s="4" t="str">
        <f>HYPERLINK("http://141.218.60.56/~jnz1568/getInfo.php?workbook=12_04.xlsx&amp;sheet=A0&amp;row=1802&amp;col=7&amp;number=0&amp;sourceID=14","0")</f>
        <v>0</v>
      </c>
    </row>
    <row r="1803" spans="1:7">
      <c r="A1803" s="3">
        <v>12</v>
      </c>
      <c r="B1803" s="3">
        <v>4</v>
      </c>
      <c r="C1803" s="3">
        <v>26</v>
      </c>
      <c r="D1803" s="3">
        <v>23</v>
      </c>
      <c r="E1803" s="3">
        <v>2405.585</v>
      </c>
      <c r="F1803" s="4" t="str">
        <f>HYPERLINK("http://141.218.60.56/~jnz1568/getInfo.php?workbook=12_04.xlsx&amp;sheet=A0&amp;row=1803&amp;col=6&amp;number=2020000&amp;sourceID=14","2020000")</f>
        <v>2020000</v>
      </c>
      <c r="G1803" s="4" t="str">
        <f>HYPERLINK("http://141.218.60.56/~jnz1568/getInfo.php?workbook=12_04.xlsx&amp;sheet=A0&amp;row=1803&amp;col=7&amp;number=0&amp;sourceID=14","0")</f>
        <v>0</v>
      </c>
    </row>
    <row r="1804" spans="1:7">
      <c r="A1804" s="3">
        <v>12</v>
      </c>
      <c r="B1804" s="3">
        <v>4</v>
      </c>
      <c r="C1804" s="3">
        <v>27</v>
      </c>
      <c r="D1804" s="3">
        <v>23</v>
      </c>
      <c r="E1804" s="3">
        <v>2349.076</v>
      </c>
      <c r="F1804" s="4" t="str">
        <f>HYPERLINK("http://141.218.60.56/~jnz1568/getInfo.php?workbook=12_04.xlsx&amp;sheet=A0&amp;row=1804&amp;col=6&amp;number=19700000&amp;sourceID=14","19700000")</f>
        <v>19700000</v>
      </c>
      <c r="G1804" s="4" t="str">
        <f>HYPERLINK("http://141.218.60.56/~jnz1568/getInfo.php?workbook=12_04.xlsx&amp;sheet=A0&amp;row=1804&amp;col=7&amp;number=0&amp;sourceID=14","0")</f>
        <v>0</v>
      </c>
    </row>
    <row r="1805" spans="1:7">
      <c r="A1805" s="3">
        <v>12</v>
      </c>
      <c r="B1805" s="3">
        <v>4</v>
      </c>
      <c r="C1805" s="3">
        <v>28</v>
      </c>
      <c r="D1805" s="3">
        <v>23</v>
      </c>
      <c r="E1805" s="3">
        <v>2218.775</v>
      </c>
      <c r="F1805" s="4" t="str">
        <f>HYPERLINK("http://141.218.60.56/~jnz1568/getInfo.php?workbook=12_04.xlsx&amp;sheet=A0&amp;row=1805&amp;col=6&amp;number=108000000&amp;sourceID=14","108000000")</f>
        <v>108000000</v>
      </c>
      <c r="G1805" s="4" t="str">
        <f>HYPERLINK("http://141.218.60.56/~jnz1568/getInfo.php?workbook=12_04.xlsx&amp;sheet=A0&amp;row=1805&amp;col=7&amp;number=0&amp;sourceID=14","0")</f>
        <v>0</v>
      </c>
    </row>
    <row r="1806" spans="1:7">
      <c r="A1806" s="3">
        <v>12</v>
      </c>
      <c r="B1806" s="3">
        <v>4</v>
      </c>
      <c r="C1806" s="3">
        <v>29</v>
      </c>
      <c r="D1806" s="3">
        <v>23</v>
      </c>
      <c r="E1806" s="3">
        <v>1770.542</v>
      </c>
      <c r="F1806" s="4" t="str">
        <f>HYPERLINK("http://141.218.60.56/~jnz1568/getInfo.php?workbook=12_04.xlsx&amp;sheet=A0&amp;row=1806&amp;col=6&amp;number=87800000&amp;sourceID=14","87800000")</f>
        <v>87800000</v>
      </c>
      <c r="G1806" s="4" t="str">
        <f>HYPERLINK("http://141.218.60.56/~jnz1568/getInfo.php?workbook=12_04.xlsx&amp;sheet=A0&amp;row=1806&amp;col=7&amp;number=0&amp;sourceID=14","0")</f>
        <v>0</v>
      </c>
    </row>
    <row r="1807" spans="1:7">
      <c r="A1807" s="3">
        <v>12</v>
      </c>
      <c r="B1807" s="3">
        <v>4</v>
      </c>
      <c r="C1807" s="3">
        <v>30</v>
      </c>
      <c r="D1807" s="3">
        <v>23</v>
      </c>
      <c r="E1807" s="3">
        <v>-1560.163</v>
      </c>
      <c r="F1807" s="4" t="str">
        <f>HYPERLINK("http://141.218.60.56/~jnz1568/getInfo.php?workbook=12_04.xlsx&amp;sheet=A0&amp;row=1807&amp;col=6&amp;number=0.00399&amp;sourceID=14","0.00399")</f>
        <v>0.00399</v>
      </c>
      <c r="G1807" s="4" t="str">
        <f>HYPERLINK("http://141.218.60.56/~jnz1568/getInfo.php?workbook=12_04.xlsx&amp;sheet=A0&amp;row=1807&amp;col=7&amp;number=0&amp;sourceID=14","0")</f>
        <v>0</v>
      </c>
    </row>
    <row r="1808" spans="1:7">
      <c r="A1808" s="3">
        <v>12</v>
      </c>
      <c r="B1808" s="3">
        <v>4</v>
      </c>
      <c r="C1808" s="3">
        <v>31</v>
      </c>
      <c r="D1808" s="3">
        <v>23</v>
      </c>
      <c r="E1808" s="3">
        <v>1543.451</v>
      </c>
      <c r="F1808" s="4" t="str">
        <f>HYPERLINK("http://141.218.60.56/~jnz1568/getInfo.php?workbook=12_04.xlsx&amp;sheet=A0&amp;row=1808&amp;col=6&amp;number=193000000&amp;sourceID=14","193000000")</f>
        <v>193000000</v>
      </c>
      <c r="G1808" s="4" t="str">
        <f>HYPERLINK("http://141.218.60.56/~jnz1568/getInfo.php?workbook=12_04.xlsx&amp;sheet=A0&amp;row=1808&amp;col=7&amp;number=0&amp;sourceID=14","0")</f>
        <v>0</v>
      </c>
    </row>
    <row r="1809" spans="1:7">
      <c r="A1809" s="3">
        <v>12</v>
      </c>
      <c r="B1809" s="3">
        <v>4</v>
      </c>
      <c r="C1809" s="3">
        <v>32</v>
      </c>
      <c r="D1809" s="3">
        <v>23</v>
      </c>
      <c r="E1809" s="3">
        <v>1513.091</v>
      </c>
      <c r="F1809" s="4" t="str">
        <f>HYPERLINK("http://141.218.60.56/~jnz1568/getInfo.php?workbook=12_04.xlsx&amp;sheet=A0&amp;row=1809&amp;col=6&amp;number=292000000&amp;sourceID=14","292000000")</f>
        <v>292000000</v>
      </c>
      <c r="G1809" s="4" t="str">
        <f>HYPERLINK("http://141.218.60.56/~jnz1568/getInfo.php?workbook=12_04.xlsx&amp;sheet=A0&amp;row=1809&amp;col=7&amp;number=0&amp;sourceID=14","0")</f>
        <v>0</v>
      </c>
    </row>
    <row r="1810" spans="1:7">
      <c r="A1810" s="3">
        <v>12</v>
      </c>
      <c r="B1810" s="3">
        <v>4</v>
      </c>
      <c r="C1810" s="3">
        <v>33</v>
      </c>
      <c r="D1810" s="3">
        <v>23</v>
      </c>
      <c r="E1810" s="3">
        <v>-1382.708</v>
      </c>
      <c r="F1810" s="4" t="str">
        <f>HYPERLINK("http://141.218.60.56/~jnz1568/getInfo.php?workbook=12_04.xlsx&amp;sheet=A0&amp;row=1810&amp;col=6&amp;number=3.8&amp;sourceID=14","3.8")</f>
        <v>3.8</v>
      </c>
      <c r="G1810" s="4" t="str">
        <f>HYPERLINK("http://141.218.60.56/~jnz1568/getInfo.php?workbook=12_04.xlsx&amp;sheet=A0&amp;row=1810&amp;col=7&amp;number=0&amp;sourceID=14","0")</f>
        <v>0</v>
      </c>
    </row>
    <row r="1811" spans="1:7">
      <c r="A1811" s="3">
        <v>12</v>
      </c>
      <c r="B1811" s="3">
        <v>4</v>
      </c>
      <c r="C1811" s="3">
        <v>34</v>
      </c>
      <c r="D1811" s="3">
        <v>23</v>
      </c>
      <c r="E1811" s="3">
        <v>-1344.667</v>
      </c>
      <c r="F1811" s="4" t="str">
        <f>HYPERLINK("http://141.218.60.56/~jnz1568/getInfo.php?workbook=12_04.xlsx&amp;sheet=A0&amp;row=1811&amp;col=6&amp;number=32.3&amp;sourceID=14","32.3")</f>
        <v>32.3</v>
      </c>
      <c r="G1811" s="4" t="str">
        <f>HYPERLINK("http://141.218.60.56/~jnz1568/getInfo.php?workbook=12_04.xlsx&amp;sheet=A0&amp;row=1811&amp;col=7&amp;number=0&amp;sourceID=14","0")</f>
        <v>0</v>
      </c>
    </row>
    <row r="1812" spans="1:7">
      <c r="A1812" s="3">
        <v>12</v>
      </c>
      <c r="B1812" s="3">
        <v>4</v>
      </c>
      <c r="C1812" s="3">
        <v>35</v>
      </c>
      <c r="D1812" s="3">
        <v>23</v>
      </c>
      <c r="E1812" s="3">
        <v>1320.309</v>
      </c>
      <c r="F1812" s="4" t="str">
        <f>HYPERLINK("http://141.218.60.56/~jnz1568/getInfo.php?workbook=12_04.xlsx&amp;sheet=A0&amp;row=1812&amp;col=6&amp;number=1.46&amp;sourceID=14","1.46")</f>
        <v>1.46</v>
      </c>
      <c r="G1812" s="4" t="str">
        <f>HYPERLINK("http://141.218.60.56/~jnz1568/getInfo.php?workbook=12_04.xlsx&amp;sheet=A0&amp;row=1812&amp;col=7&amp;number=0&amp;sourceID=14","0")</f>
        <v>0</v>
      </c>
    </row>
    <row r="1813" spans="1:7">
      <c r="A1813" s="3">
        <v>12</v>
      </c>
      <c r="B1813" s="3">
        <v>4</v>
      </c>
      <c r="C1813" s="3">
        <v>36</v>
      </c>
      <c r="D1813" s="3">
        <v>23</v>
      </c>
      <c r="E1813" s="3">
        <v>-1309.194</v>
      </c>
      <c r="F1813" s="4" t="str">
        <f>HYPERLINK("http://141.218.60.56/~jnz1568/getInfo.php?workbook=12_04.xlsx&amp;sheet=A0&amp;row=1813&amp;col=6&amp;number=137&amp;sourceID=14","137")</f>
        <v>137</v>
      </c>
      <c r="G1813" s="4" t="str">
        <f>HYPERLINK("http://141.218.60.56/~jnz1568/getInfo.php?workbook=12_04.xlsx&amp;sheet=A0&amp;row=1813&amp;col=7&amp;number=0&amp;sourceID=14","0")</f>
        <v>0</v>
      </c>
    </row>
    <row r="1814" spans="1:7">
      <c r="A1814" s="3">
        <v>12</v>
      </c>
      <c r="B1814" s="3">
        <v>4</v>
      </c>
      <c r="C1814" s="3">
        <v>37</v>
      </c>
      <c r="D1814" s="3">
        <v>23</v>
      </c>
      <c r="E1814" s="3">
        <v>1219.961</v>
      </c>
      <c r="F1814" s="4" t="str">
        <f>HYPERLINK("http://141.218.60.56/~jnz1568/getInfo.php?workbook=12_04.xlsx&amp;sheet=A0&amp;row=1814&amp;col=6&amp;number=1090000&amp;sourceID=14","1090000")</f>
        <v>1090000</v>
      </c>
      <c r="G1814" s="4" t="str">
        <f>HYPERLINK("http://141.218.60.56/~jnz1568/getInfo.php?workbook=12_04.xlsx&amp;sheet=A0&amp;row=1814&amp;col=7&amp;number=0&amp;sourceID=14","0")</f>
        <v>0</v>
      </c>
    </row>
    <row r="1815" spans="1:7">
      <c r="A1815" s="3">
        <v>12</v>
      </c>
      <c r="B1815" s="3">
        <v>4</v>
      </c>
      <c r="C1815" s="3">
        <v>38</v>
      </c>
      <c r="D1815" s="3">
        <v>23</v>
      </c>
      <c r="E1815" s="3">
        <v>1070.437</v>
      </c>
      <c r="F1815" s="4" t="str">
        <f>HYPERLINK("http://141.218.60.56/~jnz1568/getInfo.php?workbook=12_04.xlsx&amp;sheet=A0&amp;row=1815&amp;col=6&amp;number=84.6&amp;sourceID=14","84.6")</f>
        <v>84.6</v>
      </c>
      <c r="G1815" s="4" t="str">
        <f>HYPERLINK("http://141.218.60.56/~jnz1568/getInfo.php?workbook=12_04.xlsx&amp;sheet=A0&amp;row=1815&amp;col=7&amp;number=0&amp;sourceID=14","0")</f>
        <v>0</v>
      </c>
    </row>
    <row r="1816" spans="1:7">
      <c r="A1816" s="3">
        <v>12</v>
      </c>
      <c r="B1816" s="3">
        <v>4</v>
      </c>
      <c r="C1816" s="3">
        <v>39</v>
      </c>
      <c r="D1816" s="3">
        <v>23</v>
      </c>
      <c r="E1816" s="3">
        <v>1064.285</v>
      </c>
      <c r="F1816" s="4" t="str">
        <f>HYPERLINK("http://141.218.60.56/~jnz1568/getInfo.php?workbook=12_04.xlsx&amp;sheet=A0&amp;row=1816&amp;col=6&amp;number=237&amp;sourceID=14","237")</f>
        <v>237</v>
      </c>
      <c r="G1816" s="4" t="str">
        <f>HYPERLINK("http://141.218.60.56/~jnz1568/getInfo.php?workbook=12_04.xlsx&amp;sheet=A0&amp;row=1816&amp;col=7&amp;number=0&amp;sourceID=14","0")</f>
        <v>0</v>
      </c>
    </row>
    <row r="1817" spans="1:7">
      <c r="A1817" s="3">
        <v>12</v>
      </c>
      <c r="B1817" s="3">
        <v>4</v>
      </c>
      <c r="C1817" s="3">
        <v>40</v>
      </c>
      <c r="D1817" s="3">
        <v>23</v>
      </c>
      <c r="E1817" s="3">
        <v>1053.077</v>
      </c>
      <c r="F1817" s="4" t="str">
        <f>HYPERLINK("http://141.218.60.56/~jnz1568/getInfo.php?workbook=12_04.xlsx&amp;sheet=A0&amp;row=1817&amp;col=6&amp;number=398&amp;sourceID=14","398")</f>
        <v>398</v>
      </c>
      <c r="G1817" s="4" t="str">
        <f>HYPERLINK("http://141.218.60.56/~jnz1568/getInfo.php?workbook=12_04.xlsx&amp;sheet=A0&amp;row=1817&amp;col=7&amp;number=0&amp;sourceID=14","0")</f>
        <v>0</v>
      </c>
    </row>
    <row r="1818" spans="1:7">
      <c r="A1818" s="3">
        <v>12</v>
      </c>
      <c r="B1818" s="3">
        <v>4</v>
      </c>
      <c r="C1818" s="3">
        <v>41</v>
      </c>
      <c r="D1818" s="3">
        <v>23</v>
      </c>
      <c r="E1818" s="3">
        <v>986.974</v>
      </c>
      <c r="F1818" s="4" t="str">
        <f>HYPERLINK("http://141.218.60.56/~jnz1568/getInfo.php?workbook=12_04.xlsx&amp;sheet=A0&amp;row=1818&amp;col=6&amp;number=319&amp;sourceID=14","319")</f>
        <v>319</v>
      </c>
      <c r="G1818" s="4" t="str">
        <f>HYPERLINK("http://141.218.60.56/~jnz1568/getInfo.php?workbook=12_04.xlsx&amp;sheet=A0&amp;row=1818&amp;col=7&amp;number=0&amp;sourceID=14","0")</f>
        <v>0</v>
      </c>
    </row>
    <row r="1819" spans="1:7">
      <c r="A1819" s="3">
        <v>12</v>
      </c>
      <c r="B1819" s="3">
        <v>4</v>
      </c>
      <c r="C1819" s="3">
        <v>42</v>
      </c>
      <c r="D1819" s="3">
        <v>23</v>
      </c>
      <c r="E1819" s="3">
        <v>977.423</v>
      </c>
      <c r="F1819" s="4" t="str">
        <f>HYPERLINK("http://141.218.60.56/~jnz1568/getInfo.php?workbook=12_04.xlsx&amp;sheet=A0&amp;row=1819&amp;col=6&amp;number=527&amp;sourceID=14","527")</f>
        <v>527</v>
      </c>
      <c r="G1819" s="4" t="str">
        <f>HYPERLINK("http://141.218.60.56/~jnz1568/getInfo.php?workbook=12_04.xlsx&amp;sheet=A0&amp;row=1819&amp;col=7&amp;number=0&amp;sourceID=14","0")</f>
        <v>0</v>
      </c>
    </row>
    <row r="1820" spans="1:7">
      <c r="A1820" s="3">
        <v>12</v>
      </c>
      <c r="B1820" s="3">
        <v>4</v>
      </c>
      <c r="C1820" s="3">
        <v>43</v>
      </c>
      <c r="D1820" s="3">
        <v>23</v>
      </c>
      <c r="E1820" s="3">
        <v>972.481</v>
      </c>
      <c r="F1820" s="4" t="str">
        <f>HYPERLINK("http://141.218.60.56/~jnz1568/getInfo.php?workbook=12_04.xlsx&amp;sheet=A0&amp;row=1820&amp;col=6&amp;number=625&amp;sourceID=14","625")</f>
        <v>625</v>
      </c>
      <c r="G1820" s="4" t="str">
        <f>HYPERLINK("http://141.218.60.56/~jnz1568/getInfo.php?workbook=12_04.xlsx&amp;sheet=A0&amp;row=1820&amp;col=7&amp;number=0&amp;sourceID=14","0")</f>
        <v>0</v>
      </c>
    </row>
    <row r="1821" spans="1:7">
      <c r="A1821" s="3">
        <v>12</v>
      </c>
      <c r="B1821" s="3">
        <v>4</v>
      </c>
      <c r="C1821" s="3">
        <v>44</v>
      </c>
      <c r="D1821" s="3">
        <v>23</v>
      </c>
      <c r="E1821" s="3">
        <v>-846.885</v>
      </c>
      <c r="F1821" s="4" t="str">
        <f>HYPERLINK("http://141.218.60.56/~jnz1568/getInfo.php?workbook=12_04.xlsx&amp;sheet=A0&amp;row=1821&amp;col=6&amp;number=0.114&amp;sourceID=14","0.114")</f>
        <v>0.114</v>
      </c>
      <c r="G1821" s="4" t="str">
        <f>HYPERLINK("http://141.218.60.56/~jnz1568/getInfo.php?workbook=12_04.xlsx&amp;sheet=A0&amp;row=1821&amp;col=7&amp;number=0&amp;sourceID=14","0")</f>
        <v>0</v>
      </c>
    </row>
    <row r="1822" spans="1:7">
      <c r="A1822" s="3">
        <v>12</v>
      </c>
      <c r="B1822" s="3">
        <v>4</v>
      </c>
      <c r="C1822" s="3">
        <v>45</v>
      </c>
      <c r="D1822" s="3">
        <v>23</v>
      </c>
      <c r="E1822" s="3">
        <v>827.885</v>
      </c>
      <c r="F1822" s="4" t="str">
        <f>HYPERLINK("http://141.218.60.56/~jnz1568/getInfo.php?workbook=12_04.xlsx&amp;sheet=A0&amp;row=1822&amp;col=6&amp;number=0.437&amp;sourceID=14","0.437")</f>
        <v>0.437</v>
      </c>
      <c r="G1822" s="4" t="str">
        <f>HYPERLINK("http://141.218.60.56/~jnz1568/getInfo.php?workbook=12_04.xlsx&amp;sheet=A0&amp;row=1822&amp;col=7&amp;number=0&amp;sourceID=14","0")</f>
        <v>0</v>
      </c>
    </row>
    <row r="1823" spans="1:7">
      <c r="A1823" s="3">
        <v>12</v>
      </c>
      <c r="B1823" s="3">
        <v>4</v>
      </c>
      <c r="C1823" s="3">
        <v>46</v>
      </c>
      <c r="D1823" s="3">
        <v>23</v>
      </c>
      <c r="E1823" s="3">
        <v>783.332</v>
      </c>
      <c r="F1823" s="4" t="str">
        <f>HYPERLINK("http://141.218.60.56/~jnz1568/getInfo.php?workbook=12_04.xlsx&amp;sheet=A0&amp;row=1823&amp;col=6&amp;number=0.126&amp;sourceID=14","0.126")</f>
        <v>0.126</v>
      </c>
      <c r="G1823" s="4" t="str">
        <f>HYPERLINK("http://141.218.60.56/~jnz1568/getInfo.php?workbook=12_04.xlsx&amp;sheet=A0&amp;row=1823&amp;col=7&amp;number=0&amp;sourceID=14","0")</f>
        <v>0</v>
      </c>
    </row>
    <row r="1824" spans="1:7">
      <c r="A1824" s="3">
        <v>12</v>
      </c>
      <c r="B1824" s="3">
        <v>4</v>
      </c>
      <c r="C1824" s="3">
        <v>47</v>
      </c>
      <c r="D1824" s="3">
        <v>23</v>
      </c>
      <c r="E1824" s="3">
        <v>-306.294</v>
      </c>
      <c r="F1824" s="4" t="str">
        <f>HYPERLINK("http://141.218.60.56/~jnz1568/getInfo.php?workbook=12_04.xlsx&amp;sheet=A0&amp;row=1824&amp;col=6&amp;number=48800000&amp;sourceID=14","48800000")</f>
        <v>48800000</v>
      </c>
      <c r="G1824" s="4" t="str">
        <f>HYPERLINK("http://141.218.60.56/~jnz1568/getInfo.php?workbook=12_04.xlsx&amp;sheet=A0&amp;row=1824&amp;col=7&amp;number=0&amp;sourceID=14","0")</f>
        <v>0</v>
      </c>
    </row>
    <row r="1825" spans="1:7">
      <c r="A1825" s="3">
        <v>12</v>
      </c>
      <c r="B1825" s="3">
        <v>4</v>
      </c>
      <c r="C1825" s="3">
        <v>48</v>
      </c>
      <c r="D1825" s="3">
        <v>23</v>
      </c>
      <c r="E1825" s="3">
        <v>-297.13</v>
      </c>
      <c r="F1825" s="4" t="str">
        <f>HYPERLINK("http://141.218.60.56/~jnz1568/getInfo.php?workbook=12_04.xlsx&amp;sheet=A0&amp;row=1825&amp;col=6&amp;number=0.314&amp;sourceID=14","0.314")</f>
        <v>0.314</v>
      </c>
      <c r="G1825" s="4" t="str">
        <f>HYPERLINK("http://141.218.60.56/~jnz1568/getInfo.php?workbook=12_04.xlsx&amp;sheet=A0&amp;row=1825&amp;col=7&amp;number=0&amp;sourceID=14","0")</f>
        <v>0</v>
      </c>
    </row>
    <row r="1826" spans="1:7">
      <c r="A1826" s="3">
        <v>12</v>
      </c>
      <c r="B1826" s="3">
        <v>4</v>
      </c>
      <c r="C1826" s="3">
        <v>49</v>
      </c>
      <c r="D1826" s="3">
        <v>23</v>
      </c>
      <c r="E1826" s="3">
        <v>-284.835</v>
      </c>
      <c r="F1826" s="4" t="str">
        <f>HYPERLINK("http://141.218.60.56/~jnz1568/getInfo.php?workbook=12_04.xlsx&amp;sheet=A0&amp;row=1826&amp;col=6&amp;number=1080&amp;sourceID=14","1080")</f>
        <v>1080</v>
      </c>
      <c r="G1826" s="4" t="str">
        <f>HYPERLINK("http://141.218.60.56/~jnz1568/getInfo.php?workbook=12_04.xlsx&amp;sheet=A0&amp;row=1826&amp;col=7&amp;number=0&amp;sourceID=14","0")</f>
        <v>0</v>
      </c>
    </row>
    <row r="1827" spans="1:7">
      <c r="A1827" s="3">
        <v>12</v>
      </c>
      <c r="B1827" s="3">
        <v>4</v>
      </c>
      <c r="C1827" s="3">
        <v>50</v>
      </c>
      <c r="D1827" s="3">
        <v>23</v>
      </c>
      <c r="E1827" s="3">
        <v>-284.741</v>
      </c>
      <c r="F1827" s="4" t="str">
        <f>HYPERLINK("http://141.218.60.56/~jnz1568/getInfo.php?workbook=12_04.xlsx&amp;sheet=A0&amp;row=1827&amp;col=6&amp;number=807&amp;sourceID=14","807")</f>
        <v>807</v>
      </c>
      <c r="G1827" s="4" t="str">
        <f>HYPERLINK("http://141.218.60.56/~jnz1568/getInfo.php?workbook=12_04.xlsx&amp;sheet=A0&amp;row=1827&amp;col=7&amp;number=0&amp;sourceID=14","0")</f>
        <v>0</v>
      </c>
    </row>
    <row r="1828" spans="1:7">
      <c r="A1828" s="3">
        <v>12</v>
      </c>
      <c r="B1828" s="3">
        <v>4</v>
      </c>
      <c r="C1828" s="3">
        <v>51</v>
      </c>
      <c r="D1828" s="3">
        <v>23</v>
      </c>
      <c r="E1828" s="3">
        <v>-284.529</v>
      </c>
      <c r="F1828" s="4" t="str">
        <f>HYPERLINK("http://141.218.60.56/~jnz1568/getInfo.php?workbook=12_04.xlsx&amp;sheet=A0&amp;row=1828&amp;col=6&amp;number=380&amp;sourceID=14","380")</f>
        <v>380</v>
      </c>
      <c r="G1828" s="4" t="str">
        <f>HYPERLINK("http://141.218.60.56/~jnz1568/getInfo.php?workbook=12_04.xlsx&amp;sheet=A0&amp;row=1828&amp;col=7&amp;number=0&amp;sourceID=14","0")</f>
        <v>0</v>
      </c>
    </row>
    <row r="1829" spans="1:7">
      <c r="A1829" s="3">
        <v>12</v>
      </c>
      <c r="B1829" s="3">
        <v>4</v>
      </c>
      <c r="C1829" s="3">
        <v>52</v>
      </c>
      <c r="D1829" s="3">
        <v>23</v>
      </c>
      <c r="E1829" s="3">
        <v>281.865</v>
      </c>
      <c r="F1829" s="4" t="str">
        <f>HYPERLINK("http://141.218.60.56/~jnz1568/getInfo.php?workbook=12_04.xlsx&amp;sheet=A0&amp;row=1829&amp;col=6&amp;number=2.67&amp;sourceID=14","2.67")</f>
        <v>2.67</v>
      </c>
      <c r="G1829" s="4" t="str">
        <f>HYPERLINK("http://141.218.60.56/~jnz1568/getInfo.php?workbook=12_04.xlsx&amp;sheet=A0&amp;row=1829&amp;col=7&amp;number=0&amp;sourceID=14","0")</f>
        <v>0</v>
      </c>
    </row>
    <row r="1830" spans="1:7">
      <c r="A1830" s="3">
        <v>12</v>
      </c>
      <c r="B1830" s="3">
        <v>4</v>
      </c>
      <c r="C1830" s="3">
        <v>53</v>
      </c>
      <c r="D1830" s="3">
        <v>23</v>
      </c>
      <c r="E1830" s="3">
        <v>273.172</v>
      </c>
      <c r="F1830" s="4" t="str">
        <f>HYPERLINK("http://141.218.60.56/~jnz1568/getInfo.php?workbook=12_04.xlsx&amp;sheet=A0&amp;row=1830&amp;col=6&amp;number=248000&amp;sourceID=14","248000")</f>
        <v>248000</v>
      </c>
      <c r="G1830" s="4" t="str">
        <f>HYPERLINK("http://141.218.60.56/~jnz1568/getInfo.php?workbook=12_04.xlsx&amp;sheet=A0&amp;row=1830&amp;col=7&amp;number=0&amp;sourceID=14","0")</f>
        <v>0</v>
      </c>
    </row>
    <row r="1831" spans="1:7">
      <c r="A1831" s="3">
        <v>12</v>
      </c>
      <c r="B1831" s="3">
        <v>4</v>
      </c>
      <c r="C1831" s="3">
        <v>54</v>
      </c>
      <c r="D1831" s="3">
        <v>23</v>
      </c>
      <c r="E1831" s="3">
        <v>273.172</v>
      </c>
      <c r="F1831" s="4" t="str">
        <f>HYPERLINK("http://141.218.60.56/~jnz1568/getInfo.php?workbook=12_04.xlsx&amp;sheet=A0&amp;row=1831&amp;col=6&amp;number=2280000&amp;sourceID=14","2280000")</f>
        <v>2280000</v>
      </c>
      <c r="G1831" s="4" t="str">
        <f>HYPERLINK("http://141.218.60.56/~jnz1568/getInfo.php?workbook=12_04.xlsx&amp;sheet=A0&amp;row=1831&amp;col=7&amp;number=0&amp;sourceID=14","0")</f>
        <v>0</v>
      </c>
    </row>
    <row r="1832" spans="1:7">
      <c r="A1832" s="3">
        <v>12</v>
      </c>
      <c r="B1832" s="3">
        <v>4</v>
      </c>
      <c r="C1832" s="3">
        <v>55</v>
      </c>
      <c r="D1832" s="3">
        <v>23</v>
      </c>
      <c r="E1832" s="3">
        <v>273.113</v>
      </c>
      <c r="F1832" s="4" t="str">
        <f>HYPERLINK("http://141.218.60.56/~jnz1568/getInfo.php?workbook=12_04.xlsx&amp;sheet=A0&amp;row=1832&amp;col=6&amp;number=9340000&amp;sourceID=14","9340000")</f>
        <v>9340000</v>
      </c>
      <c r="G1832" s="4" t="str">
        <f>HYPERLINK("http://141.218.60.56/~jnz1568/getInfo.php?workbook=12_04.xlsx&amp;sheet=A0&amp;row=1832&amp;col=7&amp;number=0&amp;sourceID=14","0")</f>
        <v>0</v>
      </c>
    </row>
    <row r="1833" spans="1:7">
      <c r="A1833" s="3">
        <v>12</v>
      </c>
      <c r="B1833" s="3">
        <v>4</v>
      </c>
      <c r="C1833" s="3">
        <v>56</v>
      </c>
      <c r="D1833" s="3">
        <v>23</v>
      </c>
      <c r="E1833" s="3">
        <v>267.387</v>
      </c>
      <c r="F1833" s="4" t="str">
        <f>HYPERLINK("http://141.218.60.56/~jnz1568/getInfo.php?workbook=12_04.xlsx&amp;sheet=A0&amp;row=1833&amp;col=6&amp;number=1810&amp;sourceID=14","1810")</f>
        <v>1810</v>
      </c>
      <c r="G1833" s="4" t="str">
        <f>HYPERLINK("http://141.218.60.56/~jnz1568/getInfo.php?workbook=12_04.xlsx&amp;sheet=A0&amp;row=1833&amp;col=7&amp;number=0&amp;sourceID=14","0")</f>
        <v>0</v>
      </c>
    </row>
    <row r="1834" spans="1:7">
      <c r="A1834" s="3">
        <v>12</v>
      </c>
      <c r="B1834" s="3">
        <v>4</v>
      </c>
      <c r="C1834" s="3">
        <v>57</v>
      </c>
      <c r="D1834" s="3">
        <v>23</v>
      </c>
      <c r="E1834" s="3">
        <v>-267.296</v>
      </c>
      <c r="F1834" s="4" t="str">
        <f>HYPERLINK("http://141.218.60.56/~jnz1568/getInfo.php?workbook=12_04.xlsx&amp;sheet=A0&amp;row=1834&amp;col=6&amp;number=296&amp;sourceID=14","296")</f>
        <v>296</v>
      </c>
      <c r="G1834" s="4" t="str">
        <f>HYPERLINK("http://141.218.60.56/~jnz1568/getInfo.php?workbook=12_04.xlsx&amp;sheet=A0&amp;row=1834&amp;col=7&amp;number=0&amp;sourceID=14","0")</f>
        <v>0</v>
      </c>
    </row>
    <row r="1835" spans="1:7">
      <c r="A1835" s="3">
        <v>12</v>
      </c>
      <c r="B1835" s="3">
        <v>4</v>
      </c>
      <c r="C1835" s="3">
        <v>58</v>
      </c>
      <c r="D1835" s="3">
        <v>23</v>
      </c>
      <c r="E1835" s="3">
        <v>-267.275</v>
      </c>
      <c r="F1835" s="4" t="str">
        <f>HYPERLINK("http://141.218.60.56/~jnz1568/getInfo.php?workbook=12_04.xlsx&amp;sheet=A0&amp;row=1835&amp;col=6&amp;number=1480&amp;sourceID=14","1480")</f>
        <v>1480</v>
      </c>
      <c r="G1835" s="4" t="str">
        <f>HYPERLINK("http://141.218.60.56/~jnz1568/getInfo.php?workbook=12_04.xlsx&amp;sheet=A0&amp;row=1835&amp;col=7&amp;number=0&amp;sourceID=14","0")</f>
        <v>0</v>
      </c>
    </row>
    <row r="1836" spans="1:7">
      <c r="A1836" s="3">
        <v>12</v>
      </c>
      <c r="B1836" s="3">
        <v>4</v>
      </c>
      <c r="C1836" s="3">
        <v>59</v>
      </c>
      <c r="D1836" s="3">
        <v>23</v>
      </c>
      <c r="E1836" s="3">
        <v>-267.248</v>
      </c>
      <c r="F1836" s="4" t="str">
        <f>HYPERLINK("http://141.218.60.56/~jnz1568/getInfo.php?workbook=12_04.xlsx&amp;sheet=A0&amp;row=1836&amp;col=6&amp;number=4450&amp;sourceID=14","4450")</f>
        <v>4450</v>
      </c>
      <c r="G1836" s="4" t="str">
        <f>HYPERLINK("http://141.218.60.56/~jnz1568/getInfo.php?workbook=12_04.xlsx&amp;sheet=A0&amp;row=1836&amp;col=7&amp;number=0&amp;sourceID=14","0")</f>
        <v>0</v>
      </c>
    </row>
    <row r="1837" spans="1:7">
      <c r="A1837" s="3">
        <v>12</v>
      </c>
      <c r="B1837" s="3">
        <v>4</v>
      </c>
      <c r="C1837" s="3">
        <v>60</v>
      </c>
      <c r="D1837" s="3">
        <v>23</v>
      </c>
      <c r="E1837" s="3">
        <v>-265.456</v>
      </c>
      <c r="F1837" s="4" t="str">
        <f>HYPERLINK("http://141.218.60.56/~jnz1568/getInfo.php?workbook=12_04.xlsx&amp;sheet=A0&amp;row=1837&amp;col=6&amp;number=0.134&amp;sourceID=14","0.134")</f>
        <v>0.134</v>
      </c>
      <c r="G1837" s="4" t="str">
        <f>HYPERLINK("http://141.218.60.56/~jnz1568/getInfo.php?workbook=12_04.xlsx&amp;sheet=A0&amp;row=1837&amp;col=7&amp;number=0&amp;sourceID=14","0")</f>
        <v>0</v>
      </c>
    </row>
    <row r="1838" spans="1:7">
      <c r="A1838" s="3">
        <v>12</v>
      </c>
      <c r="B1838" s="3">
        <v>4</v>
      </c>
      <c r="C1838" s="3">
        <v>61</v>
      </c>
      <c r="D1838" s="3">
        <v>23</v>
      </c>
      <c r="E1838" s="3">
        <v>-203.079</v>
      </c>
      <c r="F1838" s="4" t="str">
        <f>HYPERLINK("http://141.218.60.56/~jnz1568/getInfo.php?workbook=12_04.xlsx&amp;sheet=A0&amp;row=1838&amp;col=6&amp;number=29700&amp;sourceID=14","29700")</f>
        <v>29700</v>
      </c>
      <c r="G1838" s="4" t="str">
        <f>HYPERLINK("http://141.218.60.56/~jnz1568/getInfo.php?workbook=12_04.xlsx&amp;sheet=A0&amp;row=1838&amp;col=7&amp;number=0&amp;sourceID=14","0")</f>
        <v>0</v>
      </c>
    </row>
    <row r="1839" spans="1:7">
      <c r="A1839" s="3">
        <v>12</v>
      </c>
      <c r="B1839" s="3">
        <v>4</v>
      </c>
      <c r="C1839" s="3">
        <v>62</v>
      </c>
      <c r="D1839" s="3">
        <v>23</v>
      </c>
      <c r="E1839" s="3">
        <v>-202.701</v>
      </c>
      <c r="F1839" s="4" t="str">
        <f>HYPERLINK("http://141.218.60.56/~jnz1568/getInfo.php?workbook=12_04.xlsx&amp;sheet=A0&amp;row=1839&amp;col=6&amp;number=21900&amp;sourceID=14","21900")</f>
        <v>21900</v>
      </c>
      <c r="G1839" s="4" t="str">
        <f>HYPERLINK("http://141.218.60.56/~jnz1568/getInfo.php?workbook=12_04.xlsx&amp;sheet=A0&amp;row=1839&amp;col=7&amp;number=0&amp;sourceID=14","0")</f>
        <v>0</v>
      </c>
    </row>
    <row r="1840" spans="1:7">
      <c r="A1840" s="3">
        <v>12</v>
      </c>
      <c r="B1840" s="3">
        <v>4</v>
      </c>
      <c r="C1840" s="3">
        <v>63</v>
      </c>
      <c r="D1840" s="3">
        <v>23</v>
      </c>
      <c r="E1840" s="3">
        <v>-201.484</v>
      </c>
      <c r="F1840" s="4" t="str">
        <f>HYPERLINK("http://141.218.60.56/~jnz1568/getInfo.php?workbook=12_04.xlsx&amp;sheet=A0&amp;row=1840&amp;col=6&amp;number=11600&amp;sourceID=14","11600")</f>
        <v>11600</v>
      </c>
      <c r="G1840" s="4" t="str">
        <f>HYPERLINK("http://141.218.60.56/~jnz1568/getInfo.php?workbook=12_04.xlsx&amp;sheet=A0&amp;row=1840&amp;col=7&amp;number=0&amp;sourceID=14","0")</f>
        <v>0</v>
      </c>
    </row>
    <row r="1841" spans="1:7">
      <c r="A1841" s="3">
        <v>12</v>
      </c>
      <c r="B1841" s="3">
        <v>4</v>
      </c>
      <c r="C1841" s="3">
        <v>64</v>
      </c>
      <c r="D1841" s="3">
        <v>23</v>
      </c>
      <c r="E1841" s="3">
        <v>-198.983</v>
      </c>
      <c r="F1841" s="4" t="str">
        <f>HYPERLINK("http://141.218.60.56/~jnz1568/getInfo.php?workbook=12_04.xlsx&amp;sheet=A0&amp;row=1841&amp;col=6&amp;number=1350&amp;sourceID=14","1350")</f>
        <v>1350</v>
      </c>
      <c r="G1841" s="4" t="str">
        <f>HYPERLINK("http://141.218.60.56/~jnz1568/getInfo.php?workbook=12_04.xlsx&amp;sheet=A0&amp;row=1841&amp;col=7&amp;number=0&amp;sourceID=14","0")</f>
        <v>0</v>
      </c>
    </row>
    <row r="1842" spans="1:7">
      <c r="A1842" s="3">
        <v>12</v>
      </c>
      <c r="B1842" s="3">
        <v>4</v>
      </c>
      <c r="C1842" s="3">
        <v>65</v>
      </c>
      <c r="D1842" s="3">
        <v>23</v>
      </c>
      <c r="E1842" s="3">
        <v>-196.047</v>
      </c>
      <c r="F1842" s="4" t="str">
        <f>HYPERLINK("http://141.218.60.56/~jnz1568/getInfo.php?workbook=12_04.xlsx&amp;sheet=A0&amp;row=1842&amp;col=6&amp;number=29000000&amp;sourceID=14","29000000")</f>
        <v>29000000</v>
      </c>
      <c r="G1842" s="4" t="str">
        <f>HYPERLINK("http://141.218.60.56/~jnz1568/getInfo.php?workbook=12_04.xlsx&amp;sheet=A0&amp;row=1842&amp;col=7&amp;number=0&amp;sourceID=14","0")</f>
        <v>0</v>
      </c>
    </row>
    <row r="1843" spans="1:7">
      <c r="A1843" s="3">
        <v>12</v>
      </c>
      <c r="B1843" s="3">
        <v>4</v>
      </c>
      <c r="C1843" s="3">
        <v>66</v>
      </c>
      <c r="D1843" s="3">
        <v>23</v>
      </c>
      <c r="E1843" s="3">
        <v>-195.071</v>
      </c>
      <c r="F1843" s="4" t="str">
        <f>HYPERLINK("http://141.218.60.56/~jnz1568/getInfo.php?workbook=12_04.xlsx&amp;sheet=A0&amp;row=1843&amp;col=6&amp;number=253000000&amp;sourceID=14","253000000")</f>
        <v>253000000</v>
      </c>
      <c r="G1843" s="4" t="str">
        <f>HYPERLINK("http://141.218.60.56/~jnz1568/getInfo.php?workbook=12_04.xlsx&amp;sheet=A0&amp;row=1843&amp;col=7&amp;number=0&amp;sourceID=14","0")</f>
        <v>0</v>
      </c>
    </row>
    <row r="1844" spans="1:7">
      <c r="A1844" s="3">
        <v>12</v>
      </c>
      <c r="B1844" s="3">
        <v>4</v>
      </c>
      <c r="C1844" s="3">
        <v>67</v>
      </c>
      <c r="D1844" s="3">
        <v>23</v>
      </c>
      <c r="E1844" s="3">
        <v>-194.899</v>
      </c>
      <c r="F1844" s="4" t="str">
        <f>HYPERLINK("http://141.218.60.56/~jnz1568/getInfo.php?workbook=12_04.xlsx&amp;sheet=A0&amp;row=1844&amp;col=6&amp;number=2460000000&amp;sourceID=14","2460000000")</f>
        <v>2460000000</v>
      </c>
      <c r="G1844" s="4" t="str">
        <f>HYPERLINK("http://141.218.60.56/~jnz1568/getInfo.php?workbook=12_04.xlsx&amp;sheet=A0&amp;row=1844&amp;col=7&amp;number=0&amp;sourceID=14","0")</f>
        <v>0</v>
      </c>
    </row>
    <row r="1845" spans="1:7">
      <c r="A1845" s="3">
        <v>12</v>
      </c>
      <c r="B1845" s="3">
        <v>4</v>
      </c>
      <c r="C1845" s="3">
        <v>68</v>
      </c>
      <c r="D1845" s="3">
        <v>23</v>
      </c>
      <c r="E1845" s="3">
        <v>193.863</v>
      </c>
      <c r="F1845" s="4" t="str">
        <f>HYPERLINK("http://141.218.60.56/~jnz1568/getInfo.php?workbook=12_04.xlsx&amp;sheet=A0&amp;row=1845&amp;col=6&amp;number=16900000000&amp;sourceID=14","16900000000")</f>
        <v>16900000000</v>
      </c>
      <c r="G1845" s="4" t="str">
        <f>HYPERLINK("http://141.218.60.56/~jnz1568/getInfo.php?workbook=12_04.xlsx&amp;sheet=A0&amp;row=1845&amp;col=7&amp;number=0&amp;sourceID=14","0")</f>
        <v>0</v>
      </c>
    </row>
    <row r="1846" spans="1:7">
      <c r="A1846" s="3">
        <v>12</v>
      </c>
      <c r="B1846" s="3">
        <v>4</v>
      </c>
      <c r="C1846" s="3">
        <v>69</v>
      </c>
      <c r="D1846" s="3">
        <v>23</v>
      </c>
      <c r="E1846" s="3">
        <v>-192.893</v>
      </c>
      <c r="F1846" s="4" t="str">
        <f>HYPERLINK("http://141.218.60.56/~jnz1568/getInfo.php?workbook=12_04.xlsx&amp;sheet=A0&amp;row=1846&amp;col=6&amp;number=671000000&amp;sourceID=14","671000000")</f>
        <v>671000000</v>
      </c>
      <c r="G1846" s="4" t="str">
        <f>HYPERLINK("http://141.218.60.56/~jnz1568/getInfo.php?workbook=12_04.xlsx&amp;sheet=A0&amp;row=1846&amp;col=7&amp;number=0&amp;sourceID=14","0")</f>
        <v>0</v>
      </c>
    </row>
    <row r="1847" spans="1:7">
      <c r="A1847" s="3">
        <v>12</v>
      </c>
      <c r="B1847" s="3">
        <v>4</v>
      </c>
      <c r="C1847" s="3">
        <v>70</v>
      </c>
      <c r="D1847" s="3">
        <v>23</v>
      </c>
      <c r="E1847" s="3">
        <v>-192.658</v>
      </c>
      <c r="F1847" s="4" t="str">
        <f>HYPERLINK("http://141.218.60.56/~jnz1568/getInfo.php?workbook=12_04.xlsx&amp;sheet=A0&amp;row=1847&amp;col=6&amp;number=11.6&amp;sourceID=14","11.6")</f>
        <v>11.6</v>
      </c>
      <c r="G1847" s="4" t="str">
        <f>HYPERLINK("http://141.218.60.56/~jnz1568/getInfo.php?workbook=12_04.xlsx&amp;sheet=A0&amp;row=1847&amp;col=7&amp;number=0&amp;sourceID=14","0")</f>
        <v>0</v>
      </c>
    </row>
    <row r="1848" spans="1:7">
      <c r="A1848" s="3">
        <v>12</v>
      </c>
      <c r="B1848" s="3">
        <v>4</v>
      </c>
      <c r="C1848" s="3">
        <v>71</v>
      </c>
      <c r="D1848" s="3">
        <v>23</v>
      </c>
      <c r="E1848" s="3">
        <v>-191.944</v>
      </c>
      <c r="F1848" s="4" t="str">
        <f>HYPERLINK("http://141.218.60.56/~jnz1568/getInfo.php?workbook=12_04.xlsx&amp;sheet=A0&amp;row=1848&amp;col=6&amp;number=14000000000&amp;sourceID=14","14000000000")</f>
        <v>14000000000</v>
      </c>
      <c r="G1848" s="4" t="str">
        <f>HYPERLINK("http://141.218.60.56/~jnz1568/getInfo.php?workbook=12_04.xlsx&amp;sheet=A0&amp;row=1848&amp;col=7&amp;number=0&amp;sourceID=14","0")</f>
        <v>0</v>
      </c>
    </row>
    <row r="1849" spans="1:7">
      <c r="A1849" s="3">
        <v>12</v>
      </c>
      <c r="B1849" s="3">
        <v>4</v>
      </c>
      <c r="C1849" s="3">
        <v>72</v>
      </c>
      <c r="D1849" s="3">
        <v>23</v>
      </c>
      <c r="E1849" s="3">
        <v>191.773</v>
      </c>
      <c r="F1849" s="4" t="str">
        <f>HYPERLINK("http://141.218.60.56/~jnz1568/getInfo.php?workbook=12_04.xlsx&amp;sheet=A0&amp;row=1849&amp;col=6&amp;number=13300000000&amp;sourceID=14","13300000000")</f>
        <v>13300000000</v>
      </c>
      <c r="G1849" s="4" t="str">
        <f>HYPERLINK("http://141.218.60.56/~jnz1568/getInfo.php?workbook=12_04.xlsx&amp;sheet=A0&amp;row=1849&amp;col=7&amp;number=0&amp;sourceID=14","0")</f>
        <v>0</v>
      </c>
    </row>
    <row r="1850" spans="1:7">
      <c r="A1850" s="3">
        <v>12</v>
      </c>
      <c r="B1850" s="3">
        <v>4</v>
      </c>
      <c r="C1850" s="3">
        <v>73</v>
      </c>
      <c r="D1850" s="3">
        <v>23</v>
      </c>
      <c r="E1850" s="3">
        <v>-190.662</v>
      </c>
      <c r="F1850" s="4" t="str">
        <f>HYPERLINK("http://141.218.60.56/~jnz1568/getInfo.php?workbook=12_04.xlsx&amp;sheet=A0&amp;row=1850&amp;col=6&amp;number=50400&amp;sourceID=14","50400")</f>
        <v>50400</v>
      </c>
      <c r="G1850" s="4" t="str">
        <f>HYPERLINK("http://141.218.60.56/~jnz1568/getInfo.php?workbook=12_04.xlsx&amp;sheet=A0&amp;row=1850&amp;col=7&amp;number=0&amp;sourceID=14","0")</f>
        <v>0</v>
      </c>
    </row>
    <row r="1851" spans="1:7">
      <c r="A1851" s="3">
        <v>12</v>
      </c>
      <c r="B1851" s="3">
        <v>4</v>
      </c>
      <c r="C1851" s="3">
        <v>74</v>
      </c>
      <c r="D1851" s="3">
        <v>23</v>
      </c>
      <c r="E1851" s="3">
        <v>-189.97</v>
      </c>
      <c r="F1851" s="4" t="str">
        <f>HYPERLINK("http://141.218.60.56/~jnz1568/getInfo.php?workbook=12_04.xlsx&amp;sheet=A0&amp;row=1851&amp;col=6&amp;number=464000&amp;sourceID=14","464000")</f>
        <v>464000</v>
      </c>
      <c r="G1851" s="4" t="str">
        <f>HYPERLINK("http://141.218.60.56/~jnz1568/getInfo.php?workbook=12_04.xlsx&amp;sheet=A0&amp;row=1851&amp;col=7&amp;number=0&amp;sourceID=14","0")</f>
        <v>0</v>
      </c>
    </row>
    <row r="1852" spans="1:7">
      <c r="A1852" s="3">
        <v>12</v>
      </c>
      <c r="B1852" s="3">
        <v>4</v>
      </c>
      <c r="C1852" s="3">
        <v>75</v>
      </c>
      <c r="D1852" s="3">
        <v>23</v>
      </c>
      <c r="E1852" s="3">
        <v>189.642</v>
      </c>
      <c r="F1852" s="4" t="str">
        <f>HYPERLINK("http://141.218.60.56/~jnz1568/getInfo.php?workbook=12_04.xlsx&amp;sheet=A0&amp;row=1852&amp;col=6&amp;number=11200&amp;sourceID=14","11200")</f>
        <v>11200</v>
      </c>
      <c r="G1852" s="4" t="str">
        <f>HYPERLINK("http://141.218.60.56/~jnz1568/getInfo.php?workbook=12_04.xlsx&amp;sheet=A0&amp;row=1852&amp;col=7&amp;number=0&amp;sourceID=14","0")</f>
        <v>0</v>
      </c>
    </row>
    <row r="1853" spans="1:7">
      <c r="A1853" s="3">
        <v>12</v>
      </c>
      <c r="B1853" s="3">
        <v>4</v>
      </c>
      <c r="C1853" s="3">
        <v>76</v>
      </c>
      <c r="D1853" s="3">
        <v>23</v>
      </c>
      <c r="E1853" s="3">
        <v>189.689</v>
      </c>
      <c r="F1853" s="4" t="str">
        <f>HYPERLINK("http://141.218.60.56/~jnz1568/getInfo.php?workbook=12_04.xlsx&amp;sheet=A0&amp;row=1853&amp;col=6&amp;number=92100000&amp;sourceID=14","92100000")</f>
        <v>92100000</v>
      </c>
      <c r="G1853" s="4" t="str">
        <f>HYPERLINK("http://141.218.60.56/~jnz1568/getInfo.php?workbook=12_04.xlsx&amp;sheet=A0&amp;row=1853&amp;col=7&amp;number=0&amp;sourceID=14","0")</f>
        <v>0</v>
      </c>
    </row>
    <row r="1854" spans="1:7">
      <c r="A1854" s="3">
        <v>12</v>
      </c>
      <c r="B1854" s="3">
        <v>4</v>
      </c>
      <c r="C1854" s="3">
        <v>77</v>
      </c>
      <c r="D1854" s="3">
        <v>23</v>
      </c>
      <c r="E1854" s="3">
        <v>-189.189</v>
      </c>
      <c r="F1854" s="4" t="str">
        <f>HYPERLINK("http://141.218.60.56/~jnz1568/getInfo.php?workbook=12_04.xlsx&amp;sheet=A0&amp;row=1854&amp;col=6&amp;number=2830000&amp;sourceID=14","2830000")</f>
        <v>2830000</v>
      </c>
      <c r="G1854" s="4" t="str">
        <f>HYPERLINK("http://141.218.60.56/~jnz1568/getInfo.php?workbook=12_04.xlsx&amp;sheet=A0&amp;row=1854&amp;col=7&amp;number=0&amp;sourceID=14","0")</f>
        <v>0</v>
      </c>
    </row>
    <row r="1855" spans="1:7">
      <c r="A1855" s="3">
        <v>12</v>
      </c>
      <c r="B1855" s="3">
        <v>4</v>
      </c>
      <c r="C1855" s="3">
        <v>78</v>
      </c>
      <c r="D1855" s="3">
        <v>23</v>
      </c>
      <c r="E1855" s="3">
        <v>-188.119</v>
      </c>
      <c r="F1855" s="4" t="str">
        <f>HYPERLINK("http://141.218.60.56/~jnz1568/getInfo.php?workbook=12_04.xlsx&amp;sheet=A0&amp;row=1855&amp;col=6&amp;number=210000&amp;sourceID=14","210000")</f>
        <v>210000</v>
      </c>
      <c r="G1855" s="4" t="str">
        <f>HYPERLINK("http://141.218.60.56/~jnz1568/getInfo.php?workbook=12_04.xlsx&amp;sheet=A0&amp;row=1855&amp;col=7&amp;number=0&amp;sourceID=14","0")</f>
        <v>0</v>
      </c>
    </row>
    <row r="1856" spans="1:7">
      <c r="A1856" s="3">
        <v>12</v>
      </c>
      <c r="B1856" s="3">
        <v>4</v>
      </c>
      <c r="C1856" s="3">
        <v>79</v>
      </c>
      <c r="D1856" s="3">
        <v>23</v>
      </c>
      <c r="E1856" s="3">
        <v>-187.901</v>
      </c>
      <c r="F1856" s="4" t="str">
        <f>HYPERLINK("http://141.218.60.56/~jnz1568/getInfo.php?workbook=12_04.xlsx&amp;sheet=A0&amp;row=1856&amp;col=6&amp;number=725000&amp;sourceID=14","725000")</f>
        <v>725000</v>
      </c>
      <c r="G1856" s="4" t="str">
        <f>HYPERLINK("http://141.218.60.56/~jnz1568/getInfo.php?workbook=12_04.xlsx&amp;sheet=A0&amp;row=1856&amp;col=7&amp;number=0&amp;sourceID=14","0")</f>
        <v>0</v>
      </c>
    </row>
    <row r="1857" spans="1:7">
      <c r="A1857" s="3">
        <v>12</v>
      </c>
      <c r="B1857" s="3">
        <v>4</v>
      </c>
      <c r="C1857" s="3">
        <v>80</v>
      </c>
      <c r="D1857" s="3">
        <v>23</v>
      </c>
      <c r="E1857" s="3">
        <v>-187.464</v>
      </c>
      <c r="F1857" s="4" t="str">
        <f>HYPERLINK("http://141.218.60.56/~jnz1568/getInfo.php?workbook=12_04.xlsx&amp;sheet=A0&amp;row=1857&amp;col=6&amp;number=101000000&amp;sourceID=14","101000000")</f>
        <v>101000000</v>
      </c>
      <c r="G1857" s="4" t="str">
        <f>HYPERLINK("http://141.218.60.56/~jnz1568/getInfo.php?workbook=12_04.xlsx&amp;sheet=A0&amp;row=1857&amp;col=7&amp;number=0&amp;sourceID=14","0")</f>
        <v>0</v>
      </c>
    </row>
    <row r="1858" spans="1:7">
      <c r="A1858" s="3">
        <v>12</v>
      </c>
      <c r="B1858" s="3">
        <v>4</v>
      </c>
      <c r="C1858" s="3">
        <v>81</v>
      </c>
      <c r="D1858" s="3">
        <v>23</v>
      </c>
      <c r="E1858" s="3">
        <v>187.144</v>
      </c>
      <c r="F1858" s="4" t="str">
        <f>HYPERLINK("http://141.218.60.56/~jnz1568/getInfo.php?workbook=12_04.xlsx&amp;sheet=A0&amp;row=1858&amp;col=6&amp;number=2570000&amp;sourceID=14","2570000")</f>
        <v>2570000</v>
      </c>
      <c r="G1858" s="4" t="str">
        <f>HYPERLINK("http://141.218.60.56/~jnz1568/getInfo.php?workbook=12_04.xlsx&amp;sheet=A0&amp;row=1858&amp;col=7&amp;number=0&amp;sourceID=14","0")</f>
        <v>0</v>
      </c>
    </row>
    <row r="1859" spans="1:7">
      <c r="A1859" s="3">
        <v>12</v>
      </c>
      <c r="B1859" s="3">
        <v>4</v>
      </c>
      <c r="C1859" s="3">
        <v>82</v>
      </c>
      <c r="D1859" s="3">
        <v>23</v>
      </c>
      <c r="E1859" s="3">
        <v>-187.336</v>
      </c>
      <c r="F1859" s="4" t="str">
        <f>HYPERLINK("http://141.218.60.56/~jnz1568/getInfo.php?workbook=12_04.xlsx&amp;sheet=A0&amp;row=1859&amp;col=6&amp;number=13800000&amp;sourceID=14","13800000")</f>
        <v>13800000</v>
      </c>
      <c r="G1859" s="4" t="str">
        <f>HYPERLINK("http://141.218.60.56/~jnz1568/getInfo.php?workbook=12_04.xlsx&amp;sheet=A0&amp;row=1859&amp;col=7&amp;number=0&amp;sourceID=14","0")</f>
        <v>0</v>
      </c>
    </row>
    <row r="1860" spans="1:7">
      <c r="A1860" s="3">
        <v>12</v>
      </c>
      <c r="B1860" s="3">
        <v>4</v>
      </c>
      <c r="C1860" s="3">
        <v>83</v>
      </c>
      <c r="D1860" s="3">
        <v>23</v>
      </c>
      <c r="E1860" s="3">
        <v>-187.335</v>
      </c>
      <c r="F1860" s="4" t="str">
        <f>HYPERLINK("http://141.218.60.56/~jnz1568/getInfo.php?workbook=12_04.xlsx&amp;sheet=A0&amp;row=1860&amp;col=6&amp;number=60200000&amp;sourceID=14","60200000")</f>
        <v>60200000</v>
      </c>
      <c r="G1860" s="4" t="str">
        <f>HYPERLINK("http://141.218.60.56/~jnz1568/getInfo.php?workbook=12_04.xlsx&amp;sheet=A0&amp;row=1860&amp;col=7&amp;number=0&amp;sourceID=14","0")</f>
        <v>0</v>
      </c>
    </row>
    <row r="1861" spans="1:7">
      <c r="A1861" s="3">
        <v>12</v>
      </c>
      <c r="B1861" s="3">
        <v>4</v>
      </c>
      <c r="C1861" s="3">
        <v>84</v>
      </c>
      <c r="D1861" s="3">
        <v>23</v>
      </c>
      <c r="E1861" s="3">
        <v>-187.221</v>
      </c>
      <c r="F1861" s="4" t="str">
        <f>HYPERLINK("http://141.218.60.56/~jnz1568/getInfo.php?workbook=12_04.xlsx&amp;sheet=A0&amp;row=1861&amp;col=6&amp;number=25.5&amp;sourceID=14","25.5")</f>
        <v>25.5</v>
      </c>
      <c r="G1861" s="4" t="str">
        <f>HYPERLINK("http://141.218.60.56/~jnz1568/getInfo.php?workbook=12_04.xlsx&amp;sheet=A0&amp;row=1861&amp;col=7&amp;number=0&amp;sourceID=14","0")</f>
        <v>0</v>
      </c>
    </row>
    <row r="1862" spans="1:7">
      <c r="A1862" s="3">
        <v>12</v>
      </c>
      <c r="B1862" s="3">
        <v>4</v>
      </c>
      <c r="C1862" s="3">
        <v>85</v>
      </c>
      <c r="D1862" s="3">
        <v>23</v>
      </c>
      <c r="E1862" s="3">
        <v>186.724</v>
      </c>
      <c r="F1862" s="4" t="str">
        <f>HYPERLINK("http://141.218.60.56/~jnz1568/getInfo.php?workbook=12_04.xlsx&amp;sheet=A0&amp;row=1862&amp;col=6&amp;number=2150000&amp;sourceID=14","2150000")</f>
        <v>2150000</v>
      </c>
      <c r="G1862" s="4" t="str">
        <f>HYPERLINK("http://141.218.60.56/~jnz1568/getInfo.php?workbook=12_04.xlsx&amp;sheet=A0&amp;row=1862&amp;col=7&amp;number=0&amp;sourceID=14","0")</f>
        <v>0</v>
      </c>
    </row>
    <row r="1863" spans="1:7">
      <c r="A1863" s="3">
        <v>12</v>
      </c>
      <c r="B1863" s="3">
        <v>4</v>
      </c>
      <c r="C1863" s="3">
        <v>86</v>
      </c>
      <c r="D1863" s="3">
        <v>23</v>
      </c>
      <c r="E1863" s="3">
        <v>186.543</v>
      </c>
      <c r="F1863" s="4" t="str">
        <f>HYPERLINK("http://141.218.60.56/~jnz1568/getInfo.php?workbook=12_04.xlsx&amp;sheet=A0&amp;row=1863&amp;col=6&amp;number=2580000&amp;sourceID=14","2580000")</f>
        <v>2580000</v>
      </c>
      <c r="G1863" s="4" t="str">
        <f>HYPERLINK("http://141.218.60.56/~jnz1568/getInfo.php?workbook=12_04.xlsx&amp;sheet=A0&amp;row=1863&amp;col=7&amp;number=0&amp;sourceID=14","0")</f>
        <v>0</v>
      </c>
    </row>
    <row r="1864" spans="1:7">
      <c r="A1864" s="3">
        <v>12</v>
      </c>
      <c r="B1864" s="3">
        <v>4</v>
      </c>
      <c r="C1864" s="3">
        <v>87</v>
      </c>
      <c r="D1864" s="3">
        <v>23</v>
      </c>
      <c r="E1864" s="3">
        <v>-186.373</v>
      </c>
      <c r="F1864" s="4" t="str">
        <f>HYPERLINK("http://141.218.60.56/~jnz1568/getInfo.php?workbook=12_04.xlsx&amp;sheet=A0&amp;row=1864&amp;col=6&amp;number=2690000&amp;sourceID=14","2690000")</f>
        <v>2690000</v>
      </c>
      <c r="G1864" s="4" t="str">
        <f>HYPERLINK("http://141.218.60.56/~jnz1568/getInfo.php?workbook=12_04.xlsx&amp;sheet=A0&amp;row=1864&amp;col=7&amp;number=0&amp;sourceID=14","0")</f>
        <v>0</v>
      </c>
    </row>
    <row r="1865" spans="1:7">
      <c r="A1865" s="3">
        <v>12</v>
      </c>
      <c r="B1865" s="3">
        <v>4</v>
      </c>
      <c r="C1865" s="3">
        <v>88</v>
      </c>
      <c r="D1865" s="3">
        <v>23</v>
      </c>
      <c r="E1865" s="3">
        <v>-186.101</v>
      </c>
      <c r="F1865" s="4" t="str">
        <f>HYPERLINK("http://141.218.60.56/~jnz1568/getInfo.php?workbook=12_04.xlsx&amp;sheet=A0&amp;row=1865&amp;col=6&amp;number=391000&amp;sourceID=14","391000")</f>
        <v>391000</v>
      </c>
      <c r="G1865" s="4" t="str">
        <f>HYPERLINK("http://141.218.60.56/~jnz1568/getInfo.php?workbook=12_04.xlsx&amp;sheet=A0&amp;row=1865&amp;col=7&amp;number=0&amp;sourceID=14","0")</f>
        <v>0</v>
      </c>
    </row>
    <row r="1866" spans="1:7">
      <c r="A1866" s="3">
        <v>12</v>
      </c>
      <c r="B1866" s="3">
        <v>4</v>
      </c>
      <c r="C1866" s="3">
        <v>89</v>
      </c>
      <c r="D1866" s="3">
        <v>23</v>
      </c>
      <c r="E1866" s="3">
        <v>-185.941</v>
      </c>
      <c r="F1866" s="4" t="str">
        <f>HYPERLINK("http://141.218.60.56/~jnz1568/getInfo.php?workbook=12_04.xlsx&amp;sheet=A0&amp;row=1866&amp;col=6&amp;number=110&amp;sourceID=14","110")</f>
        <v>110</v>
      </c>
      <c r="G1866" s="4" t="str">
        <f>HYPERLINK("http://141.218.60.56/~jnz1568/getInfo.php?workbook=12_04.xlsx&amp;sheet=A0&amp;row=1866&amp;col=7&amp;number=0&amp;sourceID=14","0")</f>
        <v>0</v>
      </c>
    </row>
    <row r="1867" spans="1:7">
      <c r="A1867" s="3">
        <v>12</v>
      </c>
      <c r="B1867" s="3">
        <v>4</v>
      </c>
      <c r="C1867" s="3">
        <v>90</v>
      </c>
      <c r="D1867" s="3">
        <v>23</v>
      </c>
      <c r="E1867" s="3">
        <v>-185.467</v>
      </c>
      <c r="F1867" s="4" t="str">
        <f>HYPERLINK("http://141.218.60.56/~jnz1568/getInfo.php?workbook=12_04.xlsx&amp;sheet=A0&amp;row=1867&amp;col=6&amp;number=130&amp;sourceID=14","130")</f>
        <v>130</v>
      </c>
      <c r="G1867" s="4" t="str">
        <f>HYPERLINK("http://141.218.60.56/~jnz1568/getInfo.php?workbook=12_04.xlsx&amp;sheet=A0&amp;row=1867&amp;col=7&amp;number=0&amp;sourceID=14","0")</f>
        <v>0</v>
      </c>
    </row>
    <row r="1868" spans="1:7">
      <c r="A1868" s="3">
        <v>12</v>
      </c>
      <c r="B1868" s="3">
        <v>4</v>
      </c>
      <c r="C1868" s="3">
        <v>91</v>
      </c>
      <c r="D1868" s="3">
        <v>23</v>
      </c>
      <c r="E1868" s="3">
        <v>-185.049</v>
      </c>
      <c r="F1868" s="4" t="str">
        <f>HYPERLINK("http://141.218.60.56/~jnz1568/getInfo.php?workbook=12_04.xlsx&amp;sheet=A0&amp;row=1868&amp;col=6&amp;number=1340000000&amp;sourceID=14","1340000000")</f>
        <v>1340000000</v>
      </c>
      <c r="G1868" s="4" t="str">
        <f>HYPERLINK("http://141.218.60.56/~jnz1568/getInfo.php?workbook=12_04.xlsx&amp;sheet=A0&amp;row=1868&amp;col=7&amp;number=0&amp;sourceID=14","0")</f>
        <v>0</v>
      </c>
    </row>
    <row r="1869" spans="1:7">
      <c r="A1869" s="3">
        <v>12</v>
      </c>
      <c r="B1869" s="3">
        <v>4</v>
      </c>
      <c r="C1869" s="3">
        <v>92</v>
      </c>
      <c r="D1869" s="3">
        <v>23</v>
      </c>
      <c r="E1869" s="3">
        <v>-184.951</v>
      </c>
      <c r="F1869" s="4" t="str">
        <f>HYPERLINK("http://141.218.60.56/~jnz1568/getInfo.php?workbook=12_04.xlsx&amp;sheet=A0&amp;row=1869&amp;col=6&amp;number=2.7&amp;sourceID=14","2.7")</f>
        <v>2.7</v>
      </c>
      <c r="G1869" s="4" t="str">
        <f>HYPERLINK("http://141.218.60.56/~jnz1568/getInfo.php?workbook=12_04.xlsx&amp;sheet=A0&amp;row=1869&amp;col=7&amp;number=0&amp;sourceID=14","0")</f>
        <v>0</v>
      </c>
    </row>
    <row r="1870" spans="1:7">
      <c r="A1870" s="3">
        <v>12</v>
      </c>
      <c r="B1870" s="3">
        <v>4</v>
      </c>
      <c r="C1870" s="3">
        <v>93</v>
      </c>
      <c r="D1870" s="3">
        <v>23</v>
      </c>
      <c r="E1870" s="3">
        <v>-184.861</v>
      </c>
      <c r="F1870" s="4" t="str">
        <f>HYPERLINK("http://141.218.60.56/~jnz1568/getInfo.php?workbook=12_04.xlsx&amp;sheet=A0&amp;row=1870&amp;col=6&amp;number=284000000&amp;sourceID=14","284000000")</f>
        <v>284000000</v>
      </c>
      <c r="G1870" s="4" t="str">
        <f>HYPERLINK("http://141.218.60.56/~jnz1568/getInfo.php?workbook=12_04.xlsx&amp;sheet=A0&amp;row=1870&amp;col=7&amp;number=0&amp;sourceID=14","0")</f>
        <v>0</v>
      </c>
    </row>
    <row r="1871" spans="1:7">
      <c r="A1871" s="3">
        <v>12</v>
      </c>
      <c r="B1871" s="3">
        <v>4</v>
      </c>
      <c r="C1871" s="3">
        <v>94</v>
      </c>
      <c r="D1871" s="3">
        <v>23</v>
      </c>
      <c r="E1871" s="3">
        <v>-184.531</v>
      </c>
      <c r="F1871" s="4" t="str">
        <f>HYPERLINK("http://141.218.60.56/~jnz1568/getInfo.php?workbook=12_04.xlsx&amp;sheet=A0&amp;row=1871&amp;col=6&amp;number=39400000&amp;sourceID=14","39400000")</f>
        <v>39400000</v>
      </c>
      <c r="G1871" s="4" t="str">
        <f>HYPERLINK("http://141.218.60.56/~jnz1568/getInfo.php?workbook=12_04.xlsx&amp;sheet=A0&amp;row=1871&amp;col=7&amp;number=0&amp;sourceID=14","0")</f>
        <v>0</v>
      </c>
    </row>
    <row r="1872" spans="1:7">
      <c r="A1872" s="3">
        <v>12</v>
      </c>
      <c r="B1872" s="3">
        <v>4</v>
      </c>
      <c r="C1872" s="3">
        <v>95</v>
      </c>
      <c r="D1872" s="3">
        <v>23</v>
      </c>
      <c r="E1872" s="3">
        <v>-184.315</v>
      </c>
      <c r="F1872" s="4" t="str">
        <f>HYPERLINK("http://141.218.60.56/~jnz1568/getInfo.php?workbook=12_04.xlsx&amp;sheet=A0&amp;row=1872&amp;col=6&amp;number=30.7&amp;sourceID=14","30.7")</f>
        <v>30.7</v>
      </c>
      <c r="G1872" s="4" t="str">
        <f>HYPERLINK("http://141.218.60.56/~jnz1568/getInfo.php?workbook=12_04.xlsx&amp;sheet=A0&amp;row=1872&amp;col=7&amp;number=0&amp;sourceID=14","0")</f>
        <v>0</v>
      </c>
    </row>
    <row r="1873" spans="1:7">
      <c r="A1873" s="3">
        <v>12</v>
      </c>
      <c r="B1873" s="3">
        <v>4</v>
      </c>
      <c r="C1873" s="3">
        <v>96</v>
      </c>
      <c r="D1873" s="3">
        <v>23</v>
      </c>
      <c r="E1873" s="3">
        <v>-184.116</v>
      </c>
      <c r="F1873" s="4" t="str">
        <f>HYPERLINK("http://141.218.60.56/~jnz1568/getInfo.php?workbook=12_04.xlsx&amp;sheet=A0&amp;row=1873&amp;col=6&amp;number=61500000&amp;sourceID=14","61500000")</f>
        <v>61500000</v>
      </c>
      <c r="G1873" s="4" t="str">
        <f>HYPERLINK("http://141.218.60.56/~jnz1568/getInfo.php?workbook=12_04.xlsx&amp;sheet=A0&amp;row=1873&amp;col=7&amp;number=0&amp;sourceID=14","0")</f>
        <v>0</v>
      </c>
    </row>
    <row r="1874" spans="1:7">
      <c r="A1874" s="3">
        <v>12</v>
      </c>
      <c r="B1874" s="3">
        <v>4</v>
      </c>
      <c r="C1874" s="3">
        <v>97</v>
      </c>
      <c r="D1874" s="3">
        <v>23</v>
      </c>
      <c r="E1874" s="3">
        <v>184.274</v>
      </c>
      <c r="F1874" s="4" t="str">
        <f>HYPERLINK("http://141.218.60.56/~jnz1568/getInfo.php?workbook=12_04.xlsx&amp;sheet=A0&amp;row=1874&amp;col=6&amp;number=2090&amp;sourceID=14","2090")</f>
        <v>2090</v>
      </c>
      <c r="G1874" s="4" t="str">
        <f>HYPERLINK("http://141.218.60.56/~jnz1568/getInfo.php?workbook=12_04.xlsx&amp;sheet=A0&amp;row=1874&amp;col=7&amp;number=0&amp;sourceID=14","0")</f>
        <v>0</v>
      </c>
    </row>
    <row r="1875" spans="1:7">
      <c r="A1875" s="3">
        <v>12</v>
      </c>
      <c r="B1875" s="3">
        <v>4</v>
      </c>
      <c r="C1875" s="3">
        <v>98</v>
      </c>
      <c r="D1875" s="3">
        <v>23</v>
      </c>
      <c r="E1875" s="3">
        <v>183.685</v>
      </c>
      <c r="F1875" s="4" t="str">
        <f>HYPERLINK("http://141.218.60.56/~jnz1568/getInfo.php?workbook=12_04.xlsx&amp;sheet=A0&amp;row=1875&amp;col=6&amp;number=436&amp;sourceID=14","436")</f>
        <v>436</v>
      </c>
      <c r="G1875" s="4" t="str">
        <f>HYPERLINK("http://141.218.60.56/~jnz1568/getInfo.php?workbook=12_04.xlsx&amp;sheet=A0&amp;row=1875&amp;col=7&amp;number=0&amp;sourceID=14","0")</f>
        <v>0</v>
      </c>
    </row>
    <row r="1876" spans="1:7">
      <c r="A1876" s="3">
        <v>12</v>
      </c>
      <c r="B1876" s="3">
        <v>4</v>
      </c>
      <c r="C1876" s="3">
        <v>25</v>
      </c>
      <c r="D1876" s="3">
        <v>24</v>
      </c>
      <c r="E1876" s="3">
        <v>19685.076</v>
      </c>
      <c r="F1876" s="4" t="str">
        <f>HYPERLINK("http://141.218.60.56/~jnz1568/getInfo.php?workbook=12_04.xlsx&amp;sheet=A0&amp;row=1876&amp;col=6&amp;number=105000&amp;sourceID=14","105000")</f>
        <v>105000</v>
      </c>
      <c r="G1876" s="4" t="str">
        <f>HYPERLINK("http://141.218.60.56/~jnz1568/getInfo.php?workbook=12_04.xlsx&amp;sheet=A0&amp;row=1876&amp;col=7&amp;number=0&amp;sourceID=14","0")</f>
        <v>0</v>
      </c>
    </row>
    <row r="1877" spans="1:7">
      <c r="A1877" s="3">
        <v>12</v>
      </c>
      <c r="B1877" s="3">
        <v>4</v>
      </c>
      <c r="C1877" s="3">
        <v>26</v>
      </c>
      <c r="D1877" s="3">
        <v>24</v>
      </c>
      <c r="E1877" s="3">
        <v>8045.067</v>
      </c>
      <c r="F1877" s="4" t="str">
        <f>HYPERLINK("http://141.218.60.56/~jnz1568/getInfo.php?workbook=12_04.xlsx&amp;sheet=A0&amp;row=1877&amp;col=6&amp;number=94300&amp;sourceID=14","94300")</f>
        <v>94300</v>
      </c>
      <c r="G1877" s="4" t="str">
        <f>HYPERLINK("http://141.218.60.56/~jnz1568/getInfo.php?workbook=12_04.xlsx&amp;sheet=A0&amp;row=1877&amp;col=7&amp;number=0&amp;sourceID=14","0")</f>
        <v>0</v>
      </c>
    </row>
    <row r="1878" spans="1:7">
      <c r="A1878" s="3">
        <v>12</v>
      </c>
      <c r="B1878" s="3">
        <v>4</v>
      </c>
      <c r="C1878" s="3">
        <v>27</v>
      </c>
      <c r="D1878" s="3">
        <v>24</v>
      </c>
      <c r="E1878" s="3">
        <v>7446.03</v>
      </c>
      <c r="F1878" s="4" t="str">
        <f>HYPERLINK("http://141.218.60.56/~jnz1568/getInfo.php?workbook=12_04.xlsx&amp;sheet=A0&amp;row=1878&amp;col=6&amp;number=1190&amp;sourceID=14","1190")</f>
        <v>1190</v>
      </c>
      <c r="G1878" s="4" t="str">
        <f>HYPERLINK("http://141.218.60.56/~jnz1568/getInfo.php?workbook=12_04.xlsx&amp;sheet=A0&amp;row=1878&amp;col=7&amp;number=0&amp;sourceID=14","0")</f>
        <v>0</v>
      </c>
    </row>
    <row r="1879" spans="1:7">
      <c r="A1879" s="3">
        <v>12</v>
      </c>
      <c r="B1879" s="3">
        <v>4</v>
      </c>
      <c r="C1879" s="3">
        <v>28</v>
      </c>
      <c r="D1879" s="3">
        <v>24</v>
      </c>
      <c r="E1879" s="3">
        <v>6277.476</v>
      </c>
      <c r="F1879" s="4" t="str">
        <f>HYPERLINK("http://141.218.60.56/~jnz1568/getInfo.php?workbook=12_04.xlsx&amp;sheet=A0&amp;row=1879&amp;col=6&amp;number=3.6e-06&amp;sourceID=14","3.6e-06")</f>
        <v>3.6e-06</v>
      </c>
      <c r="G1879" s="4" t="str">
        <f>HYPERLINK("http://141.218.60.56/~jnz1568/getInfo.php?workbook=12_04.xlsx&amp;sheet=A0&amp;row=1879&amp;col=7&amp;number=0&amp;sourceID=14","0")</f>
        <v>0</v>
      </c>
    </row>
    <row r="1880" spans="1:7">
      <c r="A1880" s="3">
        <v>12</v>
      </c>
      <c r="B1880" s="3">
        <v>4</v>
      </c>
      <c r="C1880" s="3">
        <v>29</v>
      </c>
      <c r="D1880" s="3">
        <v>24</v>
      </c>
      <c r="E1880" s="3">
        <v>3657.651</v>
      </c>
      <c r="F1880" s="4" t="str">
        <f>HYPERLINK("http://141.218.60.56/~jnz1568/getInfo.php?workbook=12_04.xlsx&amp;sheet=A0&amp;row=1880&amp;col=6&amp;number=199000&amp;sourceID=14","199000")</f>
        <v>199000</v>
      </c>
      <c r="G1880" s="4" t="str">
        <f>HYPERLINK("http://141.218.60.56/~jnz1568/getInfo.php?workbook=12_04.xlsx&amp;sheet=A0&amp;row=1880&amp;col=7&amp;number=0&amp;sourceID=14","0")</f>
        <v>0</v>
      </c>
    </row>
    <row r="1881" spans="1:7">
      <c r="A1881" s="3">
        <v>12</v>
      </c>
      <c r="B1881" s="3">
        <v>4</v>
      </c>
      <c r="C1881" s="3">
        <v>30</v>
      </c>
      <c r="D1881" s="3">
        <v>24</v>
      </c>
      <c r="E1881" s="3">
        <v>-2624.332</v>
      </c>
      <c r="F1881" s="4" t="str">
        <f>HYPERLINK("http://141.218.60.56/~jnz1568/getInfo.php?workbook=12_04.xlsx&amp;sheet=A0&amp;row=1881&amp;col=6&amp;number=4310&amp;sourceID=14","4310")</f>
        <v>4310</v>
      </c>
      <c r="G1881" s="4" t="str">
        <f>HYPERLINK("http://141.218.60.56/~jnz1568/getInfo.php?workbook=12_04.xlsx&amp;sheet=A0&amp;row=1881&amp;col=7&amp;number=0&amp;sourceID=14","0")</f>
        <v>0</v>
      </c>
    </row>
    <row r="1882" spans="1:7">
      <c r="A1882" s="3">
        <v>12</v>
      </c>
      <c r="B1882" s="3">
        <v>4</v>
      </c>
      <c r="C1882" s="3">
        <v>31</v>
      </c>
      <c r="D1882" s="3">
        <v>24</v>
      </c>
      <c r="E1882" s="3">
        <v>2805.054</v>
      </c>
      <c r="F1882" s="4" t="str">
        <f>HYPERLINK("http://141.218.60.56/~jnz1568/getInfo.php?workbook=12_04.xlsx&amp;sheet=A0&amp;row=1882&amp;col=6&amp;number=106000&amp;sourceID=14","106000")</f>
        <v>106000</v>
      </c>
      <c r="G1882" s="4" t="str">
        <f>HYPERLINK("http://141.218.60.56/~jnz1568/getInfo.php?workbook=12_04.xlsx&amp;sheet=A0&amp;row=1882&amp;col=7&amp;number=0&amp;sourceID=14","0")</f>
        <v>0</v>
      </c>
    </row>
    <row r="1883" spans="1:7">
      <c r="A1883" s="3">
        <v>12</v>
      </c>
      <c r="B1883" s="3">
        <v>4</v>
      </c>
      <c r="C1883" s="3">
        <v>32</v>
      </c>
      <c r="D1883" s="3">
        <v>24</v>
      </c>
      <c r="E1883" s="3">
        <v>2706.365</v>
      </c>
      <c r="F1883" s="4" t="str">
        <f>HYPERLINK("http://141.218.60.56/~jnz1568/getInfo.php?workbook=12_04.xlsx&amp;sheet=A0&amp;row=1883&amp;col=6&amp;number=75100&amp;sourceID=14","75100")</f>
        <v>75100</v>
      </c>
      <c r="G1883" s="4" t="str">
        <f>HYPERLINK("http://141.218.60.56/~jnz1568/getInfo.php?workbook=12_04.xlsx&amp;sheet=A0&amp;row=1883&amp;col=7&amp;number=0&amp;sourceID=14","0")</f>
        <v>0</v>
      </c>
    </row>
    <row r="1884" spans="1:7">
      <c r="A1884" s="3">
        <v>12</v>
      </c>
      <c r="B1884" s="3">
        <v>4</v>
      </c>
      <c r="C1884" s="3">
        <v>33</v>
      </c>
      <c r="D1884" s="3">
        <v>24</v>
      </c>
      <c r="E1884" s="3">
        <v>-2158.386</v>
      </c>
      <c r="F1884" s="4" t="str">
        <f>HYPERLINK("http://141.218.60.56/~jnz1568/getInfo.php?workbook=12_04.xlsx&amp;sheet=A0&amp;row=1884&amp;col=6&amp;number=1.51&amp;sourceID=14","1.51")</f>
        <v>1.51</v>
      </c>
      <c r="G1884" s="4" t="str">
        <f>HYPERLINK("http://141.218.60.56/~jnz1568/getInfo.php?workbook=12_04.xlsx&amp;sheet=A0&amp;row=1884&amp;col=7&amp;number=0&amp;sourceID=14","0")</f>
        <v>0</v>
      </c>
    </row>
    <row r="1885" spans="1:7">
      <c r="A1885" s="3">
        <v>12</v>
      </c>
      <c r="B1885" s="3">
        <v>4</v>
      </c>
      <c r="C1885" s="3">
        <v>34</v>
      </c>
      <c r="D1885" s="3">
        <v>24</v>
      </c>
      <c r="E1885" s="3">
        <v>-2067.102</v>
      </c>
      <c r="F1885" s="4" t="str">
        <f>HYPERLINK("http://141.218.60.56/~jnz1568/getInfo.php?workbook=12_04.xlsx&amp;sheet=A0&amp;row=1885&amp;col=6&amp;number=0.00519&amp;sourceID=14","0.00519")</f>
        <v>0.00519</v>
      </c>
      <c r="G1885" s="4" t="str">
        <f>HYPERLINK("http://141.218.60.56/~jnz1568/getInfo.php?workbook=12_04.xlsx&amp;sheet=A0&amp;row=1885&amp;col=7&amp;number=0&amp;sourceID=14","0")</f>
        <v>0</v>
      </c>
    </row>
    <row r="1886" spans="1:7">
      <c r="A1886" s="3">
        <v>12</v>
      </c>
      <c r="B1886" s="3">
        <v>4</v>
      </c>
      <c r="C1886" s="3">
        <v>35</v>
      </c>
      <c r="D1886" s="3">
        <v>24</v>
      </c>
      <c r="E1886" s="3">
        <v>2145.927</v>
      </c>
      <c r="F1886" s="4" t="str">
        <f>HYPERLINK("http://141.218.60.56/~jnz1568/getInfo.php?workbook=12_04.xlsx&amp;sheet=A0&amp;row=1886&amp;col=6&amp;number=10&amp;sourceID=14","10")</f>
        <v>10</v>
      </c>
      <c r="G1886" s="4" t="str">
        <f>HYPERLINK("http://141.218.60.56/~jnz1568/getInfo.php?workbook=12_04.xlsx&amp;sheet=A0&amp;row=1886&amp;col=7&amp;number=0&amp;sourceID=14","0")</f>
        <v>0</v>
      </c>
    </row>
    <row r="1887" spans="1:7">
      <c r="A1887" s="3">
        <v>12</v>
      </c>
      <c r="B1887" s="3">
        <v>4</v>
      </c>
      <c r="C1887" s="3">
        <v>36</v>
      </c>
      <c r="D1887" s="3">
        <v>24</v>
      </c>
      <c r="E1887" s="3">
        <v>-1984.446</v>
      </c>
      <c r="F1887" s="4" t="str">
        <f>HYPERLINK("http://141.218.60.56/~jnz1568/getInfo.php?workbook=12_04.xlsx&amp;sheet=A0&amp;row=1887&amp;col=6&amp;number=1.29e-10&amp;sourceID=14","1.29e-10")</f>
        <v>1.29e-10</v>
      </c>
      <c r="G1887" s="4" t="str">
        <f>HYPERLINK("http://141.218.60.56/~jnz1568/getInfo.php?workbook=12_04.xlsx&amp;sheet=A0&amp;row=1887&amp;col=7&amp;number=0&amp;sourceID=14","0")</f>
        <v>0</v>
      </c>
    </row>
    <row r="1888" spans="1:7">
      <c r="A1888" s="3">
        <v>12</v>
      </c>
      <c r="B1888" s="3">
        <v>4</v>
      </c>
      <c r="C1888" s="3">
        <v>37</v>
      </c>
      <c r="D1888" s="3">
        <v>24</v>
      </c>
      <c r="E1888" s="3">
        <v>1892.867</v>
      </c>
      <c r="F1888" s="4" t="str">
        <f>HYPERLINK("http://141.218.60.56/~jnz1568/getInfo.php?workbook=12_04.xlsx&amp;sheet=A0&amp;row=1888&amp;col=6&amp;number=215000000&amp;sourceID=14","215000000")</f>
        <v>215000000</v>
      </c>
      <c r="G1888" s="4" t="str">
        <f>HYPERLINK("http://141.218.60.56/~jnz1568/getInfo.php?workbook=12_04.xlsx&amp;sheet=A0&amp;row=1888&amp;col=7&amp;number=0&amp;sourceID=14","0")</f>
        <v>0</v>
      </c>
    </row>
    <row r="1889" spans="1:7">
      <c r="A1889" s="3">
        <v>12</v>
      </c>
      <c r="B1889" s="3">
        <v>4</v>
      </c>
      <c r="C1889" s="3">
        <v>38</v>
      </c>
      <c r="D1889" s="3">
        <v>24</v>
      </c>
      <c r="E1889" s="3">
        <v>1555.697</v>
      </c>
      <c r="F1889" s="4" t="str">
        <f>HYPERLINK("http://141.218.60.56/~jnz1568/getInfo.php?workbook=12_04.xlsx&amp;sheet=A0&amp;row=1889&amp;col=6&amp;number=0.00789&amp;sourceID=14","0.00789")</f>
        <v>0.00789</v>
      </c>
      <c r="G1889" s="4" t="str">
        <f>HYPERLINK("http://141.218.60.56/~jnz1568/getInfo.php?workbook=12_04.xlsx&amp;sheet=A0&amp;row=1889&amp;col=7&amp;number=0&amp;sourceID=14","0")</f>
        <v>0</v>
      </c>
    </row>
    <row r="1890" spans="1:7">
      <c r="A1890" s="3">
        <v>12</v>
      </c>
      <c r="B1890" s="3">
        <v>4</v>
      </c>
      <c r="C1890" s="3">
        <v>39</v>
      </c>
      <c r="D1890" s="3">
        <v>24</v>
      </c>
      <c r="E1890" s="3">
        <v>1542.737</v>
      </c>
      <c r="F1890" s="4" t="str">
        <f>HYPERLINK("http://141.218.60.56/~jnz1568/getInfo.php?workbook=12_04.xlsx&amp;sheet=A0&amp;row=1890&amp;col=6&amp;number=0.284&amp;sourceID=14","0.284")</f>
        <v>0.284</v>
      </c>
      <c r="G1890" s="4" t="str">
        <f>HYPERLINK("http://141.218.60.56/~jnz1568/getInfo.php?workbook=12_04.xlsx&amp;sheet=A0&amp;row=1890&amp;col=7&amp;number=0&amp;sourceID=14","0")</f>
        <v>0</v>
      </c>
    </row>
    <row r="1891" spans="1:7">
      <c r="A1891" s="3">
        <v>12</v>
      </c>
      <c r="B1891" s="3">
        <v>4</v>
      </c>
      <c r="C1891" s="3">
        <v>40</v>
      </c>
      <c r="D1891" s="3">
        <v>24</v>
      </c>
      <c r="E1891" s="3">
        <v>1519.298</v>
      </c>
      <c r="F1891" s="4" t="str">
        <f>HYPERLINK("http://141.218.60.56/~jnz1568/getInfo.php?workbook=12_04.xlsx&amp;sheet=A0&amp;row=1891&amp;col=6&amp;number=0.00143&amp;sourceID=14","0.00143")</f>
        <v>0.00143</v>
      </c>
      <c r="G1891" s="4" t="str">
        <f>HYPERLINK("http://141.218.60.56/~jnz1568/getInfo.php?workbook=12_04.xlsx&amp;sheet=A0&amp;row=1891&amp;col=7&amp;number=0&amp;sourceID=14","0")</f>
        <v>0</v>
      </c>
    </row>
    <row r="1892" spans="1:7">
      <c r="A1892" s="3">
        <v>12</v>
      </c>
      <c r="B1892" s="3">
        <v>4</v>
      </c>
      <c r="C1892" s="3">
        <v>41</v>
      </c>
      <c r="D1892" s="3">
        <v>24</v>
      </c>
      <c r="E1892" s="3">
        <v>1385.428</v>
      </c>
      <c r="F1892" s="4" t="str">
        <f>HYPERLINK("http://141.218.60.56/~jnz1568/getInfo.php?workbook=12_04.xlsx&amp;sheet=A0&amp;row=1892&amp;col=6&amp;number=0.688&amp;sourceID=14","0.688")</f>
        <v>0.688</v>
      </c>
      <c r="G1892" s="4" t="str">
        <f>HYPERLINK("http://141.218.60.56/~jnz1568/getInfo.php?workbook=12_04.xlsx&amp;sheet=A0&amp;row=1892&amp;col=7&amp;number=0&amp;sourceID=14","0")</f>
        <v>0</v>
      </c>
    </row>
    <row r="1893" spans="1:7">
      <c r="A1893" s="3">
        <v>12</v>
      </c>
      <c r="B1893" s="3">
        <v>4</v>
      </c>
      <c r="C1893" s="3">
        <v>42</v>
      </c>
      <c r="D1893" s="3">
        <v>24</v>
      </c>
      <c r="E1893" s="3">
        <v>1366.683</v>
      </c>
      <c r="F1893" s="4" t="str">
        <f>HYPERLINK("http://141.218.60.56/~jnz1568/getInfo.php?workbook=12_04.xlsx&amp;sheet=A0&amp;row=1893&amp;col=6&amp;number=0.0532&amp;sourceID=14","0.0532")</f>
        <v>0.0532</v>
      </c>
      <c r="G1893" s="4" t="str">
        <f>HYPERLINK("http://141.218.60.56/~jnz1568/getInfo.php?workbook=12_04.xlsx&amp;sheet=A0&amp;row=1893&amp;col=7&amp;number=0&amp;sourceID=14","0")</f>
        <v>0</v>
      </c>
    </row>
    <row r="1894" spans="1:7">
      <c r="A1894" s="3">
        <v>12</v>
      </c>
      <c r="B1894" s="3">
        <v>4</v>
      </c>
      <c r="C1894" s="3">
        <v>43</v>
      </c>
      <c r="D1894" s="3">
        <v>24</v>
      </c>
      <c r="E1894" s="3">
        <v>1357.039</v>
      </c>
      <c r="F1894" s="4" t="str">
        <f>HYPERLINK("http://141.218.60.56/~jnz1568/getInfo.php?workbook=12_04.xlsx&amp;sheet=A0&amp;row=1894&amp;col=6&amp;number=0.156&amp;sourceID=14","0.156")</f>
        <v>0.156</v>
      </c>
      <c r="G1894" s="4" t="str">
        <f>HYPERLINK("http://141.218.60.56/~jnz1568/getInfo.php?workbook=12_04.xlsx&amp;sheet=A0&amp;row=1894&amp;col=7&amp;number=0&amp;sourceID=14","0")</f>
        <v>0</v>
      </c>
    </row>
    <row r="1895" spans="1:7">
      <c r="A1895" s="3">
        <v>12</v>
      </c>
      <c r="B1895" s="3">
        <v>4</v>
      </c>
      <c r="C1895" s="3">
        <v>44</v>
      </c>
      <c r="D1895" s="3">
        <v>24</v>
      </c>
      <c r="E1895" s="3">
        <v>-1085.908</v>
      </c>
      <c r="F1895" s="4" t="str">
        <f>HYPERLINK("http://141.218.60.56/~jnz1568/getInfo.php?workbook=12_04.xlsx&amp;sheet=A0&amp;row=1895&amp;col=6&amp;number=1400000000&amp;sourceID=14","1400000000")</f>
        <v>1400000000</v>
      </c>
      <c r="G1895" s="4" t="str">
        <f>HYPERLINK("http://141.218.60.56/~jnz1568/getInfo.php?workbook=12_04.xlsx&amp;sheet=A0&amp;row=1895&amp;col=7&amp;number=0&amp;sourceID=14","0")</f>
        <v>0</v>
      </c>
    </row>
    <row r="1896" spans="1:7">
      <c r="A1896" s="3">
        <v>12</v>
      </c>
      <c r="B1896" s="3">
        <v>4</v>
      </c>
      <c r="C1896" s="3">
        <v>45</v>
      </c>
      <c r="D1896" s="3">
        <v>24</v>
      </c>
      <c r="E1896" s="3">
        <v>1091.11</v>
      </c>
      <c r="F1896" s="4" t="str">
        <f>HYPERLINK("http://141.218.60.56/~jnz1568/getInfo.php?workbook=12_04.xlsx&amp;sheet=A0&amp;row=1896&amp;col=6&amp;number=350&amp;sourceID=14","350")</f>
        <v>350</v>
      </c>
      <c r="G1896" s="4" t="str">
        <f>HYPERLINK("http://141.218.60.56/~jnz1568/getInfo.php?workbook=12_04.xlsx&amp;sheet=A0&amp;row=1896&amp;col=7&amp;number=0&amp;sourceID=14","0")</f>
        <v>0</v>
      </c>
    </row>
    <row r="1897" spans="1:7">
      <c r="A1897" s="3">
        <v>12</v>
      </c>
      <c r="B1897" s="3">
        <v>4</v>
      </c>
      <c r="C1897" s="3">
        <v>46</v>
      </c>
      <c r="D1897" s="3">
        <v>24</v>
      </c>
      <c r="E1897" s="3">
        <v>1015.024</v>
      </c>
      <c r="F1897" s="4" t="str">
        <f>HYPERLINK("http://141.218.60.56/~jnz1568/getInfo.php?workbook=12_04.xlsx&amp;sheet=A0&amp;row=1897&amp;col=6&amp;number=641&amp;sourceID=14","641")</f>
        <v>641</v>
      </c>
      <c r="G1897" s="4" t="str">
        <f>HYPERLINK("http://141.218.60.56/~jnz1568/getInfo.php?workbook=12_04.xlsx&amp;sheet=A0&amp;row=1897&amp;col=7&amp;number=0&amp;sourceID=14","0")</f>
        <v>0</v>
      </c>
    </row>
    <row r="1898" spans="1:7">
      <c r="A1898" s="3">
        <v>12</v>
      </c>
      <c r="B1898" s="3">
        <v>4</v>
      </c>
      <c r="C1898" s="3">
        <v>47</v>
      </c>
      <c r="D1898" s="3">
        <v>24</v>
      </c>
      <c r="E1898" s="3">
        <v>-332.787</v>
      </c>
      <c r="F1898" s="4" t="str">
        <f>HYPERLINK("http://141.218.60.56/~jnz1568/getInfo.php?workbook=12_04.xlsx&amp;sheet=A0&amp;row=1898&amp;col=6&amp;number=224000&amp;sourceID=14","224000")</f>
        <v>224000</v>
      </c>
      <c r="G1898" s="4" t="str">
        <f>HYPERLINK("http://141.218.60.56/~jnz1568/getInfo.php?workbook=12_04.xlsx&amp;sheet=A0&amp;row=1898&amp;col=7&amp;number=0&amp;sourceID=14","0")</f>
        <v>0</v>
      </c>
    </row>
    <row r="1899" spans="1:7">
      <c r="A1899" s="3">
        <v>12</v>
      </c>
      <c r="B1899" s="3">
        <v>4</v>
      </c>
      <c r="C1899" s="3">
        <v>48</v>
      </c>
      <c r="D1899" s="3">
        <v>24</v>
      </c>
      <c r="E1899" s="3">
        <v>-321.997</v>
      </c>
      <c r="F1899" s="4" t="str">
        <f>HYPERLINK("http://141.218.60.56/~jnz1568/getInfo.php?workbook=12_04.xlsx&amp;sheet=A0&amp;row=1899&amp;col=6&amp;number=875000000&amp;sourceID=14","875000000")</f>
        <v>875000000</v>
      </c>
      <c r="G1899" s="4" t="str">
        <f>HYPERLINK("http://141.218.60.56/~jnz1568/getInfo.php?workbook=12_04.xlsx&amp;sheet=A0&amp;row=1899&amp;col=7&amp;number=0&amp;sourceID=14","0")</f>
        <v>0</v>
      </c>
    </row>
    <row r="1900" spans="1:7">
      <c r="A1900" s="3">
        <v>12</v>
      </c>
      <c r="B1900" s="3">
        <v>4</v>
      </c>
      <c r="C1900" s="3">
        <v>49</v>
      </c>
      <c r="D1900" s="3">
        <v>24</v>
      </c>
      <c r="E1900" s="3">
        <v>-307.608</v>
      </c>
      <c r="F1900" s="4" t="str">
        <f>HYPERLINK("http://141.218.60.56/~jnz1568/getInfo.php?workbook=12_04.xlsx&amp;sheet=A0&amp;row=1900&amp;col=6&amp;number=0.185&amp;sourceID=14","0.185")</f>
        <v>0.185</v>
      </c>
      <c r="G1900" s="4" t="str">
        <f>HYPERLINK("http://141.218.60.56/~jnz1568/getInfo.php?workbook=12_04.xlsx&amp;sheet=A0&amp;row=1900&amp;col=7&amp;number=0&amp;sourceID=14","0")</f>
        <v>0</v>
      </c>
    </row>
    <row r="1901" spans="1:7">
      <c r="A1901" s="3">
        <v>12</v>
      </c>
      <c r="B1901" s="3">
        <v>4</v>
      </c>
      <c r="C1901" s="3">
        <v>50</v>
      </c>
      <c r="D1901" s="3">
        <v>24</v>
      </c>
      <c r="E1901" s="3">
        <v>-307.498</v>
      </c>
      <c r="F1901" s="4" t="str">
        <f>HYPERLINK("http://141.218.60.56/~jnz1568/getInfo.php?workbook=12_04.xlsx&amp;sheet=A0&amp;row=1901&amp;col=6&amp;number=259&amp;sourceID=14","259")</f>
        <v>259</v>
      </c>
      <c r="G1901" s="4" t="str">
        <f>HYPERLINK("http://141.218.60.56/~jnz1568/getInfo.php?workbook=12_04.xlsx&amp;sheet=A0&amp;row=1901&amp;col=7&amp;number=0&amp;sourceID=14","0")</f>
        <v>0</v>
      </c>
    </row>
    <row r="1902" spans="1:7">
      <c r="A1902" s="3">
        <v>12</v>
      </c>
      <c r="B1902" s="3">
        <v>4</v>
      </c>
      <c r="C1902" s="3">
        <v>51</v>
      </c>
      <c r="D1902" s="3">
        <v>24</v>
      </c>
      <c r="E1902" s="3">
        <v>-307.25</v>
      </c>
      <c r="F1902" s="4" t="str">
        <f>HYPERLINK("http://141.218.60.56/~jnz1568/getInfo.php?workbook=12_04.xlsx&amp;sheet=A0&amp;row=1902&amp;col=6&amp;number=4.84&amp;sourceID=14","4.84")</f>
        <v>4.84</v>
      </c>
      <c r="G1902" s="4" t="str">
        <f>HYPERLINK("http://141.218.60.56/~jnz1568/getInfo.php?workbook=12_04.xlsx&amp;sheet=A0&amp;row=1902&amp;col=7&amp;number=0&amp;sourceID=14","0")</f>
        <v>0</v>
      </c>
    </row>
    <row r="1903" spans="1:7">
      <c r="A1903" s="3">
        <v>12</v>
      </c>
      <c r="B1903" s="3">
        <v>4</v>
      </c>
      <c r="C1903" s="3">
        <v>52</v>
      </c>
      <c r="D1903" s="3">
        <v>24</v>
      </c>
      <c r="E1903" s="3">
        <v>307.088</v>
      </c>
      <c r="F1903" s="4" t="str">
        <f>HYPERLINK("http://141.218.60.56/~jnz1568/getInfo.php?workbook=12_04.xlsx&amp;sheet=A0&amp;row=1903&amp;col=6&amp;number=62700&amp;sourceID=14","62700")</f>
        <v>62700</v>
      </c>
      <c r="G1903" s="4" t="str">
        <f>HYPERLINK("http://141.218.60.56/~jnz1568/getInfo.php?workbook=12_04.xlsx&amp;sheet=A0&amp;row=1903&amp;col=7&amp;number=0&amp;sourceID=14","0")</f>
        <v>0</v>
      </c>
    </row>
    <row r="1904" spans="1:7">
      <c r="A1904" s="3">
        <v>12</v>
      </c>
      <c r="B1904" s="3">
        <v>4</v>
      </c>
      <c r="C1904" s="3">
        <v>53</v>
      </c>
      <c r="D1904" s="3">
        <v>24</v>
      </c>
      <c r="E1904" s="3">
        <v>296.798</v>
      </c>
      <c r="F1904" s="4" t="str">
        <f>HYPERLINK("http://141.218.60.56/~jnz1568/getInfo.php?workbook=12_04.xlsx&amp;sheet=A0&amp;row=1904&amp;col=6&amp;number=10800&amp;sourceID=14","10800")</f>
        <v>10800</v>
      </c>
      <c r="G1904" s="4" t="str">
        <f>HYPERLINK("http://141.218.60.56/~jnz1568/getInfo.php?workbook=12_04.xlsx&amp;sheet=A0&amp;row=1904&amp;col=7&amp;number=0&amp;sourceID=14","0")</f>
        <v>0</v>
      </c>
    </row>
    <row r="1905" spans="1:7">
      <c r="A1905" s="3">
        <v>12</v>
      </c>
      <c r="B1905" s="3">
        <v>4</v>
      </c>
      <c r="C1905" s="3">
        <v>54</v>
      </c>
      <c r="D1905" s="3">
        <v>24</v>
      </c>
      <c r="E1905" s="3">
        <v>296.798</v>
      </c>
      <c r="F1905" s="4" t="str">
        <f>HYPERLINK("http://141.218.60.56/~jnz1568/getInfo.php?workbook=12_04.xlsx&amp;sheet=A0&amp;row=1905&amp;col=6&amp;number=31100&amp;sourceID=14","31100")</f>
        <v>31100</v>
      </c>
      <c r="G1905" s="4" t="str">
        <f>HYPERLINK("http://141.218.60.56/~jnz1568/getInfo.php?workbook=12_04.xlsx&amp;sheet=A0&amp;row=1905&amp;col=7&amp;number=0&amp;sourceID=14","0")</f>
        <v>0</v>
      </c>
    </row>
    <row r="1906" spans="1:7">
      <c r="A1906" s="3">
        <v>12</v>
      </c>
      <c r="B1906" s="3">
        <v>4</v>
      </c>
      <c r="C1906" s="3">
        <v>55</v>
      </c>
      <c r="D1906" s="3">
        <v>24</v>
      </c>
      <c r="E1906" s="3">
        <v>296.728</v>
      </c>
      <c r="F1906" s="4" t="str">
        <f>HYPERLINK("http://141.218.60.56/~jnz1568/getInfo.php?workbook=12_04.xlsx&amp;sheet=A0&amp;row=1906&amp;col=6&amp;number=1.76&amp;sourceID=14","1.76")</f>
        <v>1.76</v>
      </c>
      <c r="G1906" s="4" t="str">
        <f>HYPERLINK("http://141.218.60.56/~jnz1568/getInfo.php?workbook=12_04.xlsx&amp;sheet=A0&amp;row=1906&amp;col=7&amp;number=0&amp;sourceID=14","0")</f>
        <v>0</v>
      </c>
    </row>
    <row r="1907" spans="1:7">
      <c r="A1907" s="3">
        <v>12</v>
      </c>
      <c r="B1907" s="3">
        <v>4</v>
      </c>
      <c r="C1907" s="3">
        <v>56</v>
      </c>
      <c r="D1907" s="3">
        <v>24</v>
      </c>
      <c r="E1907" s="3">
        <v>289.982</v>
      </c>
      <c r="F1907" s="4" t="str">
        <f>HYPERLINK("http://141.218.60.56/~jnz1568/getInfo.php?workbook=12_04.xlsx&amp;sheet=A0&amp;row=1907&amp;col=6&amp;number=3300000000&amp;sourceID=14","3300000000")</f>
        <v>3300000000</v>
      </c>
      <c r="G1907" s="4" t="str">
        <f>HYPERLINK("http://141.218.60.56/~jnz1568/getInfo.php?workbook=12_04.xlsx&amp;sheet=A0&amp;row=1907&amp;col=7&amp;number=0&amp;sourceID=14","0")</f>
        <v>0</v>
      </c>
    </row>
    <row r="1908" spans="1:7">
      <c r="A1908" s="3">
        <v>12</v>
      </c>
      <c r="B1908" s="3">
        <v>4</v>
      </c>
      <c r="C1908" s="3">
        <v>57</v>
      </c>
      <c r="D1908" s="3">
        <v>24</v>
      </c>
      <c r="E1908" s="3">
        <v>-287.252</v>
      </c>
      <c r="F1908" s="4" t="str">
        <f>HYPERLINK("http://141.218.60.56/~jnz1568/getInfo.php?workbook=12_04.xlsx&amp;sheet=A0&amp;row=1908&amp;col=6&amp;number=0.692&amp;sourceID=14","0.692")</f>
        <v>0.692</v>
      </c>
      <c r="G1908" s="4" t="str">
        <f>HYPERLINK("http://141.218.60.56/~jnz1568/getInfo.php?workbook=12_04.xlsx&amp;sheet=A0&amp;row=1908&amp;col=7&amp;number=0&amp;sourceID=14","0")</f>
        <v>0</v>
      </c>
    </row>
    <row r="1909" spans="1:7">
      <c r="A1909" s="3">
        <v>12</v>
      </c>
      <c r="B1909" s="3">
        <v>4</v>
      </c>
      <c r="C1909" s="3">
        <v>58</v>
      </c>
      <c r="D1909" s="3">
        <v>24</v>
      </c>
      <c r="E1909" s="3">
        <v>-287.228</v>
      </c>
      <c r="F1909" s="4" t="str">
        <f>HYPERLINK("http://141.218.60.56/~jnz1568/getInfo.php?workbook=12_04.xlsx&amp;sheet=A0&amp;row=1909&amp;col=6&amp;number=19.7&amp;sourceID=14","19.7")</f>
        <v>19.7</v>
      </c>
      <c r="G1909" s="4" t="str">
        <f>HYPERLINK("http://141.218.60.56/~jnz1568/getInfo.php?workbook=12_04.xlsx&amp;sheet=A0&amp;row=1909&amp;col=7&amp;number=0&amp;sourceID=14","0")</f>
        <v>0</v>
      </c>
    </row>
    <row r="1910" spans="1:7">
      <c r="A1910" s="3">
        <v>12</v>
      </c>
      <c r="B1910" s="3">
        <v>4</v>
      </c>
      <c r="C1910" s="3">
        <v>59</v>
      </c>
      <c r="D1910" s="3">
        <v>24</v>
      </c>
      <c r="E1910" s="3">
        <v>-287.197</v>
      </c>
      <c r="F1910" s="4" t="str">
        <f>HYPERLINK("http://141.218.60.56/~jnz1568/getInfo.php?workbook=12_04.xlsx&amp;sheet=A0&amp;row=1910&amp;col=6&amp;number=9.31e-05&amp;sourceID=14","9.31e-05")</f>
        <v>9.31e-05</v>
      </c>
      <c r="G1910" s="4" t="str">
        <f>HYPERLINK("http://141.218.60.56/~jnz1568/getInfo.php?workbook=12_04.xlsx&amp;sheet=A0&amp;row=1910&amp;col=7&amp;number=0&amp;sourceID=14","0")</f>
        <v>0</v>
      </c>
    </row>
    <row r="1911" spans="1:7">
      <c r="A1911" s="3">
        <v>12</v>
      </c>
      <c r="B1911" s="3">
        <v>4</v>
      </c>
      <c r="C1911" s="3">
        <v>60</v>
      </c>
      <c r="D1911" s="3">
        <v>24</v>
      </c>
      <c r="E1911" s="3">
        <v>-285.128</v>
      </c>
      <c r="F1911" s="4" t="str">
        <f>HYPERLINK("http://141.218.60.56/~jnz1568/getInfo.php?workbook=12_04.xlsx&amp;sheet=A0&amp;row=1911&amp;col=6&amp;number=178000&amp;sourceID=14","178000")</f>
        <v>178000</v>
      </c>
      <c r="G1911" s="4" t="str">
        <f>HYPERLINK("http://141.218.60.56/~jnz1568/getInfo.php?workbook=12_04.xlsx&amp;sheet=A0&amp;row=1911&amp;col=7&amp;number=0&amp;sourceID=14","0")</f>
        <v>0</v>
      </c>
    </row>
    <row r="1912" spans="1:7">
      <c r="A1912" s="3">
        <v>12</v>
      </c>
      <c r="B1912" s="3">
        <v>4</v>
      </c>
      <c r="C1912" s="3">
        <v>61</v>
      </c>
      <c r="D1912" s="3">
        <v>24</v>
      </c>
      <c r="E1912" s="3">
        <v>-214.395</v>
      </c>
      <c r="F1912" s="4" t="str">
        <f>HYPERLINK("http://141.218.60.56/~jnz1568/getInfo.php?workbook=12_04.xlsx&amp;sheet=A0&amp;row=1912&amp;col=6&amp;number=0.213&amp;sourceID=14","0.213")</f>
        <v>0.213</v>
      </c>
      <c r="G1912" s="4" t="str">
        <f>HYPERLINK("http://141.218.60.56/~jnz1568/getInfo.php?workbook=12_04.xlsx&amp;sheet=A0&amp;row=1912&amp;col=7&amp;number=0&amp;sourceID=14","0")</f>
        <v>0</v>
      </c>
    </row>
    <row r="1913" spans="1:7">
      <c r="A1913" s="3">
        <v>12</v>
      </c>
      <c r="B1913" s="3">
        <v>4</v>
      </c>
      <c r="C1913" s="3">
        <v>62</v>
      </c>
      <c r="D1913" s="3">
        <v>24</v>
      </c>
      <c r="E1913" s="3">
        <v>-213.974</v>
      </c>
      <c r="F1913" s="4" t="str">
        <f>HYPERLINK("http://141.218.60.56/~jnz1568/getInfo.php?workbook=12_04.xlsx&amp;sheet=A0&amp;row=1913&amp;col=6&amp;number=8.54&amp;sourceID=14","8.54")</f>
        <v>8.54</v>
      </c>
      <c r="G1913" s="4" t="str">
        <f>HYPERLINK("http://141.218.60.56/~jnz1568/getInfo.php?workbook=12_04.xlsx&amp;sheet=A0&amp;row=1913&amp;col=7&amp;number=0&amp;sourceID=14","0")</f>
        <v>0</v>
      </c>
    </row>
    <row r="1914" spans="1:7">
      <c r="A1914" s="3">
        <v>12</v>
      </c>
      <c r="B1914" s="3">
        <v>4</v>
      </c>
      <c r="C1914" s="3">
        <v>63</v>
      </c>
      <c r="D1914" s="3">
        <v>24</v>
      </c>
      <c r="E1914" s="3">
        <v>-212.618</v>
      </c>
      <c r="F1914" s="4" t="str">
        <f>HYPERLINK("http://141.218.60.56/~jnz1568/getInfo.php?workbook=12_04.xlsx&amp;sheet=A0&amp;row=1914&amp;col=6&amp;number=2.43&amp;sourceID=14","2.43")</f>
        <v>2.43</v>
      </c>
      <c r="G1914" s="4" t="str">
        <f>HYPERLINK("http://141.218.60.56/~jnz1568/getInfo.php?workbook=12_04.xlsx&amp;sheet=A0&amp;row=1914&amp;col=7&amp;number=0&amp;sourceID=14","0")</f>
        <v>0</v>
      </c>
    </row>
    <row r="1915" spans="1:7">
      <c r="A1915" s="3">
        <v>12</v>
      </c>
      <c r="B1915" s="3">
        <v>4</v>
      </c>
      <c r="C1915" s="3">
        <v>64</v>
      </c>
      <c r="D1915" s="3">
        <v>24</v>
      </c>
      <c r="E1915" s="3">
        <v>-209.835</v>
      </c>
      <c r="F1915" s="4" t="str">
        <f>HYPERLINK("http://141.218.60.56/~jnz1568/getInfo.php?workbook=12_04.xlsx&amp;sheet=A0&amp;row=1915&amp;col=6&amp;number=66.5&amp;sourceID=14","66.5")</f>
        <v>66.5</v>
      </c>
      <c r="G1915" s="4" t="str">
        <f>HYPERLINK("http://141.218.60.56/~jnz1568/getInfo.php?workbook=12_04.xlsx&amp;sheet=A0&amp;row=1915&amp;col=7&amp;number=0&amp;sourceID=14","0")</f>
        <v>0</v>
      </c>
    </row>
    <row r="1916" spans="1:7">
      <c r="A1916" s="3">
        <v>12</v>
      </c>
      <c r="B1916" s="3">
        <v>4</v>
      </c>
      <c r="C1916" s="3">
        <v>65</v>
      </c>
      <c r="D1916" s="3">
        <v>24</v>
      </c>
      <c r="E1916" s="3">
        <v>-206.572</v>
      </c>
      <c r="F1916" s="4" t="str">
        <f>HYPERLINK("http://141.218.60.56/~jnz1568/getInfo.php?workbook=12_04.xlsx&amp;sheet=A0&amp;row=1916&amp;col=6&amp;number=11800000000&amp;sourceID=14","11800000000")</f>
        <v>11800000000</v>
      </c>
      <c r="G1916" s="4" t="str">
        <f>HYPERLINK("http://141.218.60.56/~jnz1568/getInfo.php?workbook=12_04.xlsx&amp;sheet=A0&amp;row=1916&amp;col=7&amp;number=0&amp;sourceID=14","0")</f>
        <v>0</v>
      </c>
    </row>
    <row r="1917" spans="1:7">
      <c r="A1917" s="3">
        <v>12</v>
      </c>
      <c r="B1917" s="3">
        <v>4</v>
      </c>
      <c r="C1917" s="3">
        <v>66</v>
      </c>
      <c r="D1917" s="3">
        <v>24</v>
      </c>
      <c r="E1917" s="3">
        <v>-205.489</v>
      </c>
      <c r="F1917" s="4" t="str">
        <f>HYPERLINK("http://141.218.60.56/~jnz1568/getInfo.php?workbook=12_04.xlsx&amp;sheet=A0&amp;row=1917&amp;col=6&amp;number=5670000000&amp;sourceID=14","5670000000")</f>
        <v>5670000000</v>
      </c>
      <c r="G1917" s="4" t="str">
        <f>HYPERLINK("http://141.218.60.56/~jnz1568/getInfo.php?workbook=12_04.xlsx&amp;sheet=A0&amp;row=1917&amp;col=7&amp;number=0&amp;sourceID=14","0")</f>
        <v>0</v>
      </c>
    </row>
    <row r="1918" spans="1:7">
      <c r="A1918" s="3">
        <v>12</v>
      </c>
      <c r="B1918" s="3">
        <v>4</v>
      </c>
      <c r="C1918" s="3">
        <v>67</v>
      </c>
      <c r="D1918" s="3">
        <v>24</v>
      </c>
      <c r="E1918" s="3">
        <v>-205.299</v>
      </c>
      <c r="F1918" s="4" t="str">
        <f>HYPERLINK("http://141.218.60.56/~jnz1568/getInfo.php?workbook=12_04.xlsx&amp;sheet=A0&amp;row=1918&amp;col=6&amp;number=38800000&amp;sourceID=14","38800000")</f>
        <v>38800000</v>
      </c>
      <c r="G1918" s="4" t="str">
        <f>HYPERLINK("http://141.218.60.56/~jnz1568/getInfo.php?workbook=12_04.xlsx&amp;sheet=A0&amp;row=1918&amp;col=7&amp;number=0&amp;sourceID=14","0")</f>
        <v>0</v>
      </c>
    </row>
    <row r="1919" spans="1:7">
      <c r="A1919" s="3">
        <v>12</v>
      </c>
      <c r="B1919" s="3">
        <v>4</v>
      </c>
      <c r="C1919" s="3">
        <v>68</v>
      </c>
      <c r="D1919" s="3">
        <v>24</v>
      </c>
      <c r="E1919" s="3">
        <v>205.47</v>
      </c>
      <c r="F1919" s="4" t="str">
        <f>HYPERLINK("http://141.218.60.56/~jnz1568/getInfo.php?workbook=12_04.xlsx&amp;sheet=A0&amp;row=1919&amp;col=6&amp;number=16.1&amp;sourceID=14","16.1")</f>
        <v>16.1</v>
      </c>
      <c r="G1919" s="4" t="str">
        <f>HYPERLINK("http://141.218.60.56/~jnz1568/getInfo.php?workbook=12_04.xlsx&amp;sheet=A0&amp;row=1919&amp;col=7&amp;number=0&amp;sourceID=14","0")</f>
        <v>0</v>
      </c>
    </row>
    <row r="1920" spans="1:7">
      <c r="A1920" s="3">
        <v>12</v>
      </c>
      <c r="B1920" s="3">
        <v>4</v>
      </c>
      <c r="C1920" s="3">
        <v>69</v>
      </c>
      <c r="D1920" s="3">
        <v>24</v>
      </c>
      <c r="E1920" s="3">
        <v>-203.074</v>
      </c>
      <c r="F1920" s="4" t="str">
        <f>HYPERLINK("http://141.218.60.56/~jnz1568/getInfo.php?workbook=12_04.xlsx&amp;sheet=A0&amp;row=1920&amp;col=6&amp;number=1210000000&amp;sourceID=14","1210000000")</f>
        <v>1210000000</v>
      </c>
      <c r="G1920" s="4" t="str">
        <f>HYPERLINK("http://141.218.60.56/~jnz1568/getInfo.php?workbook=12_04.xlsx&amp;sheet=A0&amp;row=1920&amp;col=7&amp;number=0&amp;sourceID=14","0")</f>
        <v>0</v>
      </c>
    </row>
    <row r="1921" spans="1:7">
      <c r="A1921" s="3">
        <v>12</v>
      </c>
      <c r="B1921" s="3">
        <v>4</v>
      </c>
      <c r="C1921" s="3">
        <v>70</v>
      </c>
      <c r="D1921" s="3">
        <v>24</v>
      </c>
      <c r="E1921" s="3">
        <v>-202.814</v>
      </c>
      <c r="F1921" s="4" t="str">
        <f>HYPERLINK("http://141.218.60.56/~jnz1568/getInfo.php?workbook=12_04.xlsx&amp;sheet=A0&amp;row=1921&amp;col=6&amp;number=879000&amp;sourceID=14","879000")</f>
        <v>879000</v>
      </c>
      <c r="G1921" s="4" t="str">
        <f>HYPERLINK("http://141.218.60.56/~jnz1568/getInfo.php?workbook=12_04.xlsx&amp;sheet=A0&amp;row=1921&amp;col=7&amp;number=0&amp;sourceID=14","0")</f>
        <v>0</v>
      </c>
    </row>
    <row r="1922" spans="1:7">
      <c r="A1922" s="3">
        <v>12</v>
      </c>
      <c r="B1922" s="3">
        <v>4</v>
      </c>
      <c r="C1922" s="3">
        <v>71</v>
      </c>
      <c r="D1922" s="3">
        <v>24</v>
      </c>
      <c r="E1922" s="3">
        <v>-202.023</v>
      </c>
      <c r="F1922" s="4" t="str">
        <f>HYPERLINK("http://141.218.60.56/~jnz1568/getInfo.php?workbook=12_04.xlsx&amp;sheet=A0&amp;row=1922&amp;col=6&amp;number=8750000&amp;sourceID=14","8750000")</f>
        <v>8750000</v>
      </c>
      <c r="G1922" s="4" t="str">
        <f>HYPERLINK("http://141.218.60.56/~jnz1568/getInfo.php?workbook=12_04.xlsx&amp;sheet=A0&amp;row=1922&amp;col=7&amp;number=0&amp;sourceID=14","0")</f>
        <v>0</v>
      </c>
    </row>
    <row r="1923" spans="1:7">
      <c r="A1923" s="3">
        <v>12</v>
      </c>
      <c r="B1923" s="3">
        <v>4</v>
      </c>
      <c r="C1923" s="3">
        <v>72</v>
      </c>
      <c r="D1923" s="3">
        <v>24</v>
      </c>
      <c r="E1923" s="3">
        <v>203.124</v>
      </c>
      <c r="F1923" s="4" t="str">
        <f>HYPERLINK("http://141.218.60.56/~jnz1568/getInfo.php?workbook=12_04.xlsx&amp;sheet=A0&amp;row=1923&amp;col=6&amp;number=181000000&amp;sourceID=14","181000000")</f>
        <v>181000000</v>
      </c>
      <c r="G1923" s="4" t="str">
        <f>HYPERLINK("http://141.218.60.56/~jnz1568/getInfo.php?workbook=12_04.xlsx&amp;sheet=A0&amp;row=1923&amp;col=7&amp;number=0&amp;sourceID=14","0")</f>
        <v>0</v>
      </c>
    </row>
    <row r="1924" spans="1:7">
      <c r="A1924" s="3">
        <v>12</v>
      </c>
      <c r="B1924" s="3">
        <v>4</v>
      </c>
      <c r="C1924" s="3">
        <v>73</v>
      </c>
      <c r="D1924" s="3">
        <v>24</v>
      </c>
      <c r="E1924" s="3">
        <v>-200.603</v>
      </c>
      <c r="F1924" s="4" t="str">
        <f>HYPERLINK("http://141.218.60.56/~jnz1568/getInfo.php?workbook=12_04.xlsx&amp;sheet=A0&amp;row=1924&amp;col=6&amp;number=666000&amp;sourceID=14","666000")</f>
        <v>666000</v>
      </c>
      <c r="G1924" s="4" t="str">
        <f>HYPERLINK("http://141.218.60.56/~jnz1568/getInfo.php?workbook=12_04.xlsx&amp;sheet=A0&amp;row=1924&amp;col=7&amp;number=0&amp;sourceID=14","0")</f>
        <v>0</v>
      </c>
    </row>
    <row r="1925" spans="1:7">
      <c r="A1925" s="3">
        <v>12</v>
      </c>
      <c r="B1925" s="3">
        <v>4</v>
      </c>
      <c r="C1925" s="3">
        <v>74</v>
      </c>
      <c r="D1925" s="3">
        <v>24</v>
      </c>
      <c r="E1925" s="3">
        <v>-199.837</v>
      </c>
      <c r="F1925" s="4" t="str">
        <f>HYPERLINK("http://141.218.60.56/~jnz1568/getInfo.php?workbook=12_04.xlsx&amp;sheet=A0&amp;row=1925&amp;col=6&amp;number=1710&amp;sourceID=14","1710")</f>
        <v>1710</v>
      </c>
      <c r="G1925" s="4" t="str">
        <f>HYPERLINK("http://141.218.60.56/~jnz1568/getInfo.php?workbook=12_04.xlsx&amp;sheet=A0&amp;row=1925&amp;col=7&amp;number=0&amp;sourceID=14","0")</f>
        <v>0</v>
      </c>
    </row>
    <row r="1926" spans="1:7">
      <c r="A1926" s="3">
        <v>12</v>
      </c>
      <c r="B1926" s="3">
        <v>4</v>
      </c>
      <c r="C1926" s="3">
        <v>75</v>
      </c>
      <c r="D1926" s="3">
        <v>24</v>
      </c>
      <c r="E1926" s="3">
        <v>200.735</v>
      </c>
      <c r="F1926" s="4" t="str">
        <f>HYPERLINK("http://141.218.60.56/~jnz1568/getInfo.php?workbook=12_04.xlsx&amp;sheet=A0&amp;row=1926&amp;col=6&amp;number=1780000&amp;sourceID=14","1780000")</f>
        <v>1780000</v>
      </c>
      <c r="G1926" s="4" t="str">
        <f>HYPERLINK("http://141.218.60.56/~jnz1568/getInfo.php?workbook=12_04.xlsx&amp;sheet=A0&amp;row=1926&amp;col=7&amp;number=0&amp;sourceID=14","0")</f>
        <v>0</v>
      </c>
    </row>
    <row r="1927" spans="1:7">
      <c r="A1927" s="3">
        <v>12</v>
      </c>
      <c r="B1927" s="3">
        <v>4</v>
      </c>
      <c r="C1927" s="3">
        <v>76</v>
      </c>
      <c r="D1927" s="3">
        <v>24</v>
      </c>
      <c r="E1927" s="3">
        <v>200.787</v>
      </c>
      <c r="F1927" s="4" t="str">
        <f>HYPERLINK("http://141.218.60.56/~jnz1568/getInfo.php?workbook=12_04.xlsx&amp;sheet=A0&amp;row=1927&amp;col=6&amp;number=15900000000&amp;sourceID=14","15900000000")</f>
        <v>15900000000</v>
      </c>
      <c r="G1927" s="4" t="str">
        <f>HYPERLINK("http://141.218.60.56/~jnz1568/getInfo.php?workbook=12_04.xlsx&amp;sheet=A0&amp;row=1927&amp;col=7&amp;number=0&amp;sourceID=14","0")</f>
        <v>0</v>
      </c>
    </row>
    <row r="1928" spans="1:7">
      <c r="A1928" s="3">
        <v>12</v>
      </c>
      <c r="B1928" s="3">
        <v>4</v>
      </c>
      <c r="C1928" s="3">
        <v>77</v>
      </c>
      <c r="D1928" s="3">
        <v>24</v>
      </c>
      <c r="E1928" s="3">
        <v>-198.972</v>
      </c>
      <c r="F1928" s="4" t="str">
        <f>HYPERLINK("http://141.218.60.56/~jnz1568/getInfo.php?workbook=12_04.xlsx&amp;sheet=A0&amp;row=1928&amp;col=6&amp;number=0.00312&amp;sourceID=14","0.00312")</f>
        <v>0.00312</v>
      </c>
      <c r="G1928" s="4" t="str">
        <f>HYPERLINK("http://141.218.60.56/~jnz1568/getInfo.php?workbook=12_04.xlsx&amp;sheet=A0&amp;row=1928&amp;col=7&amp;number=0&amp;sourceID=14","0")</f>
        <v>0</v>
      </c>
    </row>
    <row r="1929" spans="1:7">
      <c r="A1929" s="3">
        <v>12</v>
      </c>
      <c r="B1929" s="3">
        <v>4</v>
      </c>
      <c r="C1929" s="3">
        <v>78</v>
      </c>
      <c r="D1929" s="3">
        <v>24</v>
      </c>
      <c r="E1929" s="3">
        <v>-197.79</v>
      </c>
      <c r="F1929" s="4" t="str">
        <f>HYPERLINK("http://141.218.60.56/~jnz1568/getInfo.php?workbook=12_04.xlsx&amp;sheet=A0&amp;row=1929&amp;col=6&amp;number=8070&amp;sourceID=14","8070")</f>
        <v>8070</v>
      </c>
      <c r="G1929" s="4" t="str">
        <f>HYPERLINK("http://141.218.60.56/~jnz1568/getInfo.php?workbook=12_04.xlsx&amp;sheet=A0&amp;row=1929&amp;col=7&amp;number=0&amp;sourceID=14","0")</f>
        <v>0</v>
      </c>
    </row>
    <row r="1930" spans="1:7">
      <c r="A1930" s="3">
        <v>12</v>
      </c>
      <c r="B1930" s="3">
        <v>4</v>
      </c>
      <c r="C1930" s="3">
        <v>79</v>
      </c>
      <c r="D1930" s="3">
        <v>24</v>
      </c>
      <c r="E1930" s="3">
        <v>-197.548</v>
      </c>
      <c r="F1930" s="4" t="str">
        <f>HYPERLINK("http://141.218.60.56/~jnz1568/getInfo.php?workbook=12_04.xlsx&amp;sheet=A0&amp;row=1930&amp;col=6&amp;number=161000&amp;sourceID=14","161000")</f>
        <v>161000</v>
      </c>
      <c r="G1930" s="4" t="str">
        <f>HYPERLINK("http://141.218.60.56/~jnz1568/getInfo.php?workbook=12_04.xlsx&amp;sheet=A0&amp;row=1930&amp;col=7&amp;number=0&amp;sourceID=14","0")</f>
        <v>0</v>
      </c>
    </row>
    <row r="1931" spans="1:7">
      <c r="A1931" s="3">
        <v>12</v>
      </c>
      <c r="B1931" s="3">
        <v>4</v>
      </c>
      <c r="C1931" s="3">
        <v>80</v>
      </c>
      <c r="D1931" s="3">
        <v>24</v>
      </c>
      <c r="E1931" s="3">
        <v>-197.065</v>
      </c>
      <c r="F1931" s="4" t="str">
        <f>HYPERLINK("http://141.218.60.56/~jnz1568/getInfo.php?workbook=12_04.xlsx&amp;sheet=A0&amp;row=1931&amp;col=6&amp;number=72.1&amp;sourceID=14","72.1")</f>
        <v>72.1</v>
      </c>
      <c r="G1931" s="4" t="str">
        <f>HYPERLINK("http://141.218.60.56/~jnz1568/getInfo.php?workbook=12_04.xlsx&amp;sheet=A0&amp;row=1931&amp;col=7&amp;number=0&amp;sourceID=14","0")</f>
        <v>0</v>
      </c>
    </row>
    <row r="1932" spans="1:7">
      <c r="A1932" s="3">
        <v>12</v>
      </c>
      <c r="B1932" s="3">
        <v>4</v>
      </c>
      <c r="C1932" s="3">
        <v>81</v>
      </c>
      <c r="D1932" s="3">
        <v>24</v>
      </c>
      <c r="E1932" s="3">
        <v>197.938</v>
      </c>
      <c r="F1932" s="4" t="str">
        <f>HYPERLINK("http://141.218.60.56/~jnz1568/getInfo.php?workbook=12_04.xlsx&amp;sheet=A0&amp;row=1932&amp;col=6&amp;number=3390&amp;sourceID=14","3390")</f>
        <v>3390</v>
      </c>
      <c r="G1932" s="4" t="str">
        <f>HYPERLINK("http://141.218.60.56/~jnz1568/getInfo.php?workbook=12_04.xlsx&amp;sheet=A0&amp;row=1932&amp;col=7&amp;number=0&amp;sourceID=14","0")</f>
        <v>0</v>
      </c>
    </row>
    <row r="1933" spans="1:7">
      <c r="A1933" s="3">
        <v>12</v>
      </c>
      <c r="B1933" s="3">
        <v>4</v>
      </c>
      <c r="C1933" s="3">
        <v>82</v>
      </c>
      <c r="D1933" s="3">
        <v>24</v>
      </c>
      <c r="E1933" s="3">
        <v>-196.925</v>
      </c>
      <c r="F1933" s="4" t="str">
        <f>HYPERLINK("http://141.218.60.56/~jnz1568/getInfo.php?workbook=12_04.xlsx&amp;sheet=A0&amp;row=1933&amp;col=6&amp;number=121000000&amp;sourceID=14","121000000")</f>
        <v>121000000</v>
      </c>
      <c r="G1933" s="4" t="str">
        <f>HYPERLINK("http://141.218.60.56/~jnz1568/getInfo.php?workbook=12_04.xlsx&amp;sheet=A0&amp;row=1933&amp;col=7&amp;number=0&amp;sourceID=14","0")</f>
        <v>0</v>
      </c>
    </row>
    <row r="1934" spans="1:7">
      <c r="A1934" s="3">
        <v>12</v>
      </c>
      <c r="B1934" s="3">
        <v>4</v>
      </c>
      <c r="C1934" s="3">
        <v>83</v>
      </c>
      <c r="D1934" s="3">
        <v>24</v>
      </c>
      <c r="E1934" s="3">
        <v>-196.923</v>
      </c>
      <c r="F1934" s="4" t="str">
        <f>HYPERLINK("http://141.218.60.56/~jnz1568/getInfo.php?workbook=12_04.xlsx&amp;sheet=A0&amp;row=1934&amp;col=6&amp;number=1.26&amp;sourceID=14","1.26")</f>
        <v>1.26</v>
      </c>
      <c r="G1934" s="4" t="str">
        <f>HYPERLINK("http://141.218.60.56/~jnz1568/getInfo.php?workbook=12_04.xlsx&amp;sheet=A0&amp;row=1934&amp;col=7&amp;number=0&amp;sourceID=14","0")</f>
        <v>0</v>
      </c>
    </row>
    <row r="1935" spans="1:7">
      <c r="A1935" s="3">
        <v>12</v>
      </c>
      <c r="B1935" s="3">
        <v>4</v>
      </c>
      <c r="C1935" s="3">
        <v>84</v>
      </c>
      <c r="D1935" s="3">
        <v>24</v>
      </c>
      <c r="E1935" s="3">
        <v>-196.797</v>
      </c>
      <c r="F1935" s="4" t="str">
        <f>HYPERLINK("http://141.218.60.56/~jnz1568/getInfo.php?workbook=12_04.xlsx&amp;sheet=A0&amp;row=1935&amp;col=6&amp;number=4.37&amp;sourceID=14","4.37")</f>
        <v>4.37</v>
      </c>
      <c r="G1935" s="4" t="str">
        <f>HYPERLINK("http://141.218.60.56/~jnz1568/getInfo.php?workbook=12_04.xlsx&amp;sheet=A0&amp;row=1935&amp;col=7&amp;number=0&amp;sourceID=14","0")</f>
        <v>0</v>
      </c>
    </row>
    <row r="1936" spans="1:7">
      <c r="A1936" s="3">
        <v>12</v>
      </c>
      <c r="B1936" s="3">
        <v>4</v>
      </c>
      <c r="C1936" s="3">
        <v>85</v>
      </c>
      <c r="D1936" s="3">
        <v>24</v>
      </c>
      <c r="E1936" s="3">
        <v>197.469</v>
      </c>
      <c r="F1936" s="4" t="str">
        <f>HYPERLINK("http://141.218.60.56/~jnz1568/getInfo.php?workbook=12_04.xlsx&amp;sheet=A0&amp;row=1936&amp;col=6&amp;number=40000&amp;sourceID=14","40000")</f>
        <v>40000</v>
      </c>
      <c r="G1936" s="4" t="str">
        <f>HYPERLINK("http://141.218.60.56/~jnz1568/getInfo.php?workbook=12_04.xlsx&amp;sheet=A0&amp;row=1936&amp;col=7&amp;number=0&amp;sourceID=14","0")</f>
        <v>0</v>
      </c>
    </row>
    <row r="1937" spans="1:7">
      <c r="A1937" s="3">
        <v>12</v>
      </c>
      <c r="B1937" s="3">
        <v>4</v>
      </c>
      <c r="C1937" s="3">
        <v>86</v>
      </c>
      <c r="D1937" s="3">
        <v>24</v>
      </c>
      <c r="E1937" s="3">
        <v>197.266</v>
      </c>
      <c r="F1937" s="4" t="str">
        <f>HYPERLINK("http://141.218.60.56/~jnz1568/getInfo.php?workbook=12_04.xlsx&amp;sheet=A0&amp;row=1937&amp;col=6&amp;number=2740&amp;sourceID=14","2740")</f>
        <v>2740</v>
      </c>
      <c r="G1937" s="4" t="str">
        <f>HYPERLINK("http://141.218.60.56/~jnz1568/getInfo.php?workbook=12_04.xlsx&amp;sheet=A0&amp;row=1937&amp;col=7&amp;number=0&amp;sourceID=14","0")</f>
        <v>0</v>
      </c>
    </row>
    <row r="1938" spans="1:7">
      <c r="A1938" s="3">
        <v>12</v>
      </c>
      <c r="B1938" s="3">
        <v>4</v>
      </c>
      <c r="C1938" s="3">
        <v>87</v>
      </c>
      <c r="D1938" s="3">
        <v>24</v>
      </c>
      <c r="E1938" s="3">
        <v>-195.86</v>
      </c>
      <c r="F1938" s="4" t="str">
        <f>HYPERLINK("http://141.218.60.56/~jnz1568/getInfo.php?workbook=12_04.xlsx&amp;sheet=A0&amp;row=1938&amp;col=6&amp;number=0.00274&amp;sourceID=14","0.00274")</f>
        <v>0.00274</v>
      </c>
      <c r="G1938" s="4" t="str">
        <f>HYPERLINK("http://141.218.60.56/~jnz1568/getInfo.php?workbook=12_04.xlsx&amp;sheet=A0&amp;row=1938&amp;col=7&amp;number=0&amp;sourceID=14","0")</f>
        <v>0</v>
      </c>
    </row>
    <row r="1939" spans="1:7">
      <c r="A1939" s="3">
        <v>12</v>
      </c>
      <c r="B1939" s="3">
        <v>4</v>
      </c>
      <c r="C1939" s="3">
        <v>88</v>
      </c>
      <c r="D1939" s="3">
        <v>24</v>
      </c>
      <c r="E1939" s="3">
        <v>-195.56</v>
      </c>
      <c r="F1939" s="4" t="str">
        <f>HYPERLINK("http://141.218.60.56/~jnz1568/getInfo.php?workbook=12_04.xlsx&amp;sheet=A0&amp;row=1939&amp;col=6&amp;number=20.8&amp;sourceID=14","20.8")</f>
        <v>20.8</v>
      </c>
      <c r="G1939" s="4" t="str">
        <f>HYPERLINK("http://141.218.60.56/~jnz1568/getInfo.php?workbook=12_04.xlsx&amp;sheet=A0&amp;row=1939&amp;col=7&amp;number=0&amp;sourceID=14","0")</f>
        <v>0</v>
      </c>
    </row>
    <row r="1940" spans="1:7">
      <c r="A1940" s="3">
        <v>12</v>
      </c>
      <c r="B1940" s="3">
        <v>4</v>
      </c>
      <c r="C1940" s="3">
        <v>89</v>
      </c>
      <c r="D1940" s="3">
        <v>24</v>
      </c>
      <c r="E1940" s="3">
        <v>-195.383</v>
      </c>
      <c r="F1940" s="4" t="str">
        <f>HYPERLINK("http://141.218.60.56/~jnz1568/getInfo.php?workbook=12_04.xlsx&amp;sheet=A0&amp;row=1940&amp;col=6&amp;number=6.11&amp;sourceID=14","6.11")</f>
        <v>6.11</v>
      </c>
      <c r="G1940" s="4" t="str">
        <f>HYPERLINK("http://141.218.60.56/~jnz1568/getInfo.php?workbook=12_04.xlsx&amp;sheet=A0&amp;row=1940&amp;col=7&amp;number=0&amp;sourceID=14","0")</f>
        <v>0</v>
      </c>
    </row>
    <row r="1941" spans="1:7">
      <c r="A1941" s="3">
        <v>12</v>
      </c>
      <c r="B1941" s="3">
        <v>4</v>
      </c>
      <c r="C1941" s="3">
        <v>90</v>
      </c>
      <c r="D1941" s="3">
        <v>24</v>
      </c>
      <c r="E1941" s="3">
        <v>-194.86</v>
      </c>
      <c r="F1941" s="4" t="str">
        <f>HYPERLINK("http://141.218.60.56/~jnz1568/getInfo.php?workbook=12_04.xlsx&amp;sheet=A0&amp;row=1941&amp;col=6&amp;number=1.37e-07&amp;sourceID=14","1.37e-07")</f>
        <v>1.37e-07</v>
      </c>
      <c r="G1941" s="4" t="str">
        <f>HYPERLINK("http://141.218.60.56/~jnz1568/getInfo.php?workbook=12_04.xlsx&amp;sheet=A0&amp;row=1941&amp;col=7&amp;number=0&amp;sourceID=14","0")</f>
        <v>0</v>
      </c>
    </row>
    <row r="1942" spans="1:7">
      <c r="A1942" s="3">
        <v>12</v>
      </c>
      <c r="B1942" s="3">
        <v>4</v>
      </c>
      <c r="C1942" s="3">
        <v>91</v>
      </c>
      <c r="D1942" s="3">
        <v>24</v>
      </c>
      <c r="E1942" s="3">
        <v>-194.399</v>
      </c>
      <c r="F1942" s="4" t="str">
        <f>HYPERLINK("http://141.218.60.56/~jnz1568/getInfo.php?workbook=12_04.xlsx&amp;sheet=A0&amp;row=1942&amp;col=6&amp;number=5.39&amp;sourceID=14","5.39")</f>
        <v>5.39</v>
      </c>
      <c r="G1942" s="4" t="str">
        <f>HYPERLINK("http://141.218.60.56/~jnz1568/getInfo.php?workbook=12_04.xlsx&amp;sheet=A0&amp;row=1942&amp;col=7&amp;number=0&amp;sourceID=14","0")</f>
        <v>0</v>
      </c>
    </row>
    <row r="1943" spans="1:7">
      <c r="A1943" s="3">
        <v>12</v>
      </c>
      <c r="B1943" s="3">
        <v>4</v>
      </c>
      <c r="C1943" s="3">
        <v>92</v>
      </c>
      <c r="D1943" s="3">
        <v>24</v>
      </c>
      <c r="E1943" s="3">
        <v>-194.29</v>
      </c>
      <c r="F1943" s="4" t="str">
        <f>HYPERLINK("http://141.218.60.56/~jnz1568/getInfo.php?workbook=12_04.xlsx&amp;sheet=A0&amp;row=1943&amp;col=6&amp;number=84.9&amp;sourceID=14","84.9")</f>
        <v>84.9</v>
      </c>
      <c r="G1943" s="4" t="str">
        <f>HYPERLINK("http://141.218.60.56/~jnz1568/getInfo.php?workbook=12_04.xlsx&amp;sheet=A0&amp;row=1943&amp;col=7&amp;number=0&amp;sourceID=14","0")</f>
        <v>0</v>
      </c>
    </row>
    <row r="1944" spans="1:7">
      <c r="A1944" s="3">
        <v>12</v>
      </c>
      <c r="B1944" s="3">
        <v>4</v>
      </c>
      <c r="C1944" s="3">
        <v>93</v>
      </c>
      <c r="D1944" s="3">
        <v>24</v>
      </c>
      <c r="E1944" s="3">
        <v>-194.191</v>
      </c>
      <c r="F1944" s="4" t="str">
        <f>HYPERLINK("http://141.218.60.56/~jnz1568/getInfo.php?workbook=12_04.xlsx&amp;sheet=A0&amp;row=1944&amp;col=6&amp;number=164000000&amp;sourceID=14","164000000")</f>
        <v>164000000</v>
      </c>
      <c r="G1944" s="4" t="str">
        <f>HYPERLINK("http://141.218.60.56/~jnz1568/getInfo.php?workbook=12_04.xlsx&amp;sheet=A0&amp;row=1944&amp;col=7&amp;number=0&amp;sourceID=14","0")</f>
        <v>0</v>
      </c>
    </row>
    <row r="1945" spans="1:7">
      <c r="A1945" s="3">
        <v>12</v>
      </c>
      <c r="B1945" s="3">
        <v>4</v>
      </c>
      <c r="C1945" s="3">
        <v>94</v>
      </c>
      <c r="D1945" s="3">
        <v>24</v>
      </c>
      <c r="E1945" s="3">
        <v>-193.827</v>
      </c>
      <c r="F1945" s="4" t="str">
        <f>HYPERLINK("http://141.218.60.56/~jnz1568/getInfo.php?workbook=12_04.xlsx&amp;sheet=A0&amp;row=1945&amp;col=6&amp;number=3660000&amp;sourceID=14","3660000")</f>
        <v>3660000</v>
      </c>
      <c r="G1945" s="4" t="str">
        <f>HYPERLINK("http://141.218.60.56/~jnz1568/getInfo.php?workbook=12_04.xlsx&amp;sheet=A0&amp;row=1945&amp;col=7&amp;number=0&amp;sourceID=14","0")</f>
        <v>0</v>
      </c>
    </row>
    <row r="1946" spans="1:7">
      <c r="A1946" s="3">
        <v>12</v>
      </c>
      <c r="B1946" s="3">
        <v>4</v>
      </c>
      <c r="C1946" s="3">
        <v>95</v>
      </c>
      <c r="D1946" s="3">
        <v>24</v>
      </c>
      <c r="E1946" s="3">
        <v>-193.589</v>
      </c>
      <c r="F1946" s="4" t="str">
        <f>HYPERLINK("http://141.218.60.56/~jnz1568/getInfo.php?workbook=12_04.xlsx&amp;sheet=A0&amp;row=1946&amp;col=6&amp;number=8720000000&amp;sourceID=14","8720000000")</f>
        <v>8720000000</v>
      </c>
      <c r="G1946" s="4" t="str">
        <f>HYPERLINK("http://141.218.60.56/~jnz1568/getInfo.php?workbook=12_04.xlsx&amp;sheet=A0&amp;row=1946&amp;col=7&amp;number=0&amp;sourceID=14","0")</f>
        <v>0</v>
      </c>
    </row>
    <row r="1947" spans="1:7">
      <c r="A1947" s="3">
        <v>12</v>
      </c>
      <c r="B1947" s="3">
        <v>4</v>
      </c>
      <c r="C1947" s="3">
        <v>96</v>
      </c>
      <c r="D1947" s="3">
        <v>24</v>
      </c>
      <c r="E1947" s="3">
        <v>-193.369</v>
      </c>
      <c r="F1947" s="4" t="str">
        <f>HYPERLINK("http://141.218.60.56/~jnz1568/getInfo.php?workbook=12_04.xlsx&amp;sheet=A0&amp;row=1947&amp;col=6&amp;number=431000000&amp;sourceID=14","431000000")</f>
        <v>431000000</v>
      </c>
      <c r="G1947" s="4" t="str">
        <f>HYPERLINK("http://141.218.60.56/~jnz1568/getInfo.php?workbook=12_04.xlsx&amp;sheet=A0&amp;row=1947&amp;col=7&amp;number=0&amp;sourceID=14","0")</f>
        <v>0</v>
      </c>
    </row>
    <row r="1948" spans="1:7">
      <c r="A1948" s="3">
        <v>12</v>
      </c>
      <c r="B1948" s="3">
        <v>4</v>
      </c>
      <c r="C1948" s="3">
        <v>97</v>
      </c>
      <c r="D1948" s="3">
        <v>24</v>
      </c>
      <c r="E1948" s="3">
        <v>194.731</v>
      </c>
      <c r="F1948" s="4" t="str">
        <f>HYPERLINK("http://141.218.60.56/~jnz1568/getInfo.php?workbook=12_04.xlsx&amp;sheet=A0&amp;row=1948&amp;col=6&amp;number=2350000&amp;sourceID=14","2350000")</f>
        <v>2350000</v>
      </c>
      <c r="G1948" s="4" t="str">
        <f>HYPERLINK("http://141.218.60.56/~jnz1568/getInfo.php?workbook=12_04.xlsx&amp;sheet=A0&amp;row=1948&amp;col=7&amp;number=0&amp;sourceID=14","0")</f>
        <v>0</v>
      </c>
    </row>
    <row r="1949" spans="1:7">
      <c r="A1949" s="3">
        <v>12</v>
      </c>
      <c r="B1949" s="3">
        <v>4</v>
      </c>
      <c r="C1949" s="3">
        <v>98</v>
      </c>
      <c r="D1949" s="3">
        <v>24</v>
      </c>
      <c r="E1949" s="3">
        <v>194.073</v>
      </c>
      <c r="F1949" s="4" t="str">
        <f>HYPERLINK("http://141.218.60.56/~jnz1568/getInfo.php?workbook=12_04.xlsx&amp;sheet=A0&amp;row=1949&amp;col=6&amp;number=2410000&amp;sourceID=14","2410000")</f>
        <v>2410000</v>
      </c>
      <c r="G1949" s="4" t="str">
        <f>HYPERLINK("http://141.218.60.56/~jnz1568/getInfo.php?workbook=12_04.xlsx&amp;sheet=A0&amp;row=1949&amp;col=7&amp;number=0&amp;sourceID=14","0")</f>
        <v>0</v>
      </c>
    </row>
    <row r="1950" spans="1:7">
      <c r="A1950" s="3">
        <v>12</v>
      </c>
      <c r="B1950" s="3">
        <v>4</v>
      </c>
      <c r="C1950" s="3">
        <v>26</v>
      </c>
      <c r="D1950" s="3">
        <v>25</v>
      </c>
      <c r="E1950" s="3">
        <v>13605.467</v>
      </c>
      <c r="F1950" s="4" t="str">
        <f>HYPERLINK("http://141.218.60.56/~jnz1568/getInfo.php?workbook=12_04.xlsx&amp;sheet=A0&amp;row=1950&amp;col=6&amp;number=0.21&amp;sourceID=14","0.21")</f>
        <v>0.21</v>
      </c>
      <c r="G1950" s="4" t="str">
        <f>HYPERLINK("http://141.218.60.56/~jnz1568/getInfo.php?workbook=12_04.xlsx&amp;sheet=A0&amp;row=1950&amp;col=7&amp;number=0&amp;sourceID=14","0")</f>
        <v>0</v>
      </c>
    </row>
    <row r="1951" spans="1:7">
      <c r="A1951" s="3">
        <v>12</v>
      </c>
      <c r="B1951" s="3">
        <v>4</v>
      </c>
      <c r="C1951" s="3">
        <v>27</v>
      </c>
      <c r="D1951" s="3">
        <v>25</v>
      </c>
      <c r="E1951" s="3">
        <v>11976.07</v>
      </c>
      <c r="F1951" s="4" t="str">
        <f>HYPERLINK("http://141.218.60.56/~jnz1568/getInfo.php?workbook=12_04.xlsx&amp;sheet=A0&amp;row=1951&amp;col=6&amp;number=0.553&amp;sourceID=14","0.553")</f>
        <v>0.553</v>
      </c>
      <c r="G1951" s="4" t="str">
        <f>HYPERLINK("http://141.218.60.56/~jnz1568/getInfo.php?workbook=12_04.xlsx&amp;sheet=A0&amp;row=1951&amp;col=7&amp;number=0&amp;sourceID=14","0")</f>
        <v>0</v>
      </c>
    </row>
    <row r="1952" spans="1:7">
      <c r="A1952" s="3">
        <v>12</v>
      </c>
      <c r="B1952" s="3">
        <v>4</v>
      </c>
      <c r="C1952" s="3">
        <v>28</v>
      </c>
      <c r="D1952" s="3">
        <v>25</v>
      </c>
      <c r="E1952" s="3">
        <v>9216.606</v>
      </c>
      <c r="F1952" s="4" t="str">
        <f>HYPERLINK("http://141.218.60.56/~jnz1568/getInfo.php?workbook=12_04.xlsx&amp;sheet=A0&amp;row=1952&amp;col=6&amp;number=1.43e-09&amp;sourceID=14","1.43e-09")</f>
        <v>1.43e-09</v>
      </c>
      <c r="G1952" s="4" t="str">
        <f>HYPERLINK("http://141.218.60.56/~jnz1568/getInfo.php?workbook=12_04.xlsx&amp;sheet=A0&amp;row=1952&amp;col=7&amp;number=0&amp;sourceID=14","0")</f>
        <v>0</v>
      </c>
    </row>
    <row r="1953" spans="1:7">
      <c r="A1953" s="3">
        <v>12</v>
      </c>
      <c r="B1953" s="3">
        <v>4</v>
      </c>
      <c r="C1953" s="3">
        <v>29</v>
      </c>
      <c r="D1953" s="3">
        <v>25</v>
      </c>
      <c r="E1953" s="3">
        <v>4492.371</v>
      </c>
      <c r="F1953" s="4" t="str">
        <f>HYPERLINK("http://141.218.60.56/~jnz1568/getInfo.php?workbook=12_04.xlsx&amp;sheet=A0&amp;row=1953&amp;col=6&amp;number=1.95&amp;sourceID=14","1.95")</f>
        <v>1.95</v>
      </c>
      <c r="G1953" s="4" t="str">
        <f>HYPERLINK("http://141.218.60.56/~jnz1568/getInfo.php?workbook=12_04.xlsx&amp;sheet=A0&amp;row=1953&amp;col=7&amp;number=0&amp;sourceID=14","0")</f>
        <v>0</v>
      </c>
    </row>
    <row r="1954" spans="1:7">
      <c r="A1954" s="3">
        <v>12</v>
      </c>
      <c r="B1954" s="3">
        <v>4</v>
      </c>
      <c r="C1954" s="3">
        <v>30</v>
      </c>
      <c r="D1954" s="3">
        <v>25</v>
      </c>
      <c r="E1954" s="3">
        <v>-3335.675</v>
      </c>
      <c r="F1954" s="4" t="str">
        <f>HYPERLINK("http://141.218.60.56/~jnz1568/getInfo.php?workbook=12_04.xlsx&amp;sheet=A0&amp;row=1954&amp;col=6&amp;number=0.579&amp;sourceID=14","0.579")</f>
        <v>0.579</v>
      </c>
      <c r="G1954" s="4" t="str">
        <f>HYPERLINK("http://141.218.60.56/~jnz1568/getInfo.php?workbook=12_04.xlsx&amp;sheet=A0&amp;row=1954&amp;col=7&amp;number=0&amp;sourceID=14","0")</f>
        <v>0</v>
      </c>
    </row>
    <row r="1955" spans="1:7">
      <c r="A1955" s="3">
        <v>12</v>
      </c>
      <c r="B1955" s="3">
        <v>4</v>
      </c>
      <c r="C1955" s="3">
        <v>31</v>
      </c>
      <c r="D1955" s="3">
        <v>25</v>
      </c>
      <c r="E1955" s="3">
        <v>3271.187</v>
      </c>
      <c r="F1955" s="4" t="str">
        <f>HYPERLINK("http://141.218.60.56/~jnz1568/getInfo.php?workbook=12_04.xlsx&amp;sheet=A0&amp;row=1955&amp;col=6&amp;number=0.0224&amp;sourceID=14","0.0224")</f>
        <v>0.0224</v>
      </c>
      <c r="G1955" s="4" t="str">
        <f>HYPERLINK("http://141.218.60.56/~jnz1568/getInfo.php?workbook=12_04.xlsx&amp;sheet=A0&amp;row=1955&amp;col=7&amp;number=0&amp;sourceID=14","0")</f>
        <v>0</v>
      </c>
    </row>
    <row r="1956" spans="1:7">
      <c r="A1956" s="3">
        <v>12</v>
      </c>
      <c r="B1956" s="3">
        <v>4</v>
      </c>
      <c r="C1956" s="3">
        <v>32</v>
      </c>
      <c r="D1956" s="3">
        <v>25</v>
      </c>
      <c r="E1956" s="3">
        <v>3137.753</v>
      </c>
      <c r="F1956" s="4" t="str">
        <f>HYPERLINK("http://141.218.60.56/~jnz1568/getInfo.php?workbook=12_04.xlsx&amp;sheet=A0&amp;row=1956&amp;col=6&amp;number=0.435&amp;sourceID=14","0.435")</f>
        <v>0.435</v>
      </c>
      <c r="G1956" s="4" t="str">
        <f>HYPERLINK("http://141.218.60.56/~jnz1568/getInfo.php?workbook=12_04.xlsx&amp;sheet=A0&amp;row=1956&amp;col=7&amp;number=0&amp;sourceID=14","0")</f>
        <v>0</v>
      </c>
    </row>
    <row r="1957" spans="1:7">
      <c r="A1957" s="3">
        <v>12</v>
      </c>
      <c r="B1957" s="3">
        <v>4</v>
      </c>
      <c r="C1957" s="3">
        <v>33</v>
      </c>
      <c r="D1957" s="3">
        <v>25</v>
      </c>
      <c r="E1957" s="3">
        <v>-2617.463</v>
      </c>
      <c r="F1957" s="4" t="str">
        <f>HYPERLINK("http://141.218.60.56/~jnz1568/getInfo.php?workbook=12_04.xlsx&amp;sheet=A0&amp;row=1957&amp;col=6&amp;number=17100000&amp;sourceID=14","17100000")</f>
        <v>17100000</v>
      </c>
      <c r="G1957" s="4" t="str">
        <f>HYPERLINK("http://141.218.60.56/~jnz1568/getInfo.php?workbook=12_04.xlsx&amp;sheet=A0&amp;row=1957&amp;col=7&amp;number=0&amp;sourceID=14","0")</f>
        <v>0</v>
      </c>
    </row>
    <row r="1958" spans="1:7">
      <c r="A1958" s="3">
        <v>12</v>
      </c>
      <c r="B1958" s="3">
        <v>4</v>
      </c>
      <c r="C1958" s="3">
        <v>34</v>
      </c>
      <c r="D1958" s="3">
        <v>25</v>
      </c>
      <c r="E1958" s="3">
        <v>-2484.415</v>
      </c>
      <c r="F1958" s="4" t="str">
        <f>HYPERLINK("http://141.218.60.56/~jnz1568/getInfo.php?workbook=12_04.xlsx&amp;sheet=A0&amp;row=1958&amp;col=6&amp;number=3.99e-06&amp;sourceID=14","3.99e-06")</f>
        <v>3.99e-06</v>
      </c>
      <c r="G1958" s="4" t="str">
        <f>HYPERLINK("http://141.218.60.56/~jnz1568/getInfo.php?workbook=12_04.xlsx&amp;sheet=A0&amp;row=1958&amp;col=7&amp;number=0&amp;sourceID=14","0")</f>
        <v>0</v>
      </c>
    </row>
    <row r="1959" spans="1:7">
      <c r="A1959" s="3">
        <v>12</v>
      </c>
      <c r="B1959" s="3">
        <v>4</v>
      </c>
      <c r="C1959" s="3">
        <v>35</v>
      </c>
      <c r="D1959" s="3">
        <v>25</v>
      </c>
      <c r="E1959" s="3">
        <v>2408.482</v>
      </c>
      <c r="F1959" s="4" t="str">
        <f>HYPERLINK("http://141.218.60.56/~jnz1568/getInfo.php?workbook=12_04.xlsx&amp;sheet=A0&amp;row=1959&amp;col=6&amp;number=31200000&amp;sourceID=14","31200000")</f>
        <v>31200000</v>
      </c>
      <c r="G1959" s="4" t="str">
        <f>HYPERLINK("http://141.218.60.56/~jnz1568/getInfo.php?workbook=12_04.xlsx&amp;sheet=A0&amp;row=1959&amp;col=7&amp;number=0&amp;sourceID=14","0")</f>
        <v>0</v>
      </c>
    </row>
    <row r="1960" spans="1:7">
      <c r="A1960" s="3">
        <v>12</v>
      </c>
      <c r="B1960" s="3">
        <v>4</v>
      </c>
      <c r="C1960" s="3">
        <v>36</v>
      </c>
      <c r="D1960" s="3">
        <v>25</v>
      </c>
      <c r="E1960" s="3">
        <v>-2365.972</v>
      </c>
      <c r="F1960" s="4" t="str">
        <f>HYPERLINK("http://141.218.60.56/~jnz1568/getInfo.php?workbook=12_04.xlsx&amp;sheet=A0&amp;row=1960&amp;col=6&amp;number=1.07e-11&amp;sourceID=14","1.07e-11")</f>
        <v>1.07e-11</v>
      </c>
      <c r="G1960" s="4" t="str">
        <f>HYPERLINK("http://141.218.60.56/~jnz1568/getInfo.php?workbook=12_04.xlsx&amp;sheet=A0&amp;row=1960&amp;col=7&amp;number=0&amp;sourceID=14","0")</f>
        <v>0</v>
      </c>
    </row>
    <row r="1961" spans="1:7">
      <c r="A1961" s="3">
        <v>12</v>
      </c>
      <c r="B1961" s="3">
        <v>4</v>
      </c>
      <c r="C1961" s="3">
        <v>37</v>
      </c>
      <c r="D1961" s="3">
        <v>25</v>
      </c>
      <c r="E1961" s="3">
        <v>2094.245</v>
      </c>
      <c r="F1961" s="4" t="str">
        <f>HYPERLINK("http://141.218.60.56/~jnz1568/getInfo.php?workbook=12_04.xlsx&amp;sheet=A0&amp;row=1961&amp;col=6&amp;number=14.3&amp;sourceID=14","14.3")</f>
        <v>14.3</v>
      </c>
      <c r="G1961" s="4" t="str">
        <f>HYPERLINK("http://141.218.60.56/~jnz1568/getInfo.php?workbook=12_04.xlsx&amp;sheet=A0&amp;row=1961&amp;col=7&amp;number=0&amp;sourceID=14","0")</f>
        <v>0</v>
      </c>
    </row>
    <row r="1962" spans="1:7">
      <c r="A1962" s="3">
        <v>12</v>
      </c>
      <c r="B1962" s="3">
        <v>4</v>
      </c>
      <c r="C1962" s="3">
        <v>38</v>
      </c>
      <c r="D1962" s="3">
        <v>25</v>
      </c>
      <c r="E1962" s="3">
        <v>1689.192</v>
      </c>
      <c r="F1962" s="4" t="str">
        <f>HYPERLINK("http://141.218.60.56/~jnz1568/getInfo.php?workbook=12_04.xlsx&amp;sheet=A0&amp;row=1962&amp;col=6&amp;number=3540000&amp;sourceID=14","3540000")</f>
        <v>3540000</v>
      </c>
      <c r="G1962" s="4" t="str">
        <f>HYPERLINK("http://141.218.60.56/~jnz1568/getInfo.php?workbook=12_04.xlsx&amp;sheet=A0&amp;row=1962&amp;col=7&amp;number=0&amp;sourceID=14","0")</f>
        <v>0</v>
      </c>
    </row>
    <row r="1963" spans="1:7">
      <c r="A1963" s="3">
        <v>12</v>
      </c>
      <c r="B1963" s="3">
        <v>4</v>
      </c>
      <c r="C1963" s="3">
        <v>39</v>
      </c>
      <c r="D1963" s="3">
        <v>25</v>
      </c>
      <c r="E1963" s="3">
        <v>1673.924</v>
      </c>
      <c r="F1963" s="4" t="str">
        <f>HYPERLINK("http://141.218.60.56/~jnz1568/getInfo.php?workbook=12_04.xlsx&amp;sheet=A0&amp;row=1963&amp;col=6&amp;number=227000&amp;sourceID=14","227000")</f>
        <v>227000</v>
      </c>
      <c r="G1963" s="4" t="str">
        <f>HYPERLINK("http://141.218.60.56/~jnz1568/getInfo.php?workbook=12_04.xlsx&amp;sheet=A0&amp;row=1963&amp;col=7&amp;number=0&amp;sourceID=14","0")</f>
        <v>0</v>
      </c>
    </row>
    <row r="1964" spans="1:7">
      <c r="A1964" s="3">
        <v>12</v>
      </c>
      <c r="B1964" s="3">
        <v>4</v>
      </c>
      <c r="C1964" s="3">
        <v>40</v>
      </c>
      <c r="D1964" s="3">
        <v>25</v>
      </c>
      <c r="E1964" s="3">
        <v>1646.365</v>
      </c>
      <c r="F1964" s="4" t="str">
        <f>HYPERLINK("http://141.218.60.56/~jnz1568/getInfo.php?workbook=12_04.xlsx&amp;sheet=A0&amp;row=1964&amp;col=6&amp;number=0.00258&amp;sourceID=14","0.00258")</f>
        <v>0.00258</v>
      </c>
      <c r="G1964" s="4" t="str">
        <f>HYPERLINK("http://141.218.60.56/~jnz1568/getInfo.php?workbook=12_04.xlsx&amp;sheet=A0&amp;row=1964&amp;col=7&amp;number=0&amp;sourceID=14","0")</f>
        <v>0</v>
      </c>
    </row>
    <row r="1965" spans="1:7">
      <c r="A1965" s="3">
        <v>12</v>
      </c>
      <c r="B1965" s="3">
        <v>4</v>
      </c>
      <c r="C1965" s="3">
        <v>41</v>
      </c>
      <c r="D1965" s="3">
        <v>25</v>
      </c>
      <c r="E1965" s="3">
        <v>1490.316</v>
      </c>
      <c r="F1965" s="4" t="str">
        <f>HYPERLINK("http://141.218.60.56/~jnz1568/getInfo.php?workbook=12_04.xlsx&amp;sheet=A0&amp;row=1965&amp;col=6&amp;number=38800&amp;sourceID=14","38800")</f>
        <v>38800</v>
      </c>
      <c r="G1965" s="4" t="str">
        <f>HYPERLINK("http://141.218.60.56/~jnz1568/getInfo.php?workbook=12_04.xlsx&amp;sheet=A0&amp;row=1965&amp;col=7&amp;number=0&amp;sourceID=14","0")</f>
        <v>0</v>
      </c>
    </row>
    <row r="1966" spans="1:7">
      <c r="A1966" s="3">
        <v>12</v>
      </c>
      <c r="B1966" s="3">
        <v>4</v>
      </c>
      <c r="C1966" s="3">
        <v>42</v>
      </c>
      <c r="D1966" s="3">
        <v>25</v>
      </c>
      <c r="E1966" s="3">
        <v>1468.647</v>
      </c>
      <c r="F1966" s="4" t="str">
        <f>HYPERLINK("http://141.218.60.56/~jnz1568/getInfo.php?workbook=12_04.xlsx&amp;sheet=A0&amp;row=1966&amp;col=6&amp;number=2780000&amp;sourceID=14","2780000")</f>
        <v>2780000</v>
      </c>
      <c r="G1966" s="4" t="str">
        <f>HYPERLINK("http://141.218.60.56/~jnz1568/getInfo.php?workbook=12_04.xlsx&amp;sheet=A0&amp;row=1966&amp;col=7&amp;number=0&amp;sourceID=14","0")</f>
        <v>0</v>
      </c>
    </row>
    <row r="1967" spans="1:7">
      <c r="A1967" s="3">
        <v>12</v>
      </c>
      <c r="B1967" s="3">
        <v>4</v>
      </c>
      <c r="C1967" s="3">
        <v>43</v>
      </c>
      <c r="D1967" s="3">
        <v>25</v>
      </c>
      <c r="E1967" s="3">
        <v>1457.516</v>
      </c>
      <c r="F1967" s="4" t="str">
        <f>HYPERLINK("http://141.218.60.56/~jnz1568/getInfo.php?workbook=12_04.xlsx&amp;sheet=A0&amp;row=1967&amp;col=6&amp;number=765000&amp;sourceID=14","765000")</f>
        <v>765000</v>
      </c>
      <c r="G1967" s="4" t="str">
        <f>HYPERLINK("http://141.218.60.56/~jnz1568/getInfo.php?workbook=12_04.xlsx&amp;sheet=A0&amp;row=1967&amp;col=7&amp;number=0&amp;sourceID=14","0")</f>
        <v>0</v>
      </c>
    </row>
    <row r="1968" spans="1:7">
      <c r="A1968" s="3">
        <v>12</v>
      </c>
      <c r="B1968" s="3">
        <v>4</v>
      </c>
      <c r="C1968" s="3">
        <v>44</v>
      </c>
      <c r="D1968" s="3">
        <v>25</v>
      </c>
      <c r="E1968" s="3">
        <v>-1191.003</v>
      </c>
      <c r="F1968" s="4" t="str">
        <f>HYPERLINK("http://141.218.60.56/~jnz1568/getInfo.php?workbook=12_04.xlsx&amp;sheet=A0&amp;row=1968&amp;col=6&amp;number=0.0491&amp;sourceID=14","0.0491")</f>
        <v>0.0491</v>
      </c>
      <c r="G1968" s="4" t="str">
        <f>HYPERLINK("http://141.218.60.56/~jnz1568/getInfo.php?workbook=12_04.xlsx&amp;sheet=A0&amp;row=1968&amp;col=7&amp;number=0&amp;sourceID=14","0")</f>
        <v>0</v>
      </c>
    </row>
    <row r="1969" spans="1:7">
      <c r="A1969" s="3">
        <v>12</v>
      </c>
      <c r="B1969" s="3">
        <v>4</v>
      </c>
      <c r="C1969" s="3">
        <v>45</v>
      </c>
      <c r="D1969" s="3">
        <v>25</v>
      </c>
      <c r="E1969" s="3">
        <v>1155.137</v>
      </c>
      <c r="F1969" s="4" t="str">
        <f>HYPERLINK("http://141.218.60.56/~jnz1568/getInfo.php?workbook=12_04.xlsx&amp;sheet=A0&amp;row=1969&amp;col=6&amp;number=0.00282&amp;sourceID=14","0.00282")</f>
        <v>0.00282</v>
      </c>
      <c r="G1969" s="4" t="str">
        <f>HYPERLINK("http://141.218.60.56/~jnz1568/getInfo.php?workbook=12_04.xlsx&amp;sheet=A0&amp;row=1969&amp;col=7&amp;number=0&amp;sourceID=14","0")</f>
        <v>0</v>
      </c>
    </row>
    <row r="1970" spans="1:7">
      <c r="A1970" s="3">
        <v>12</v>
      </c>
      <c r="B1970" s="3">
        <v>4</v>
      </c>
      <c r="C1970" s="3">
        <v>46</v>
      </c>
      <c r="D1970" s="3">
        <v>25</v>
      </c>
      <c r="E1970" s="3">
        <v>1070.207</v>
      </c>
      <c r="F1970" s="4" t="str">
        <f>HYPERLINK("http://141.218.60.56/~jnz1568/getInfo.php?workbook=12_04.xlsx&amp;sheet=A0&amp;row=1970&amp;col=6&amp;number=383000000&amp;sourceID=14","383000000")</f>
        <v>383000000</v>
      </c>
      <c r="G1970" s="4" t="str">
        <f>HYPERLINK("http://141.218.60.56/~jnz1568/getInfo.php?workbook=12_04.xlsx&amp;sheet=A0&amp;row=1970&amp;col=7&amp;number=0&amp;sourceID=14","0")</f>
        <v>0</v>
      </c>
    </row>
    <row r="1971" spans="1:7">
      <c r="A1971" s="3">
        <v>12</v>
      </c>
      <c r="B1971" s="3">
        <v>4</v>
      </c>
      <c r="C1971" s="3">
        <v>47</v>
      </c>
      <c r="D1971" s="3">
        <v>25</v>
      </c>
      <c r="E1971" s="3">
        <v>-342.036</v>
      </c>
      <c r="F1971" s="4" t="str">
        <f>HYPERLINK("http://141.218.60.56/~jnz1568/getInfo.php?workbook=12_04.xlsx&amp;sheet=A0&amp;row=1971&amp;col=6&amp;number=2.81&amp;sourceID=14","2.81")</f>
        <v>2.81</v>
      </c>
      <c r="G1971" s="4" t="str">
        <f>HYPERLINK("http://141.218.60.56/~jnz1568/getInfo.php?workbook=12_04.xlsx&amp;sheet=A0&amp;row=1971&amp;col=7&amp;number=0&amp;sourceID=14","0")</f>
        <v>0</v>
      </c>
    </row>
    <row r="1972" spans="1:7">
      <c r="A1972" s="3">
        <v>12</v>
      </c>
      <c r="B1972" s="3">
        <v>4</v>
      </c>
      <c r="C1972" s="3">
        <v>48</v>
      </c>
      <c r="D1972" s="3">
        <v>25</v>
      </c>
      <c r="E1972" s="3">
        <v>-330.648</v>
      </c>
      <c r="F1972" s="4" t="str">
        <f>HYPERLINK("http://141.218.60.56/~jnz1568/getInfo.php?workbook=12_04.xlsx&amp;sheet=A0&amp;row=1972&amp;col=6&amp;number=0.0381&amp;sourceID=14","0.0381")</f>
        <v>0.0381</v>
      </c>
      <c r="G1972" s="4" t="str">
        <f>HYPERLINK("http://141.218.60.56/~jnz1568/getInfo.php?workbook=12_04.xlsx&amp;sheet=A0&amp;row=1972&amp;col=7&amp;number=0&amp;sourceID=14","0")</f>
        <v>0</v>
      </c>
    </row>
    <row r="1973" spans="1:7">
      <c r="A1973" s="3">
        <v>12</v>
      </c>
      <c r="B1973" s="3">
        <v>4</v>
      </c>
      <c r="C1973" s="3">
        <v>49</v>
      </c>
      <c r="D1973" s="3">
        <v>25</v>
      </c>
      <c r="E1973" s="3">
        <v>-315.494</v>
      </c>
      <c r="F1973" s="4" t="str">
        <f>HYPERLINK("http://141.218.60.56/~jnz1568/getInfo.php?workbook=12_04.xlsx&amp;sheet=A0&amp;row=1973&amp;col=6&amp;number=1480000&amp;sourceID=14","1480000")</f>
        <v>1480000</v>
      </c>
      <c r="G1973" s="4" t="str">
        <f>HYPERLINK("http://141.218.60.56/~jnz1568/getInfo.php?workbook=12_04.xlsx&amp;sheet=A0&amp;row=1973&amp;col=7&amp;number=0&amp;sourceID=14","0")</f>
        <v>0</v>
      </c>
    </row>
    <row r="1974" spans="1:7">
      <c r="A1974" s="3">
        <v>12</v>
      </c>
      <c r="B1974" s="3">
        <v>4</v>
      </c>
      <c r="C1974" s="3">
        <v>50</v>
      </c>
      <c r="D1974" s="3">
        <v>25</v>
      </c>
      <c r="E1974" s="3">
        <v>-315.378</v>
      </c>
      <c r="F1974" s="4" t="str">
        <f>HYPERLINK("http://141.218.60.56/~jnz1568/getInfo.php?workbook=12_04.xlsx&amp;sheet=A0&amp;row=1974&amp;col=6&amp;number=722000&amp;sourceID=14","722000")</f>
        <v>722000</v>
      </c>
      <c r="G1974" s="4" t="str">
        <f>HYPERLINK("http://141.218.60.56/~jnz1568/getInfo.php?workbook=12_04.xlsx&amp;sheet=A0&amp;row=1974&amp;col=7&amp;number=0&amp;sourceID=14","0")</f>
        <v>0</v>
      </c>
    </row>
    <row r="1975" spans="1:7">
      <c r="A1975" s="3">
        <v>12</v>
      </c>
      <c r="B1975" s="3">
        <v>4</v>
      </c>
      <c r="C1975" s="3">
        <v>51</v>
      </c>
      <c r="D1975" s="3">
        <v>25</v>
      </c>
      <c r="E1975" s="3">
        <v>-315.118</v>
      </c>
      <c r="F1975" s="4" t="str">
        <f>HYPERLINK("http://141.218.60.56/~jnz1568/getInfo.php?workbook=12_04.xlsx&amp;sheet=A0&amp;row=1975&amp;col=6&amp;number=576000&amp;sourceID=14","576000")</f>
        <v>576000</v>
      </c>
      <c r="G1975" s="4" t="str">
        <f>HYPERLINK("http://141.218.60.56/~jnz1568/getInfo.php?workbook=12_04.xlsx&amp;sheet=A0&amp;row=1975&amp;col=7&amp;number=0&amp;sourceID=14","0")</f>
        <v>0</v>
      </c>
    </row>
    <row r="1976" spans="1:7">
      <c r="A1976" s="3">
        <v>12</v>
      </c>
      <c r="B1976" s="3">
        <v>4</v>
      </c>
      <c r="C1976" s="3">
        <v>52</v>
      </c>
      <c r="D1976" s="3">
        <v>25</v>
      </c>
      <c r="E1976" s="3">
        <v>311.955</v>
      </c>
      <c r="F1976" s="4" t="str">
        <f>HYPERLINK("http://141.218.60.56/~jnz1568/getInfo.php?workbook=12_04.xlsx&amp;sheet=A0&amp;row=1976&amp;col=6&amp;number=16400000&amp;sourceID=14","16400000")</f>
        <v>16400000</v>
      </c>
      <c r="G1976" s="4" t="str">
        <f>HYPERLINK("http://141.218.60.56/~jnz1568/getInfo.php?workbook=12_04.xlsx&amp;sheet=A0&amp;row=1976&amp;col=7&amp;number=0&amp;sourceID=14","0")</f>
        <v>0</v>
      </c>
    </row>
    <row r="1977" spans="1:7">
      <c r="A1977" s="3">
        <v>12</v>
      </c>
      <c r="B1977" s="3">
        <v>4</v>
      </c>
      <c r="C1977" s="3">
        <v>53</v>
      </c>
      <c r="D1977" s="3">
        <v>25</v>
      </c>
      <c r="E1977" s="3">
        <v>301.341</v>
      </c>
      <c r="F1977" s="4" t="str">
        <f>HYPERLINK("http://141.218.60.56/~jnz1568/getInfo.php?workbook=12_04.xlsx&amp;sheet=A0&amp;row=1977&amp;col=6&amp;number=16.8&amp;sourceID=14","16.8")</f>
        <v>16.8</v>
      </c>
      <c r="G1977" s="4" t="str">
        <f>HYPERLINK("http://141.218.60.56/~jnz1568/getInfo.php?workbook=12_04.xlsx&amp;sheet=A0&amp;row=1977&amp;col=7&amp;number=0&amp;sourceID=14","0")</f>
        <v>0</v>
      </c>
    </row>
    <row r="1978" spans="1:7">
      <c r="A1978" s="3">
        <v>12</v>
      </c>
      <c r="B1978" s="3">
        <v>4</v>
      </c>
      <c r="C1978" s="3">
        <v>54</v>
      </c>
      <c r="D1978" s="3">
        <v>25</v>
      </c>
      <c r="E1978" s="3">
        <v>301.341</v>
      </c>
      <c r="F1978" s="4" t="str">
        <f>HYPERLINK("http://141.218.60.56/~jnz1568/getInfo.php?workbook=12_04.xlsx&amp;sheet=A0&amp;row=1978&amp;col=6&amp;number=130&amp;sourceID=14","130")</f>
        <v>130</v>
      </c>
      <c r="G1978" s="4" t="str">
        <f>HYPERLINK("http://141.218.60.56/~jnz1568/getInfo.php?workbook=12_04.xlsx&amp;sheet=A0&amp;row=1978&amp;col=7&amp;number=0&amp;sourceID=14","0")</f>
        <v>0</v>
      </c>
    </row>
    <row r="1979" spans="1:7">
      <c r="A1979" s="3">
        <v>12</v>
      </c>
      <c r="B1979" s="3">
        <v>4</v>
      </c>
      <c r="C1979" s="3">
        <v>55</v>
      </c>
      <c r="D1979" s="3">
        <v>25</v>
      </c>
      <c r="E1979" s="3">
        <v>301.269</v>
      </c>
      <c r="F1979" s="4" t="str">
        <f>HYPERLINK("http://141.218.60.56/~jnz1568/getInfo.php?workbook=12_04.xlsx&amp;sheet=A0&amp;row=1979&amp;col=6&amp;number=48.3&amp;sourceID=14","48.3")</f>
        <v>48.3</v>
      </c>
      <c r="G1979" s="4" t="str">
        <f>HYPERLINK("http://141.218.60.56/~jnz1568/getInfo.php?workbook=12_04.xlsx&amp;sheet=A0&amp;row=1979&amp;col=7&amp;number=0&amp;sourceID=14","0")</f>
        <v>0</v>
      </c>
    </row>
    <row r="1980" spans="1:7">
      <c r="A1980" s="3">
        <v>12</v>
      </c>
      <c r="B1980" s="3">
        <v>4</v>
      </c>
      <c r="C1980" s="3">
        <v>56</v>
      </c>
      <c r="D1980" s="3">
        <v>25</v>
      </c>
      <c r="E1980" s="3">
        <v>294.317</v>
      </c>
      <c r="F1980" s="4" t="str">
        <f>HYPERLINK("http://141.218.60.56/~jnz1568/getInfo.php?workbook=12_04.xlsx&amp;sheet=A0&amp;row=1980&amp;col=6&amp;number=187&amp;sourceID=14","187")</f>
        <v>187</v>
      </c>
      <c r="G1980" s="4" t="str">
        <f>HYPERLINK("http://141.218.60.56/~jnz1568/getInfo.php?workbook=12_04.xlsx&amp;sheet=A0&amp;row=1980&amp;col=7&amp;number=0&amp;sourceID=14","0")</f>
        <v>0</v>
      </c>
    </row>
    <row r="1981" spans="1:7">
      <c r="A1981" s="3">
        <v>12</v>
      </c>
      <c r="B1981" s="3">
        <v>4</v>
      </c>
      <c r="C1981" s="3">
        <v>57</v>
      </c>
      <c r="D1981" s="3">
        <v>25</v>
      </c>
      <c r="E1981" s="3">
        <v>-294.117</v>
      </c>
      <c r="F1981" s="4" t="str">
        <f>HYPERLINK("http://141.218.60.56/~jnz1568/getInfo.php?workbook=12_04.xlsx&amp;sheet=A0&amp;row=1981&amp;col=6&amp;number=40200000&amp;sourceID=14","40200000")</f>
        <v>40200000</v>
      </c>
      <c r="G1981" s="4" t="str">
        <f>HYPERLINK("http://141.218.60.56/~jnz1568/getInfo.php?workbook=12_04.xlsx&amp;sheet=A0&amp;row=1981&amp;col=7&amp;number=0&amp;sourceID=14","0")</f>
        <v>0</v>
      </c>
    </row>
    <row r="1982" spans="1:7">
      <c r="A1982" s="3">
        <v>12</v>
      </c>
      <c r="B1982" s="3">
        <v>4</v>
      </c>
      <c r="C1982" s="3">
        <v>58</v>
      </c>
      <c r="D1982" s="3">
        <v>25</v>
      </c>
      <c r="E1982" s="3">
        <v>-294.092</v>
      </c>
      <c r="F1982" s="4" t="str">
        <f>HYPERLINK("http://141.218.60.56/~jnz1568/getInfo.php?workbook=12_04.xlsx&amp;sheet=A0&amp;row=1982&amp;col=6&amp;number=0.0078&amp;sourceID=14","0.0078")</f>
        <v>0.0078</v>
      </c>
      <c r="G1982" s="4" t="str">
        <f>HYPERLINK("http://141.218.60.56/~jnz1568/getInfo.php?workbook=12_04.xlsx&amp;sheet=A0&amp;row=1982&amp;col=7&amp;number=0&amp;sourceID=14","0")</f>
        <v>0</v>
      </c>
    </row>
    <row r="1983" spans="1:7">
      <c r="A1983" s="3">
        <v>12</v>
      </c>
      <c r="B1983" s="3">
        <v>4</v>
      </c>
      <c r="C1983" s="3">
        <v>59</v>
      </c>
      <c r="D1983" s="3">
        <v>25</v>
      </c>
      <c r="E1983" s="3">
        <v>-294.059</v>
      </c>
      <c r="F1983" s="4" t="str">
        <f>HYPERLINK("http://141.218.60.56/~jnz1568/getInfo.php?workbook=12_04.xlsx&amp;sheet=A0&amp;row=1983&amp;col=6&amp;number=0.00066&amp;sourceID=14","0.00066")</f>
        <v>0.00066</v>
      </c>
      <c r="G1983" s="4" t="str">
        <f>HYPERLINK("http://141.218.60.56/~jnz1568/getInfo.php?workbook=12_04.xlsx&amp;sheet=A0&amp;row=1983&amp;col=7&amp;number=0&amp;sourceID=14","0")</f>
        <v>0</v>
      </c>
    </row>
    <row r="1984" spans="1:7">
      <c r="A1984" s="3">
        <v>12</v>
      </c>
      <c r="B1984" s="3">
        <v>4</v>
      </c>
      <c r="C1984" s="3">
        <v>60</v>
      </c>
      <c r="D1984" s="3">
        <v>25</v>
      </c>
      <c r="E1984" s="3">
        <v>-291.891</v>
      </c>
      <c r="F1984" s="4" t="str">
        <f>HYPERLINK("http://141.218.60.56/~jnz1568/getInfo.php?workbook=12_04.xlsx&amp;sheet=A0&amp;row=1984&amp;col=6&amp;number=0.0172&amp;sourceID=14","0.0172")</f>
        <v>0.0172</v>
      </c>
      <c r="G1984" s="4" t="str">
        <f>HYPERLINK("http://141.218.60.56/~jnz1568/getInfo.php?workbook=12_04.xlsx&amp;sheet=A0&amp;row=1984&amp;col=7&amp;number=0&amp;sourceID=14","0")</f>
        <v>0</v>
      </c>
    </row>
    <row r="1985" spans="1:7">
      <c r="A1985" s="3">
        <v>12</v>
      </c>
      <c r="B1985" s="3">
        <v>4</v>
      </c>
      <c r="C1985" s="3">
        <v>61</v>
      </c>
      <c r="D1985" s="3">
        <v>25</v>
      </c>
      <c r="E1985" s="3">
        <v>-218.197</v>
      </c>
      <c r="F1985" s="4" t="str">
        <f>HYPERLINK("http://141.218.60.56/~jnz1568/getInfo.php?workbook=12_04.xlsx&amp;sheet=A0&amp;row=1985&amp;col=6&amp;number=220000000&amp;sourceID=14","220000000")</f>
        <v>220000000</v>
      </c>
      <c r="G1985" s="4" t="str">
        <f>HYPERLINK("http://141.218.60.56/~jnz1568/getInfo.php?workbook=12_04.xlsx&amp;sheet=A0&amp;row=1985&amp;col=7&amp;number=0&amp;sourceID=14","0")</f>
        <v>0</v>
      </c>
    </row>
    <row r="1986" spans="1:7">
      <c r="A1986" s="3">
        <v>12</v>
      </c>
      <c r="B1986" s="3">
        <v>4</v>
      </c>
      <c r="C1986" s="3">
        <v>62</v>
      </c>
      <c r="D1986" s="3">
        <v>25</v>
      </c>
      <c r="E1986" s="3">
        <v>-217.761</v>
      </c>
      <c r="F1986" s="4" t="str">
        <f>HYPERLINK("http://141.218.60.56/~jnz1568/getInfo.php?workbook=12_04.xlsx&amp;sheet=A0&amp;row=1986&amp;col=6&amp;number=713000000&amp;sourceID=14","713000000")</f>
        <v>713000000</v>
      </c>
      <c r="G1986" s="4" t="str">
        <f>HYPERLINK("http://141.218.60.56/~jnz1568/getInfo.php?workbook=12_04.xlsx&amp;sheet=A0&amp;row=1986&amp;col=7&amp;number=0&amp;sourceID=14","0")</f>
        <v>0</v>
      </c>
    </row>
    <row r="1987" spans="1:7">
      <c r="A1987" s="3">
        <v>12</v>
      </c>
      <c r="B1987" s="3">
        <v>4</v>
      </c>
      <c r="C1987" s="3">
        <v>63</v>
      </c>
      <c r="D1987" s="3">
        <v>25</v>
      </c>
      <c r="E1987" s="3">
        <v>-216.357</v>
      </c>
      <c r="F1987" s="4" t="str">
        <f>HYPERLINK("http://141.218.60.56/~jnz1568/getInfo.php?workbook=12_04.xlsx&amp;sheet=A0&amp;row=1987&amp;col=6&amp;number=3150000&amp;sourceID=14","3150000")</f>
        <v>3150000</v>
      </c>
      <c r="G1987" s="4" t="str">
        <f>HYPERLINK("http://141.218.60.56/~jnz1568/getInfo.php?workbook=12_04.xlsx&amp;sheet=A0&amp;row=1987&amp;col=7&amp;number=0&amp;sourceID=14","0")</f>
        <v>0</v>
      </c>
    </row>
    <row r="1988" spans="1:7">
      <c r="A1988" s="3">
        <v>12</v>
      </c>
      <c r="B1988" s="3">
        <v>4</v>
      </c>
      <c r="C1988" s="3">
        <v>64</v>
      </c>
      <c r="D1988" s="3">
        <v>25</v>
      </c>
      <c r="E1988" s="3">
        <v>-213.475</v>
      </c>
      <c r="F1988" s="4" t="str">
        <f>HYPERLINK("http://141.218.60.56/~jnz1568/getInfo.php?workbook=12_04.xlsx&amp;sheet=A0&amp;row=1988&amp;col=6&amp;number=4400000000&amp;sourceID=14","4400000000")</f>
        <v>4400000000</v>
      </c>
      <c r="G1988" s="4" t="str">
        <f>HYPERLINK("http://141.218.60.56/~jnz1568/getInfo.php?workbook=12_04.xlsx&amp;sheet=A0&amp;row=1988&amp;col=7&amp;number=0&amp;sourceID=14","0")</f>
        <v>0</v>
      </c>
    </row>
    <row r="1989" spans="1:7">
      <c r="A1989" s="3">
        <v>12</v>
      </c>
      <c r="B1989" s="3">
        <v>4</v>
      </c>
      <c r="C1989" s="3">
        <v>65</v>
      </c>
      <c r="D1989" s="3">
        <v>25</v>
      </c>
      <c r="E1989" s="3">
        <v>-210.099</v>
      </c>
      <c r="F1989" s="4" t="str">
        <f>HYPERLINK("http://141.218.60.56/~jnz1568/getInfo.php?workbook=12_04.xlsx&amp;sheet=A0&amp;row=1989&amp;col=6&amp;number=230000&amp;sourceID=14","230000")</f>
        <v>230000</v>
      </c>
      <c r="G1989" s="4" t="str">
        <f>HYPERLINK("http://141.218.60.56/~jnz1568/getInfo.php?workbook=12_04.xlsx&amp;sheet=A0&amp;row=1989&amp;col=7&amp;number=0&amp;sourceID=14","0")</f>
        <v>0</v>
      </c>
    </row>
    <row r="1990" spans="1:7">
      <c r="A1990" s="3">
        <v>12</v>
      </c>
      <c r="B1990" s="3">
        <v>4</v>
      </c>
      <c r="C1990" s="3">
        <v>66</v>
      </c>
      <c r="D1990" s="3">
        <v>25</v>
      </c>
      <c r="E1990" s="3">
        <v>-208.978</v>
      </c>
      <c r="F1990" s="4" t="str">
        <f>HYPERLINK("http://141.218.60.56/~jnz1568/getInfo.php?workbook=12_04.xlsx&amp;sheet=A0&amp;row=1990&amp;col=6&amp;number=143000&amp;sourceID=14","143000")</f>
        <v>143000</v>
      </c>
      <c r="G1990" s="4" t="str">
        <f>HYPERLINK("http://141.218.60.56/~jnz1568/getInfo.php?workbook=12_04.xlsx&amp;sheet=A0&amp;row=1990&amp;col=7&amp;number=0&amp;sourceID=14","0")</f>
        <v>0</v>
      </c>
    </row>
    <row r="1991" spans="1:7">
      <c r="A1991" s="3">
        <v>12</v>
      </c>
      <c r="B1991" s="3">
        <v>4</v>
      </c>
      <c r="C1991" s="3">
        <v>67</v>
      </c>
      <c r="D1991" s="3">
        <v>25</v>
      </c>
      <c r="E1991" s="3">
        <v>-208.782</v>
      </c>
      <c r="F1991" s="4" t="str">
        <f>HYPERLINK("http://141.218.60.56/~jnz1568/getInfo.php?workbook=12_04.xlsx&amp;sheet=A0&amp;row=1991&amp;col=6&amp;number=40300&amp;sourceID=14","40300")</f>
        <v>40300</v>
      </c>
      <c r="G1991" s="4" t="str">
        <f>HYPERLINK("http://141.218.60.56/~jnz1568/getInfo.php?workbook=12_04.xlsx&amp;sheet=A0&amp;row=1991&amp;col=7&amp;number=0&amp;sourceID=14","0")</f>
        <v>0</v>
      </c>
    </row>
    <row r="1992" spans="1:7">
      <c r="A1992" s="3">
        <v>12</v>
      </c>
      <c r="B1992" s="3">
        <v>4</v>
      </c>
      <c r="C1992" s="3">
        <v>68</v>
      </c>
      <c r="D1992" s="3">
        <v>25</v>
      </c>
      <c r="E1992" s="3">
        <v>207.637</v>
      </c>
      <c r="F1992" s="4" t="str">
        <f>HYPERLINK("http://141.218.60.56/~jnz1568/getInfo.php?workbook=12_04.xlsx&amp;sheet=A0&amp;row=1992&amp;col=6&amp;number=2.44&amp;sourceID=14","2.44")</f>
        <v>2.44</v>
      </c>
      <c r="G1992" s="4" t="str">
        <f>HYPERLINK("http://141.218.60.56/~jnz1568/getInfo.php?workbook=12_04.xlsx&amp;sheet=A0&amp;row=1992&amp;col=7&amp;number=0&amp;sourceID=14","0")</f>
        <v>0</v>
      </c>
    </row>
    <row r="1993" spans="1:7">
      <c r="A1993" s="3">
        <v>12</v>
      </c>
      <c r="B1993" s="3">
        <v>4</v>
      </c>
      <c r="C1993" s="3">
        <v>69</v>
      </c>
      <c r="D1993" s="3">
        <v>25</v>
      </c>
      <c r="E1993" s="3">
        <v>-206.481</v>
      </c>
      <c r="F1993" s="4" t="str">
        <f>HYPERLINK("http://141.218.60.56/~jnz1568/getInfo.php?workbook=12_04.xlsx&amp;sheet=A0&amp;row=1993&amp;col=6&amp;number=556&amp;sourceID=14","556")</f>
        <v>556</v>
      </c>
      <c r="G1993" s="4" t="str">
        <f>HYPERLINK("http://141.218.60.56/~jnz1568/getInfo.php?workbook=12_04.xlsx&amp;sheet=A0&amp;row=1993&amp;col=7&amp;number=0&amp;sourceID=14","0")</f>
        <v>0</v>
      </c>
    </row>
    <row r="1994" spans="1:7">
      <c r="A1994" s="3">
        <v>12</v>
      </c>
      <c r="B1994" s="3">
        <v>4</v>
      </c>
      <c r="C1994" s="3">
        <v>70</v>
      </c>
      <c r="D1994" s="3">
        <v>25</v>
      </c>
      <c r="E1994" s="3">
        <v>-206.212</v>
      </c>
      <c r="F1994" s="4" t="str">
        <f>HYPERLINK("http://141.218.60.56/~jnz1568/getInfo.php?workbook=12_04.xlsx&amp;sheet=A0&amp;row=1994&amp;col=6&amp;number=0.368&amp;sourceID=14","0.368")</f>
        <v>0.368</v>
      </c>
      <c r="G1994" s="4" t="str">
        <f>HYPERLINK("http://141.218.60.56/~jnz1568/getInfo.php?workbook=12_04.xlsx&amp;sheet=A0&amp;row=1994&amp;col=7&amp;number=0&amp;sourceID=14","0")</f>
        <v>0</v>
      </c>
    </row>
    <row r="1995" spans="1:7">
      <c r="A1995" s="3">
        <v>12</v>
      </c>
      <c r="B1995" s="3">
        <v>4</v>
      </c>
      <c r="C1995" s="3">
        <v>71</v>
      </c>
      <c r="D1995" s="3">
        <v>25</v>
      </c>
      <c r="E1995" s="3">
        <v>-205.394</v>
      </c>
      <c r="F1995" s="4" t="str">
        <f>HYPERLINK("http://141.218.60.56/~jnz1568/getInfo.php?workbook=12_04.xlsx&amp;sheet=A0&amp;row=1995&amp;col=6&amp;number=2210&amp;sourceID=14","2210")</f>
        <v>2210</v>
      </c>
      <c r="G1995" s="4" t="str">
        <f>HYPERLINK("http://141.218.60.56/~jnz1568/getInfo.php?workbook=12_04.xlsx&amp;sheet=A0&amp;row=1995&amp;col=7&amp;number=0&amp;sourceID=14","0")</f>
        <v>0</v>
      </c>
    </row>
    <row r="1996" spans="1:7">
      <c r="A1996" s="3">
        <v>12</v>
      </c>
      <c r="B1996" s="3">
        <v>4</v>
      </c>
      <c r="C1996" s="3">
        <v>72</v>
      </c>
      <c r="D1996" s="3">
        <v>25</v>
      </c>
      <c r="E1996" s="3">
        <v>205.242</v>
      </c>
      <c r="F1996" s="4" t="str">
        <f>HYPERLINK("http://141.218.60.56/~jnz1568/getInfo.php?workbook=12_04.xlsx&amp;sheet=A0&amp;row=1996&amp;col=6&amp;number=18000&amp;sourceID=14","18000")</f>
        <v>18000</v>
      </c>
      <c r="G1996" s="4" t="str">
        <f>HYPERLINK("http://141.218.60.56/~jnz1568/getInfo.php?workbook=12_04.xlsx&amp;sheet=A0&amp;row=1996&amp;col=7&amp;number=0&amp;sourceID=14","0")</f>
        <v>0</v>
      </c>
    </row>
    <row r="1997" spans="1:7">
      <c r="A1997" s="3">
        <v>12</v>
      </c>
      <c r="B1997" s="3">
        <v>4</v>
      </c>
      <c r="C1997" s="3">
        <v>73</v>
      </c>
      <c r="D1997" s="3">
        <v>25</v>
      </c>
      <c r="E1997" s="3">
        <v>-203.927</v>
      </c>
      <c r="F1997" s="4" t="str">
        <f>HYPERLINK("http://141.218.60.56/~jnz1568/getInfo.php?workbook=12_04.xlsx&amp;sheet=A0&amp;row=1997&amp;col=6&amp;number=16800000000&amp;sourceID=14","16800000000")</f>
        <v>16800000000</v>
      </c>
      <c r="G1997" s="4" t="str">
        <f>HYPERLINK("http://141.218.60.56/~jnz1568/getInfo.php?workbook=12_04.xlsx&amp;sheet=A0&amp;row=1997&amp;col=7&amp;number=0&amp;sourceID=14","0")</f>
        <v>0</v>
      </c>
    </row>
    <row r="1998" spans="1:7">
      <c r="A1998" s="3">
        <v>12</v>
      </c>
      <c r="B1998" s="3">
        <v>4</v>
      </c>
      <c r="C1998" s="3">
        <v>74</v>
      </c>
      <c r="D1998" s="3">
        <v>25</v>
      </c>
      <c r="E1998" s="3">
        <v>-203.136</v>
      </c>
      <c r="F1998" s="4" t="str">
        <f>HYPERLINK("http://141.218.60.56/~jnz1568/getInfo.php?workbook=12_04.xlsx&amp;sheet=A0&amp;row=1998&amp;col=6&amp;number=2.05&amp;sourceID=14","2.05")</f>
        <v>2.05</v>
      </c>
      <c r="G1998" s="4" t="str">
        <f>HYPERLINK("http://141.218.60.56/~jnz1568/getInfo.php?workbook=12_04.xlsx&amp;sheet=A0&amp;row=1998&amp;col=7&amp;number=0&amp;sourceID=14","0")</f>
        <v>0</v>
      </c>
    </row>
    <row r="1999" spans="1:7">
      <c r="A1999" s="3">
        <v>12</v>
      </c>
      <c r="B1999" s="3">
        <v>4</v>
      </c>
      <c r="C1999" s="3">
        <v>75</v>
      </c>
      <c r="D1999" s="3">
        <v>25</v>
      </c>
      <c r="E1999" s="3">
        <v>202.803</v>
      </c>
      <c r="F1999" s="4" t="str">
        <f>HYPERLINK("http://141.218.60.56/~jnz1568/getInfo.php?workbook=12_04.xlsx&amp;sheet=A0&amp;row=1999&amp;col=6&amp;number=15800000000&amp;sourceID=14","15800000000")</f>
        <v>15800000000</v>
      </c>
      <c r="G1999" s="4" t="str">
        <f>HYPERLINK("http://141.218.60.56/~jnz1568/getInfo.php?workbook=12_04.xlsx&amp;sheet=A0&amp;row=1999&amp;col=7&amp;number=0&amp;sourceID=14","0")</f>
        <v>0</v>
      </c>
    </row>
    <row r="2000" spans="1:7">
      <c r="A2000" s="3">
        <v>12</v>
      </c>
      <c r="B2000" s="3">
        <v>4</v>
      </c>
      <c r="C2000" s="3">
        <v>76</v>
      </c>
      <c r="D2000" s="3">
        <v>25</v>
      </c>
      <c r="E2000" s="3">
        <v>202.857</v>
      </c>
      <c r="F2000" s="4" t="str">
        <f>HYPERLINK("http://141.218.60.56/~jnz1568/getInfo.php?workbook=12_04.xlsx&amp;sheet=A0&amp;row=2000&amp;col=6&amp;number=276000&amp;sourceID=14","276000")</f>
        <v>276000</v>
      </c>
      <c r="G2000" s="4" t="str">
        <f>HYPERLINK("http://141.218.60.56/~jnz1568/getInfo.php?workbook=12_04.xlsx&amp;sheet=A0&amp;row=2000&amp;col=7&amp;number=0&amp;sourceID=14","0")</f>
        <v>0</v>
      </c>
    </row>
    <row r="2001" spans="1:7">
      <c r="A2001" s="3">
        <v>12</v>
      </c>
      <c r="B2001" s="3">
        <v>4</v>
      </c>
      <c r="C2001" s="3">
        <v>77</v>
      </c>
      <c r="D2001" s="3">
        <v>25</v>
      </c>
      <c r="E2001" s="3">
        <v>-202.242</v>
      </c>
      <c r="F2001" s="4" t="str">
        <f>HYPERLINK("http://141.218.60.56/~jnz1568/getInfo.php?workbook=12_04.xlsx&amp;sheet=A0&amp;row=2001&amp;col=6&amp;number=0.000548&amp;sourceID=14","0.000548")</f>
        <v>0.000548</v>
      </c>
      <c r="G2001" s="4" t="str">
        <f>HYPERLINK("http://141.218.60.56/~jnz1568/getInfo.php?workbook=12_04.xlsx&amp;sheet=A0&amp;row=2001&amp;col=7&amp;number=0&amp;sourceID=14","0")</f>
        <v>0</v>
      </c>
    </row>
    <row r="2002" spans="1:7">
      <c r="A2002" s="3">
        <v>12</v>
      </c>
      <c r="B2002" s="3">
        <v>4</v>
      </c>
      <c r="C2002" s="3">
        <v>78</v>
      </c>
      <c r="D2002" s="3">
        <v>25</v>
      </c>
      <c r="E2002" s="3">
        <v>-201.021</v>
      </c>
      <c r="F2002" s="4" t="str">
        <f>HYPERLINK("http://141.218.60.56/~jnz1568/getInfo.php?workbook=12_04.xlsx&amp;sheet=A0&amp;row=2002&amp;col=6&amp;number=1450000000&amp;sourceID=14","1450000000")</f>
        <v>1450000000</v>
      </c>
      <c r="G2002" s="4" t="str">
        <f>HYPERLINK("http://141.218.60.56/~jnz1568/getInfo.php?workbook=12_04.xlsx&amp;sheet=A0&amp;row=2002&amp;col=7&amp;number=0&amp;sourceID=14","0")</f>
        <v>0</v>
      </c>
    </row>
    <row r="2003" spans="1:7">
      <c r="A2003" s="3">
        <v>12</v>
      </c>
      <c r="B2003" s="3">
        <v>4</v>
      </c>
      <c r="C2003" s="3">
        <v>79</v>
      </c>
      <c r="D2003" s="3">
        <v>25</v>
      </c>
      <c r="E2003" s="3">
        <v>-200.771</v>
      </c>
      <c r="F2003" s="4" t="str">
        <f>HYPERLINK("http://141.218.60.56/~jnz1568/getInfo.php?workbook=12_04.xlsx&amp;sheet=A0&amp;row=2003&amp;col=6&amp;number=951000000&amp;sourceID=14","951000000")</f>
        <v>951000000</v>
      </c>
      <c r="G2003" s="4" t="str">
        <f>HYPERLINK("http://141.218.60.56/~jnz1568/getInfo.php?workbook=12_04.xlsx&amp;sheet=A0&amp;row=2003&amp;col=7&amp;number=0&amp;sourceID=14","0")</f>
        <v>0</v>
      </c>
    </row>
    <row r="2004" spans="1:7">
      <c r="A2004" s="3">
        <v>12</v>
      </c>
      <c r="B2004" s="3">
        <v>4</v>
      </c>
      <c r="C2004" s="3">
        <v>80</v>
      </c>
      <c r="D2004" s="3">
        <v>25</v>
      </c>
      <c r="E2004" s="3">
        <v>-200.272</v>
      </c>
      <c r="F2004" s="4" t="str">
        <f>HYPERLINK("http://141.218.60.56/~jnz1568/getInfo.php?workbook=12_04.xlsx&amp;sheet=A0&amp;row=2004&amp;col=6&amp;number=2760000&amp;sourceID=14","2760000")</f>
        <v>2760000</v>
      </c>
      <c r="G2004" s="4" t="str">
        <f>HYPERLINK("http://141.218.60.56/~jnz1568/getInfo.php?workbook=12_04.xlsx&amp;sheet=A0&amp;row=2004&amp;col=7&amp;number=0&amp;sourceID=14","0")</f>
        <v>0</v>
      </c>
    </row>
    <row r="2005" spans="1:7">
      <c r="A2005" s="3">
        <v>12</v>
      </c>
      <c r="B2005" s="3">
        <v>4</v>
      </c>
      <c r="C2005" s="3">
        <v>81</v>
      </c>
      <c r="D2005" s="3">
        <v>25</v>
      </c>
      <c r="E2005" s="3">
        <v>199.948</v>
      </c>
      <c r="F2005" s="4" t="str">
        <f>HYPERLINK("http://141.218.60.56/~jnz1568/getInfo.php?workbook=12_04.xlsx&amp;sheet=A0&amp;row=2005&amp;col=6&amp;number=33.7&amp;sourceID=14","33.7")</f>
        <v>33.7</v>
      </c>
      <c r="G2005" s="4" t="str">
        <f>HYPERLINK("http://141.218.60.56/~jnz1568/getInfo.php?workbook=12_04.xlsx&amp;sheet=A0&amp;row=2005&amp;col=7&amp;number=0&amp;sourceID=14","0")</f>
        <v>0</v>
      </c>
    </row>
    <row r="2006" spans="1:7">
      <c r="A2006" s="3">
        <v>12</v>
      </c>
      <c r="B2006" s="3">
        <v>4</v>
      </c>
      <c r="C2006" s="3">
        <v>82</v>
      </c>
      <c r="D2006" s="3">
        <v>25</v>
      </c>
      <c r="E2006" s="3">
        <v>-200.127</v>
      </c>
      <c r="F2006" s="4" t="str">
        <f>HYPERLINK("http://141.218.60.56/~jnz1568/getInfo.php?workbook=12_04.xlsx&amp;sheet=A0&amp;row=2006&amp;col=6&amp;number=309000&amp;sourceID=14","309000")</f>
        <v>309000</v>
      </c>
      <c r="G2006" s="4" t="str">
        <f>HYPERLINK("http://141.218.60.56/~jnz1568/getInfo.php?workbook=12_04.xlsx&amp;sheet=A0&amp;row=2006&amp;col=7&amp;number=0&amp;sourceID=14","0")</f>
        <v>0</v>
      </c>
    </row>
    <row r="2007" spans="1:7">
      <c r="A2007" s="3">
        <v>12</v>
      </c>
      <c r="B2007" s="3">
        <v>4</v>
      </c>
      <c r="C2007" s="3">
        <v>83</v>
      </c>
      <c r="D2007" s="3">
        <v>25</v>
      </c>
      <c r="E2007" s="3">
        <v>-200.125</v>
      </c>
      <c r="F2007" s="4" t="str">
        <f>HYPERLINK("http://141.218.60.56/~jnz1568/getInfo.php?workbook=12_04.xlsx&amp;sheet=A0&amp;row=2007&amp;col=6&amp;number=183000&amp;sourceID=14","183000")</f>
        <v>183000</v>
      </c>
      <c r="G2007" s="4" t="str">
        <f>HYPERLINK("http://141.218.60.56/~jnz1568/getInfo.php?workbook=12_04.xlsx&amp;sheet=A0&amp;row=2007&amp;col=7&amp;number=0&amp;sourceID=14","0")</f>
        <v>0</v>
      </c>
    </row>
    <row r="2008" spans="1:7">
      <c r="A2008" s="3">
        <v>12</v>
      </c>
      <c r="B2008" s="3">
        <v>4</v>
      </c>
      <c r="C2008" s="3">
        <v>84</v>
      </c>
      <c r="D2008" s="3">
        <v>25</v>
      </c>
      <c r="E2008" s="3">
        <v>-199.995</v>
      </c>
      <c r="F2008" s="4" t="str">
        <f>HYPERLINK("http://141.218.60.56/~jnz1568/getInfo.php?workbook=12_04.xlsx&amp;sheet=A0&amp;row=2008&amp;col=6&amp;number=0.00243&amp;sourceID=14","0.00243")</f>
        <v>0.00243</v>
      </c>
      <c r="G2008" s="4" t="str">
        <f>HYPERLINK("http://141.218.60.56/~jnz1568/getInfo.php?workbook=12_04.xlsx&amp;sheet=A0&amp;row=2008&amp;col=7&amp;number=0&amp;sourceID=14","0")</f>
        <v>0</v>
      </c>
    </row>
    <row r="2009" spans="1:7">
      <c r="A2009" s="3">
        <v>12</v>
      </c>
      <c r="B2009" s="3">
        <v>4</v>
      </c>
      <c r="C2009" s="3">
        <v>85</v>
      </c>
      <c r="D2009" s="3">
        <v>25</v>
      </c>
      <c r="E2009" s="3">
        <v>199.47</v>
      </c>
      <c r="F2009" s="4" t="str">
        <f>HYPERLINK("http://141.218.60.56/~jnz1568/getInfo.php?workbook=12_04.xlsx&amp;sheet=A0&amp;row=2009&amp;col=6&amp;number=59600000&amp;sourceID=14","59600000")</f>
        <v>59600000</v>
      </c>
      <c r="G2009" s="4" t="str">
        <f>HYPERLINK("http://141.218.60.56/~jnz1568/getInfo.php?workbook=12_04.xlsx&amp;sheet=A0&amp;row=2009&amp;col=7&amp;number=0&amp;sourceID=14","0")</f>
        <v>0</v>
      </c>
    </row>
    <row r="2010" spans="1:7">
      <c r="A2010" s="3">
        <v>12</v>
      </c>
      <c r="B2010" s="3">
        <v>4</v>
      </c>
      <c r="C2010" s="3">
        <v>86</v>
      </c>
      <c r="D2010" s="3">
        <v>25</v>
      </c>
      <c r="E2010" s="3">
        <v>199.263</v>
      </c>
      <c r="F2010" s="4" t="str">
        <f>HYPERLINK("http://141.218.60.56/~jnz1568/getInfo.php?workbook=12_04.xlsx&amp;sheet=A0&amp;row=2010&amp;col=6&amp;number=101000000&amp;sourceID=14","101000000")</f>
        <v>101000000</v>
      </c>
      <c r="G2010" s="4" t="str">
        <f>HYPERLINK("http://141.218.60.56/~jnz1568/getInfo.php?workbook=12_04.xlsx&amp;sheet=A0&amp;row=2010&amp;col=7&amp;number=0&amp;sourceID=14","0")</f>
        <v>0</v>
      </c>
    </row>
    <row r="2011" spans="1:7">
      <c r="A2011" s="3">
        <v>12</v>
      </c>
      <c r="B2011" s="3">
        <v>4</v>
      </c>
      <c r="C2011" s="3">
        <v>87</v>
      </c>
      <c r="D2011" s="3">
        <v>25</v>
      </c>
      <c r="E2011" s="3">
        <v>-199.028</v>
      </c>
      <c r="F2011" s="4" t="str">
        <f>HYPERLINK("http://141.218.60.56/~jnz1568/getInfo.php?workbook=12_04.xlsx&amp;sheet=A0&amp;row=2011&amp;col=6&amp;number=49400&amp;sourceID=14","49400")</f>
        <v>49400</v>
      </c>
      <c r="G2011" s="4" t="str">
        <f>HYPERLINK("http://141.218.60.56/~jnz1568/getInfo.php?workbook=12_04.xlsx&amp;sheet=A0&amp;row=2011&amp;col=7&amp;number=0&amp;sourceID=14","0")</f>
        <v>0</v>
      </c>
    </row>
    <row r="2012" spans="1:7">
      <c r="A2012" s="3">
        <v>12</v>
      </c>
      <c r="B2012" s="3">
        <v>4</v>
      </c>
      <c r="C2012" s="3">
        <v>88</v>
      </c>
      <c r="D2012" s="3">
        <v>25</v>
      </c>
      <c r="E2012" s="3">
        <v>-198.718</v>
      </c>
      <c r="F2012" s="4" t="str">
        <f>HYPERLINK("http://141.218.60.56/~jnz1568/getInfo.php?workbook=12_04.xlsx&amp;sheet=A0&amp;row=2012&amp;col=6&amp;number=199000&amp;sourceID=14","199000")</f>
        <v>199000</v>
      </c>
      <c r="G2012" s="4" t="str">
        <f>HYPERLINK("http://141.218.60.56/~jnz1568/getInfo.php?workbook=12_04.xlsx&amp;sheet=A0&amp;row=2012&amp;col=7&amp;number=0&amp;sourceID=14","0")</f>
        <v>0</v>
      </c>
    </row>
    <row r="2013" spans="1:7">
      <c r="A2013" s="3">
        <v>12</v>
      </c>
      <c r="B2013" s="3">
        <v>4</v>
      </c>
      <c r="C2013" s="3">
        <v>89</v>
      </c>
      <c r="D2013" s="3">
        <v>25</v>
      </c>
      <c r="E2013" s="3">
        <v>-198.536</v>
      </c>
      <c r="F2013" s="4" t="str">
        <f>HYPERLINK("http://141.218.60.56/~jnz1568/getInfo.php?workbook=12_04.xlsx&amp;sheet=A0&amp;row=2013&amp;col=6&amp;number=0.00245&amp;sourceID=14","0.00245")</f>
        <v>0.00245</v>
      </c>
      <c r="G2013" s="4" t="str">
        <f>HYPERLINK("http://141.218.60.56/~jnz1568/getInfo.php?workbook=12_04.xlsx&amp;sheet=A0&amp;row=2013&amp;col=7&amp;number=0&amp;sourceID=14","0")</f>
        <v>0</v>
      </c>
    </row>
    <row r="2014" spans="1:7">
      <c r="A2014" s="3">
        <v>12</v>
      </c>
      <c r="B2014" s="3">
        <v>4</v>
      </c>
      <c r="C2014" s="3">
        <v>90</v>
      </c>
      <c r="D2014" s="3">
        <v>25</v>
      </c>
      <c r="E2014" s="3">
        <v>-197.995</v>
      </c>
      <c r="F2014" s="4" t="str">
        <f>HYPERLINK("http://141.218.60.56/~jnz1568/getInfo.php?workbook=12_04.xlsx&amp;sheet=A0&amp;row=2014&amp;col=6&amp;number=1.38e-08&amp;sourceID=14","1.38e-08")</f>
        <v>1.38e-08</v>
      </c>
      <c r="G2014" s="4" t="str">
        <f>HYPERLINK("http://141.218.60.56/~jnz1568/getInfo.php?workbook=12_04.xlsx&amp;sheet=A0&amp;row=2014&amp;col=7&amp;number=0&amp;sourceID=14","0")</f>
        <v>0</v>
      </c>
    </row>
    <row r="2015" spans="1:7">
      <c r="A2015" s="3">
        <v>12</v>
      </c>
      <c r="B2015" s="3">
        <v>4</v>
      </c>
      <c r="C2015" s="3">
        <v>91</v>
      </c>
      <c r="D2015" s="3">
        <v>25</v>
      </c>
      <c r="E2015" s="3">
        <v>-197.519</v>
      </c>
      <c r="F2015" s="4" t="str">
        <f>HYPERLINK("http://141.218.60.56/~jnz1568/getInfo.php?workbook=12_04.xlsx&amp;sheet=A0&amp;row=2015&amp;col=6&amp;number=55300&amp;sourceID=14","55300")</f>
        <v>55300</v>
      </c>
      <c r="G2015" s="4" t="str">
        <f>HYPERLINK("http://141.218.60.56/~jnz1568/getInfo.php?workbook=12_04.xlsx&amp;sheet=A0&amp;row=2015&amp;col=7&amp;number=0&amp;sourceID=14","0")</f>
        <v>0</v>
      </c>
    </row>
    <row r="2016" spans="1:7">
      <c r="A2016" s="3">
        <v>12</v>
      </c>
      <c r="B2016" s="3">
        <v>4</v>
      </c>
      <c r="C2016" s="3">
        <v>92</v>
      </c>
      <c r="D2016" s="3">
        <v>25</v>
      </c>
      <c r="E2016" s="3">
        <v>-197.407</v>
      </c>
      <c r="F2016" s="4" t="str">
        <f>HYPERLINK("http://141.218.60.56/~jnz1568/getInfo.php?workbook=12_04.xlsx&amp;sheet=A0&amp;row=2016&amp;col=6&amp;number=0.000941&amp;sourceID=14","0.000941")</f>
        <v>0.000941</v>
      </c>
      <c r="G2016" s="4" t="str">
        <f>HYPERLINK("http://141.218.60.56/~jnz1568/getInfo.php?workbook=12_04.xlsx&amp;sheet=A0&amp;row=2016&amp;col=7&amp;number=0&amp;sourceID=14","0")</f>
        <v>0</v>
      </c>
    </row>
    <row r="2017" spans="1:7">
      <c r="A2017" s="3">
        <v>12</v>
      </c>
      <c r="B2017" s="3">
        <v>4</v>
      </c>
      <c r="C2017" s="3">
        <v>93</v>
      </c>
      <c r="D2017" s="3">
        <v>25</v>
      </c>
      <c r="E2017" s="3">
        <v>-197.304</v>
      </c>
      <c r="F2017" s="4" t="str">
        <f>HYPERLINK("http://141.218.60.56/~jnz1568/getInfo.php?workbook=12_04.xlsx&amp;sheet=A0&amp;row=2017&amp;col=6&amp;number=466000&amp;sourceID=14","466000")</f>
        <v>466000</v>
      </c>
      <c r="G2017" s="4" t="str">
        <f>HYPERLINK("http://141.218.60.56/~jnz1568/getInfo.php?workbook=12_04.xlsx&amp;sheet=A0&amp;row=2017&amp;col=7&amp;number=0&amp;sourceID=14","0")</f>
        <v>0</v>
      </c>
    </row>
    <row r="2018" spans="1:7">
      <c r="A2018" s="3">
        <v>12</v>
      </c>
      <c r="B2018" s="3">
        <v>4</v>
      </c>
      <c r="C2018" s="3">
        <v>94</v>
      </c>
      <c r="D2018" s="3">
        <v>25</v>
      </c>
      <c r="E2018" s="3">
        <v>-196.929</v>
      </c>
      <c r="F2018" s="4" t="str">
        <f>HYPERLINK("http://141.218.60.56/~jnz1568/getInfo.php?workbook=12_04.xlsx&amp;sheet=A0&amp;row=2018&amp;col=6&amp;number=3.83&amp;sourceID=14","3.83")</f>
        <v>3.83</v>
      </c>
      <c r="G2018" s="4" t="str">
        <f>HYPERLINK("http://141.218.60.56/~jnz1568/getInfo.php?workbook=12_04.xlsx&amp;sheet=A0&amp;row=2018&amp;col=7&amp;number=0&amp;sourceID=14","0")</f>
        <v>0</v>
      </c>
    </row>
    <row r="2019" spans="1:7">
      <c r="A2019" s="3">
        <v>12</v>
      </c>
      <c r="B2019" s="3">
        <v>4</v>
      </c>
      <c r="C2019" s="3">
        <v>95</v>
      </c>
      <c r="D2019" s="3">
        <v>25</v>
      </c>
      <c r="E2019" s="3">
        <v>-196.683</v>
      </c>
      <c r="F2019" s="4" t="str">
        <f>HYPERLINK("http://141.218.60.56/~jnz1568/getInfo.php?workbook=12_04.xlsx&amp;sheet=A0&amp;row=2019&amp;col=6&amp;number=0.0402&amp;sourceID=14","0.0402")</f>
        <v>0.0402</v>
      </c>
      <c r="G2019" s="4" t="str">
        <f>HYPERLINK("http://141.218.60.56/~jnz1568/getInfo.php?workbook=12_04.xlsx&amp;sheet=A0&amp;row=2019&amp;col=7&amp;number=0&amp;sourceID=14","0")</f>
        <v>0</v>
      </c>
    </row>
    <row r="2020" spans="1:7">
      <c r="A2020" s="3">
        <v>12</v>
      </c>
      <c r="B2020" s="3">
        <v>4</v>
      </c>
      <c r="C2020" s="3">
        <v>96</v>
      </c>
      <c r="D2020" s="3">
        <v>25</v>
      </c>
      <c r="E2020" s="3">
        <v>-196.456</v>
      </c>
      <c r="F2020" s="4" t="str">
        <f>HYPERLINK("http://141.218.60.56/~jnz1568/getInfo.php?workbook=12_04.xlsx&amp;sheet=A0&amp;row=2020&amp;col=6&amp;number=1880000&amp;sourceID=14","1880000")</f>
        <v>1880000</v>
      </c>
      <c r="G2020" s="4" t="str">
        <f>HYPERLINK("http://141.218.60.56/~jnz1568/getInfo.php?workbook=12_04.xlsx&amp;sheet=A0&amp;row=2020&amp;col=7&amp;number=0&amp;sourceID=14","0")</f>
        <v>0</v>
      </c>
    </row>
    <row r="2021" spans="1:7">
      <c r="A2021" s="3">
        <v>12</v>
      </c>
      <c r="B2021" s="3">
        <v>4</v>
      </c>
      <c r="C2021" s="3">
        <v>97</v>
      </c>
      <c r="D2021" s="3">
        <v>25</v>
      </c>
      <c r="E2021" s="3">
        <v>196.677</v>
      </c>
      <c r="F2021" s="4" t="str">
        <f>HYPERLINK("http://141.218.60.56/~jnz1568/getInfo.php?workbook=12_04.xlsx&amp;sheet=A0&amp;row=2021&amp;col=6&amp;number=43.6&amp;sourceID=14","43.6")</f>
        <v>43.6</v>
      </c>
      <c r="G2021" s="4" t="str">
        <f>HYPERLINK("http://141.218.60.56/~jnz1568/getInfo.php?workbook=12_04.xlsx&amp;sheet=A0&amp;row=2021&amp;col=7&amp;number=0&amp;sourceID=14","0")</f>
        <v>0</v>
      </c>
    </row>
    <row r="2022" spans="1:7">
      <c r="A2022" s="3">
        <v>12</v>
      </c>
      <c r="B2022" s="3">
        <v>4</v>
      </c>
      <c r="C2022" s="3">
        <v>98</v>
      </c>
      <c r="D2022" s="3">
        <v>25</v>
      </c>
      <c r="E2022" s="3">
        <v>196.006</v>
      </c>
      <c r="F2022" s="4" t="str">
        <f>HYPERLINK("http://141.218.60.56/~jnz1568/getInfo.php?workbook=12_04.xlsx&amp;sheet=A0&amp;row=2022&amp;col=6&amp;number=14500000000&amp;sourceID=14","14500000000")</f>
        <v>14500000000</v>
      </c>
      <c r="G2022" s="4" t="str">
        <f>HYPERLINK("http://141.218.60.56/~jnz1568/getInfo.php?workbook=12_04.xlsx&amp;sheet=A0&amp;row=2022&amp;col=7&amp;number=0&amp;sourceID=14","0")</f>
        <v>0</v>
      </c>
    </row>
    <row r="2023" spans="1:7">
      <c r="A2023" s="3">
        <v>12</v>
      </c>
      <c r="B2023" s="3">
        <v>4</v>
      </c>
      <c r="C2023" s="3">
        <v>27</v>
      </c>
      <c r="D2023" s="3">
        <v>26</v>
      </c>
      <c r="E2023" s="3">
        <v>100000.188</v>
      </c>
      <c r="F2023" s="4" t="str">
        <f>HYPERLINK("http://141.218.60.56/~jnz1568/getInfo.php?workbook=12_04.xlsx&amp;sheet=A0&amp;row=2023&amp;col=6&amp;number=0.0233&amp;sourceID=14","0.0233")</f>
        <v>0.0233</v>
      </c>
      <c r="G2023" s="4" t="str">
        <f>HYPERLINK("http://141.218.60.56/~jnz1568/getInfo.php?workbook=12_04.xlsx&amp;sheet=A0&amp;row=2023&amp;col=7&amp;number=0&amp;sourceID=14","0")</f>
        <v>0</v>
      </c>
    </row>
    <row r="2024" spans="1:7">
      <c r="A2024" s="3">
        <v>12</v>
      </c>
      <c r="B2024" s="3">
        <v>4</v>
      </c>
      <c r="C2024" s="3">
        <v>28</v>
      </c>
      <c r="D2024" s="3">
        <v>26</v>
      </c>
      <c r="E2024" s="3">
        <v>28571.481</v>
      </c>
      <c r="F2024" s="4" t="str">
        <f>HYPERLINK("http://141.218.60.56/~jnz1568/getInfo.php?workbook=12_04.xlsx&amp;sheet=A0&amp;row=2024&amp;col=6&amp;number=1.12e-06&amp;sourceID=14","1.12e-06")</f>
        <v>1.12e-06</v>
      </c>
      <c r="G2024" s="4" t="str">
        <f>HYPERLINK("http://141.218.60.56/~jnz1568/getInfo.php?workbook=12_04.xlsx&amp;sheet=A0&amp;row=2024&amp;col=7&amp;number=0&amp;sourceID=14","0")</f>
        <v>0</v>
      </c>
    </row>
    <row r="2025" spans="1:7">
      <c r="A2025" s="3">
        <v>12</v>
      </c>
      <c r="B2025" s="3">
        <v>4</v>
      </c>
      <c r="C2025" s="3">
        <v>29</v>
      </c>
      <c r="D2025" s="3">
        <v>26</v>
      </c>
      <c r="E2025" s="3">
        <v>6706.92</v>
      </c>
      <c r="F2025" s="4" t="str">
        <f>HYPERLINK("http://141.218.60.56/~jnz1568/getInfo.php?workbook=12_04.xlsx&amp;sheet=A0&amp;row=2025&amp;col=6&amp;number=0.172&amp;sourceID=14","0.172")</f>
        <v>0.172</v>
      </c>
      <c r="G2025" s="4" t="str">
        <f>HYPERLINK("http://141.218.60.56/~jnz1568/getInfo.php?workbook=12_04.xlsx&amp;sheet=A0&amp;row=2025&amp;col=7&amp;number=0&amp;sourceID=14","0")</f>
        <v>0</v>
      </c>
    </row>
    <row r="2026" spans="1:7">
      <c r="A2026" s="3">
        <v>12</v>
      </c>
      <c r="B2026" s="3">
        <v>4</v>
      </c>
      <c r="C2026" s="3">
        <v>30</v>
      </c>
      <c r="D2026" s="3">
        <v>26</v>
      </c>
      <c r="E2026" s="3">
        <v>-4442.676</v>
      </c>
      <c r="F2026" s="4" t="str">
        <f>HYPERLINK("http://141.218.60.56/~jnz1568/getInfo.php?workbook=12_04.xlsx&amp;sheet=A0&amp;row=2026&amp;col=6&amp;number=0.683&amp;sourceID=14","0.683")</f>
        <v>0.683</v>
      </c>
      <c r="G2026" s="4" t="str">
        <f>HYPERLINK("http://141.218.60.56/~jnz1568/getInfo.php?workbook=12_04.xlsx&amp;sheet=A0&amp;row=2026&amp;col=7&amp;number=0&amp;sourceID=14","0")</f>
        <v>0</v>
      </c>
    </row>
    <row r="2027" spans="1:7">
      <c r="A2027" s="3">
        <v>12</v>
      </c>
      <c r="B2027" s="3">
        <v>4</v>
      </c>
      <c r="C2027" s="3">
        <v>31</v>
      </c>
      <c r="D2027" s="3">
        <v>26</v>
      </c>
      <c r="E2027" s="3">
        <v>4306.64</v>
      </c>
      <c r="F2027" s="4" t="str">
        <f>HYPERLINK("http://141.218.60.56/~jnz1568/getInfo.php?workbook=12_04.xlsx&amp;sheet=A0&amp;row=2027&amp;col=6&amp;number=0.729&amp;sourceID=14","0.729")</f>
        <v>0.729</v>
      </c>
      <c r="G2027" s="4" t="str">
        <f>HYPERLINK("http://141.218.60.56/~jnz1568/getInfo.php?workbook=12_04.xlsx&amp;sheet=A0&amp;row=2027&amp;col=7&amp;number=0&amp;sourceID=14","0")</f>
        <v>0</v>
      </c>
    </row>
    <row r="2028" spans="1:7">
      <c r="A2028" s="3">
        <v>12</v>
      </c>
      <c r="B2028" s="3">
        <v>4</v>
      </c>
      <c r="C2028" s="3">
        <v>32</v>
      </c>
      <c r="D2028" s="3">
        <v>26</v>
      </c>
      <c r="E2028" s="3">
        <v>4078.311</v>
      </c>
      <c r="F2028" s="4" t="str">
        <f>HYPERLINK("http://141.218.60.56/~jnz1568/getInfo.php?workbook=12_04.xlsx&amp;sheet=A0&amp;row=2028&amp;col=6&amp;number=0.116&amp;sourceID=14","0.116")</f>
        <v>0.116</v>
      </c>
      <c r="G2028" s="4" t="str">
        <f>HYPERLINK("http://141.218.60.56/~jnz1568/getInfo.php?workbook=12_04.xlsx&amp;sheet=A0&amp;row=2028&amp;col=7&amp;number=0&amp;sourceID=14","0")</f>
        <v>0</v>
      </c>
    </row>
    <row r="2029" spans="1:7">
      <c r="A2029" s="3">
        <v>12</v>
      </c>
      <c r="B2029" s="3">
        <v>4</v>
      </c>
      <c r="C2029" s="3">
        <v>33</v>
      </c>
      <c r="D2029" s="3">
        <v>26</v>
      </c>
      <c r="E2029" s="3">
        <v>-3253.626</v>
      </c>
      <c r="F2029" s="4" t="str">
        <f>HYPERLINK("http://141.218.60.56/~jnz1568/getInfo.php?workbook=12_04.xlsx&amp;sheet=A0&amp;row=2029&amp;col=6&amp;number=16000000&amp;sourceID=14","16000000")</f>
        <v>16000000</v>
      </c>
      <c r="G2029" s="4" t="str">
        <f>HYPERLINK("http://141.218.60.56/~jnz1568/getInfo.php?workbook=12_04.xlsx&amp;sheet=A0&amp;row=2029&amp;col=7&amp;number=0&amp;sourceID=14","0")</f>
        <v>0</v>
      </c>
    </row>
    <row r="2030" spans="1:7">
      <c r="A2030" s="3">
        <v>12</v>
      </c>
      <c r="B2030" s="3">
        <v>4</v>
      </c>
      <c r="C2030" s="3">
        <v>34</v>
      </c>
      <c r="D2030" s="3">
        <v>26</v>
      </c>
      <c r="E2030" s="3">
        <v>-3050.553</v>
      </c>
      <c r="F2030" s="4" t="str">
        <f>HYPERLINK("http://141.218.60.56/~jnz1568/getInfo.php?workbook=12_04.xlsx&amp;sheet=A0&amp;row=2030&amp;col=6&amp;number=5.81e-05&amp;sourceID=14","5.81e-05")</f>
        <v>5.81e-05</v>
      </c>
      <c r="G2030" s="4" t="str">
        <f>HYPERLINK("http://141.218.60.56/~jnz1568/getInfo.php?workbook=12_04.xlsx&amp;sheet=A0&amp;row=2030&amp;col=7&amp;number=0&amp;sourceID=14","0")</f>
        <v>0</v>
      </c>
    </row>
    <row r="2031" spans="1:7">
      <c r="A2031" s="3">
        <v>12</v>
      </c>
      <c r="B2031" s="3">
        <v>4</v>
      </c>
      <c r="C2031" s="3">
        <v>35</v>
      </c>
      <c r="D2031" s="3">
        <v>26</v>
      </c>
      <c r="E2031" s="3">
        <v>2926.549</v>
      </c>
      <c r="F2031" s="4" t="str">
        <f>HYPERLINK("http://141.218.60.56/~jnz1568/getInfo.php?workbook=12_04.xlsx&amp;sheet=A0&amp;row=2031&amp;col=6&amp;number=14000000&amp;sourceID=14","14000000")</f>
        <v>14000000</v>
      </c>
      <c r="G2031" s="4" t="str">
        <f>HYPERLINK("http://141.218.60.56/~jnz1568/getInfo.php?workbook=12_04.xlsx&amp;sheet=A0&amp;row=2031&amp;col=7&amp;number=0&amp;sourceID=14","0")</f>
        <v>0</v>
      </c>
    </row>
    <row r="2032" spans="1:7">
      <c r="A2032" s="3">
        <v>12</v>
      </c>
      <c r="B2032" s="3">
        <v>4</v>
      </c>
      <c r="C2032" s="3">
        <v>36</v>
      </c>
      <c r="D2032" s="3">
        <v>26</v>
      </c>
      <c r="E2032" s="3">
        <v>-2873.899</v>
      </c>
      <c r="F2032" s="4" t="str">
        <f>HYPERLINK("http://141.218.60.56/~jnz1568/getInfo.php?workbook=12_04.xlsx&amp;sheet=A0&amp;row=2032&amp;col=6&amp;number=3e-09&amp;sourceID=14","3e-09")</f>
        <v>3e-09</v>
      </c>
      <c r="G2032" s="4" t="str">
        <f>HYPERLINK("http://141.218.60.56/~jnz1568/getInfo.php?workbook=12_04.xlsx&amp;sheet=A0&amp;row=2032&amp;col=7&amp;number=0&amp;sourceID=14","0")</f>
        <v>0</v>
      </c>
    </row>
    <row r="2033" spans="1:7">
      <c r="A2033" s="3">
        <v>12</v>
      </c>
      <c r="B2033" s="3">
        <v>4</v>
      </c>
      <c r="C2033" s="3">
        <v>37</v>
      </c>
      <c r="D2033" s="3">
        <v>26</v>
      </c>
      <c r="E2033" s="3">
        <v>2475.252</v>
      </c>
      <c r="F2033" s="4" t="str">
        <f>HYPERLINK("http://141.218.60.56/~jnz1568/getInfo.php?workbook=12_04.xlsx&amp;sheet=A0&amp;row=2033&amp;col=6&amp;number=1.56&amp;sourceID=14","1.56")</f>
        <v>1.56</v>
      </c>
      <c r="G2033" s="4" t="str">
        <f>HYPERLINK("http://141.218.60.56/~jnz1568/getInfo.php?workbook=12_04.xlsx&amp;sheet=A0&amp;row=2033&amp;col=7&amp;number=0&amp;sourceID=14","0")</f>
        <v>0</v>
      </c>
    </row>
    <row r="2034" spans="1:7">
      <c r="A2034" s="3">
        <v>12</v>
      </c>
      <c r="B2034" s="3">
        <v>4</v>
      </c>
      <c r="C2034" s="3">
        <v>38</v>
      </c>
      <c r="D2034" s="3">
        <v>26</v>
      </c>
      <c r="E2034" s="3">
        <v>1928.644</v>
      </c>
      <c r="F2034" s="4" t="str">
        <f>HYPERLINK("http://141.218.60.56/~jnz1568/getInfo.php?workbook=12_04.xlsx&amp;sheet=A0&amp;row=2034&amp;col=6&amp;number=19900000&amp;sourceID=14","19900000")</f>
        <v>19900000</v>
      </c>
      <c r="G2034" s="4" t="str">
        <f>HYPERLINK("http://141.218.60.56/~jnz1568/getInfo.php?workbook=12_04.xlsx&amp;sheet=A0&amp;row=2034&amp;col=7&amp;number=0&amp;sourceID=14","0")</f>
        <v>0</v>
      </c>
    </row>
    <row r="2035" spans="1:7">
      <c r="A2035" s="3">
        <v>12</v>
      </c>
      <c r="B2035" s="3">
        <v>4</v>
      </c>
      <c r="C2035" s="3">
        <v>39</v>
      </c>
      <c r="D2035" s="3">
        <v>26</v>
      </c>
      <c r="E2035" s="3">
        <v>1908.765</v>
      </c>
      <c r="F2035" s="4" t="str">
        <f>HYPERLINK("http://141.218.60.56/~jnz1568/getInfo.php?workbook=12_04.xlsx&amp;sheet=A0&amp;row=2035&amp;col=6&amp;number=3340000&amp;sourceID=14","3340000")</f>
        <v>3340000</v>
      </c>
      <c r="G2035" s="4" t="str">
        <f>HYPERLINK("http://141.218.60.56/~jnz1568/getInfo.php?workbook=12_04.xlsx&amp;sheet=A0&amp;row=2035&amp;col=7&amp;number=0&amp;sourceID=14","0")</f>
        <v>0</v>
      </c>
    </row>
    <row r="2036" spans="1:7">
      <c r="A2036" s="3">
        <v>12</v>
      </c>
      <c r="B2036" s="3">
        <v>4</v>
      </c>
      <c r="C2036" s="3">
        <v>40</v>
      </c>
      <c r="D2036" s="3">
        <v>26</v>
      </c>
      <c r="E2036" s="3">
        <v>1873.013</v>
      </c>
      <c r="F2036" s="4" t="str">
        <f>HYPERLINK("http://141.218.60.56/~jnz1568/getInfo.php?workbook=12_04.xlsx&amp;sheet=A0&amp;row=2036&amp;col=6&amp;number=1.32e-05&amp;sourceID=14","1.32e-05")</f>
        <v>1.32e-05</v>
      </c>
      <c r="G2036" s="4" t="str">
        <f>HYPERLINK("http://141.218.60.56/~jnz1568/getInfo.php?workbook=12_04.xlsx&amp;sheet=A0&amp;row=2036&amp;col=7&amp;number=0&amp;sourceID=14","0")</f>
        <v>0</v>
      </c>
    </row>
    <row r="2037" spans="1:7">
      <c r="A2037" s="3">
        <v>12</v>
      </c>
      <c r="B2037" s="3">
        <v>4</v>
      </c>
      <c r="C2037" s="3">
        <v>41</v>
      </c>
      <c r="D2037" s="3">
        <v>26</v>
      </c>
      <c r="E2037" s="3">
        <v>1673.643</v>
      </c>
      <c r="F2037" s="4" t="str">
        <f>HYPERLINK("http://141.218.60.56/~jnz1568/getInfo.php?workbook=12_04.xlsx&amp;sheet=A0&amp;row=2037&amp;col=6&amp;number=178000&amp;sourceID=14","178000")</f>
        <v>178000</v>
      </c>
      <c r="G2037" s="4" t="str">
        <f>HYPERLINK("http://141.218.60.56/~jnz1568/getInfo.php?workbook=12_04.xlsx&amp;sheet=A0&amp;row=2037&amp;col=7&amp;number=0&amp;sourceID=14","0")</f>
        <v>0</v>
      </c>
    </row>
    <row r="2038" spans="1:7">
      <c r="A2038" s="3">
        <v>12</v>
      </c>
      <c r="B2038" s="3">
        <v>4</v>
      </c>
      <c r="C2038" s="3">
        <v>42</v>
      </c>
      <c r="D2038" s="3">
        <v>26</v>
      </c>
      <c r="E2038" s="3">
        <v>1646.365</v>
      </c>
      <c r="F2038" s="4" t="str">
        <f>HYPERLINK("http://141.218.60.56/~jnz1568/getInfo.php?workbook=12_04.xlsx&amp;sheet=A0&amp;row=2038&amp;col=6&amp;number=5430000&amp;sourceID=14","5430000")</f>
        <v>5430000</v>
      </c>
      <c r="G2038" s="4" t="str">
        <f>HYPERLINK("http://141.218.60.56/~jnz1568/getInfo.php?workbook=12_04.xlsx&amp;sheet=A0&amp;row=2038&amp;col=7&amp;number=0&amp;sourceID=14","0")</f>
        <v>0</v>
      </c>
    </row>
    <row r="2039" spans="1:7">
      <c r="A2039" s="3">
        <v>12</v>
      </c>
      <c r="B2039" s="3">
        <v>4</v>
      </c>
      <c r="C2039" s="3">
        <v>43</v>
      </c>
      <c r="D2039" s="3">
        <v>26</v>
      </c>
      <c r="E2039" s="3">
        <v>1632.389</v>
      </c>
      <c r="F2039" s="4" t="str">
        <f>HYPERLINK("http://141.218.60.56/~jnz1568/getInfo.php?workbook=12_04.xlsx&amp;sheet=A0&amp;row=2039&amp;col=6&amp;number=40700000&amp;sourceID=14","40700000")</f>
        <v>40700000</v>
      </c>
      <c r="G2039" s="4" t="str">
        <f>HYPERLINK("http://141.218.60.56/~jnz1568/getInfo.php?workbook=12_04.xlsx&amp;sheet=A0&amp;row=2039&amp;col=7&amp;number=0&amp;sourceID=14","0")</f>
        <v>0</v>
      </c>
    </row>
    <row r="2040" spans="1:7">
      <c r="A2040" s="3">
        <v>12</v>
      </c>
      <c r="B2040" s="3">
        <v>4</v>
      </c>
      <c r="C2040" s="3">
        <v>44</v>
      </c>
      <c r="D2040" s="3">
        <v>26</v>
      </c>
      <c r="E2040" s="3">
        <v>-1307.312</v>
      </c>
      <c r="F2040" s="4" t="str">
        <f>HYPERLINK("http://141.218.60.56/~jnz1568/getInfo.php?workbook=12_04.xlsx&amp;sheet=A0&amp;row=2040&amp;col=6&amp;number=0.0499&amp;sourceID=14","0.0499")</f>
        <v>0.0499</v>
      </c>
      <c r="G2040" s="4" t="str">
        <f>HYPERLINK("http://141.218.60.56/~jnz1568/getInfo.php?workbook=12_04.xlsx&amp;sheet=A0&amp;row=2040&amp;col=7&amp;number=0&amp;sourceID=14","0")</f>
        <v>0</v>
      </c>
    </row>
    <row r="2041" spans="1:7">
      <c r="A2041" s="3">
        <v>12</v>
      </c>
      <c r="B2041" s="3">
        <v>4</v>
      </c>
      <c r="C2041" s="3">
        <v>45</v>
      </c>
      <c r="D2041" s="3">
        <v>26</v>
      </c>
      <c r="E2041" s="3">
        <v>1262.31</v>
      </c>
      <c r="F2041" s="4" t="str">
        <f>HYPERLINK("http://141.218.60.56/~jnz1568/getInfo.php?workbook=12_04.xlsx&amp;sheet=A0&amp;row=2041&amp;col=6&amp;number=0.00966&amp;sourceID=14","0.00966")</f>
        <v>0.00966</v>
      </c>
      <c r="G2041" s="4" t="str">
        <f>HYPERLINK("http://141.218.60.56/~jnz1568/getInfo.php?workbook=12_04.xlsx&amp;sheet=A0&amp;row=2041&amp;col=7&amp;number=0&amp;sourceID=14","0")</f>
        <v>0</v>
      </c>
    </row>
    <row r="2042" spans="1:7">
      <c r="A2042" s="3">
        <v>12</v>
      </c>
      <c r="B2042" s="3">
        <v>4</v>
      </c>
      <c r="C2042" s="3">
        <v>46</v>
      </c>
      <c r="D2042" s="3">
        <v>26</v>
      </c>
      <c r="E2042" s="3">
        <v>1161.577</v>
      </c>
      <c r="F2042" s="4" t="str">
        <f>HYPERLINK("http://141.218.60.56/~jnz1568/getInfo.php?workbook=12_04.xlsx&amp;sheet=A0&amp;row=2042&amp;col=6&amp;number=16800000&amp;sourceID=14","16800000")</f>
        <v>16800000</v>
      </c>
      <c r="G2042" s="4" t="str">
        <f>HYPERLINK("http://141.218.60.56/~jnz1568/getInfo.php?workbook=12_04.xlsx&amp;sheet=A0&amp;row=2042&amp;col=7&amp;number=0&amp;sourceID=14","0")</f>
        <v>0</v>
      </c>
    </row>
    <row r="2043" spans="1:7">
      <c r="A2043" s="3">
        <v>12</v>
      </c>
      <c r="B2043" s="3">
        <v>4</v>
      </c>
      <c r="C2043" s="3">
        <v>47</v>
      </c>
      <c r="D2043" s="3">
        <v>26</v>
      </c>
      <c r="E2043" s="3">
        <v>-351.005</v>
      </c>
      <c r="F2043" s="4" t="str">
        <f>HYPERLINK("http://141.218.60.56/~jnz1568/getInfo.php?workbook=12_04.xlsx&amp;sheet=A0&amp;row=2043&amp;col=6&amp;number=83&amp;sourceID=14","83")</f>
        <v>83</v>
      </c>
      <c r="G2043" s="4" t="str">
        <f>HYPERLINK("http://141.218.60.56/~jnz1568/getInfo.php?workbook=12_04.xlsx&amp;sheet=A0&amp;row=2043&amp;col=7&amp;number=0&amp;sourceID=14","0")</f>
        <v>0</v>
      </c>
    </row>
    <row r="2044" spans="1:7">
      <c r="A2044" s="3">
        <v>12</v>
      </c>
      <c r="B2044" s="3">
        <v>4</v>
      </c>
      <c r="C2044" s="3">
        <v>48</v>
      </c>
      <c r="D2044" s="3">
        <v>26</v>
      </c>
      <c r="E2044" s="3">
        <v>-339.022</v>
      </c>
      <c r="F2044" s="4" t="str">
        <f>HYPERLINK("http://141.218.60.56/~jnz1568/getInfo.php?workbook=12_04.xlsx&amp;sheet=A0&amp;row=2044&amp;col=6&amp;number=0.00293&amp;sourceID=14","0.00293")</f>
        <v>0.00293</v>
      </c>
      <c r="G2044" s="4" t="str">
        <f>HYPERLINK("http://141.218.60.56/~jnz1568/getInfo.php?workbook=12_04.xlsx&amp;sheet=A0&amp;row=2044&amp;col=7&amp;number=0&amp;sourceID=14","0")</f>
        <v>0</v>
      </c>
    </row>
    <row r="2045" spans="1:7">
      <c r="A2045" s="3">
        <v>12</v>
      </c>
      <c r="B2045" s="3">
        <v>4</v>
      </c>
      <c r="C2045" s="3">
        <v>49</v>
      </c>
      <c r="D2045" s="3">
        <v>26</v>
      </c>
      <c r="E2045" s="3">
        <v>-323.109</v>
      </c>
      <c r="F2045" s="4" t="str">
        <f>HYPERLINK("http://141.218.60.56/~jnz1568/getInfo.php?workbook=12_04.xlsx&amp;sheet=A0&amp;row=2045&amp;col=6&amp;number=2580000&amp;sourceID=14","2580000")</f>
        <v>2580000</v>
      </c>
      <c r="G2045" s="4" t="str">
        <f>HYPERLINK("http://141.218.60.56/~jnz1568/getInfo.php?workbook=12_04.xlsx&amp;sheet=A0&amp;row=2045&amp;col=7&amp;number=0&amp;sourceID=14","0")</f>
        <v>0</v>
      </c>
    </row>
    <row r="2046" spans="1:7">
      <c r="A2046" s="3">
        <v>12</v>
      </c>
      <c r="B2046" s="3">
        <v>4</v>
      </c>
      <c r="C2046" s="3">
        <v>50</v>
      </c>
      <c r="D2046" s="3">
        <v>26</v>
      </c>
      <c r="E2046" s="3">
        <v>-322.988</v>
      </c>
      <c r="F2046" s="4" t="str">
        <f>HYPERLINK("http://141.218.60.56/~jnz1568/getInfo.php?workbook=12_04.xlsx&amp;sheet=A0&amp;row=2046&amp;col=6&amp;number=1860000&amp;sourceID=14","1860000")</f>
        <v>1860000</v>
      </c>
      <c r="G2046" s="4" t="str">
        <f>HYPERLINK("http://141.218.60.56/~jnz1568/getInfo.php?workbook=12_04.xlsx&amp;sheet=A0&amp;row=2046&amp;col=7&amp;number=0&amp;sourceID=14","0")</f>
        <v>0</v>
      </c>
    </row>
    <row r="2047" spans="1:7">
      <c r="A2047" s="3">
        <v>12</v>
      </c>
      <c r="B2047" s="3">
        <v>4</v>
      </c>
      <c r="C2047" s="3">
        <v>51</v>
      </c>
      <c r="D2047" s="3">
        <v>26</v>
      </c>
      <c r="E2047" s="3">
        <v>-322.714</v>
      </c>
      <c r="F2047" s="4" t="str">
        <f>HYPERLINK("http://141.218.60.56/~jnz1568/getInfo.php?workbook=12_04.xlsx&amp;sheet=A0&amp;row=2047&amp;col=6&amp;number=554&amp;sourceID=14","554")</f>
        <v>554</v>
      </c>
      <c r="G2047" s="4" t="str">
        <f>HYPERLINK("http://141.218.60.56/~jnz1568/getInfo.php?workbook=12_04.xlsx&amp;sheet=A0&amp;row=2047&amp;col=7&amp;number=0&amp;sourceID=14","0")</f>
        <v>0</v>
      </c>
    </row>
    <row r="2048" spans="1:7">
      <c r="A2048" s="3">
        <v>12</v>
      </c>
      <c r="B2048" s="3">
        <v>4</v>
      </c>
      <c r="C2048" s="3">
        <v>52</v>
      </c>
      <c r="D2048" s="3">
        <v>26</v>
      </c>
      <c r="E2048" s="3">
        <v>319.275</v>
      </c>
      <c r="F2048" s="4" t="str">
        <f>HYPERLINK("http://141.218.60.56/~jnz1568/getInfo.php?workbook=12_04.xlsx&amp;sheet=A0&amp;row=2048&amp;col=6&amp;number=494000&amp;sourceID=14","494000")</f>
        <v>494000</v>
      </c>
      <c r="G2048" s="4" t="str">
        <f>HYPERLINK("http://141.218.60.56/~jnz1568/getInfo.php?workbook=12_04.xlsx&amp;sheet=A0&amp;row=2048&amp;col=7&amp;number=0&amp;sourceID=14","0")</f>
        <v>0</v>
      </c>
    </row>
    <row r="2049" spans="1:7">
      <c r="A2049" s="3">
        <v>12</v>
      </c>
      <c r="B2049" s="3">
        <v>4</v>
      </c>
      <c r="C2049" s="3">
        <v>53</v>
      </c>
      <c r="D2049" s="3">
        <v>26</v>
      </c>
      <c r="E2049" s="3">
        <v>308.167</v>
      </c>
      <c r="F2049" s="4" t="str">
        <f>HYPERLINK("http://141.218.60.56/~jnz1568/getInfo.php?workbook=12_04.xlsx&amp;sheet=A0&amp;row=2049&amp;col=6&amp;number=285&amp;sourceID=14","285")</f>
        <v>285</v>
      </c>
      <c r="G2049" s="4" t="str">
        <f>HYPERLINK("http://141.218.60.56/~jnz1568/getInfo.php?workbook=12_04.xlsx&amp;sheet=A0&amp;row=2049&amp;col=7&amp;number=0&amp;sourceID=14","0")</f>
        <v>0</v>
      </c>
    </row>
    <row r="2050" spans="1:7">
      <c r="A2050" s="3">
        <v>12</v>
      </c>
      <c r="B2050" s="3">
        <v>4</v>
      </c>
      <c r="C2050" s="3">
        <v>54</v>
      </c>
      <c r="D2050" s="3">
        <v>26</v>
      </c>
      <c r="E2050" s="3">
        <v>308.167</v>
      </c>
      <c r="F2050" s="4" t="str">
        <f>HYPERLINK("http://141.218.60.56/~jnz1568/getInfo.php?workbook=12_04.xlsx&amp;sheet=A0&amp;row=2050&amp;col=6&amp;number=150&amp;sourceID=14","150")</f>
        <v>150</v>
      </c>
      <c r="G2050" s="4" t="str">
        <f>HYPERLINK("http://141.218.60.56/~jnz1568/getInfo.php?workbook=12_04.xlsx&amp;sheet=A0&amp;row=2050&amp;col=7&amp;number=0&amp;sourceID=14","0")</f>
        <v>0</v>
      </c>
    </row>
    <row r="2051" spans="1:7">
      <c r="A2051" s="3">
        <v>12</v>
      </c>
      <c r="B2051" s="3">
        <v>4</v>
      </c>
      <c r="C2051" s="3">
        <v>55</v>
      </c>
      <c r="D2051" s="3">
        <v>26</v>
      </c>
      <c r="E2051" s="3">
        <v>308.091</v>
      </c>
      <c r="F2051" s="4" t="str">
        <f>HYPERLINK("http://141.218.60.56/~jnz1568/getInfo.php?workbook=12_04.xlsx&amp;sheet=A0&amp;row=2051&amp;col=6&amp;number=47.1&amp;sourceID=14","47.1")</f>
        <v>47.1</v>
      </c>
      <c r="G2051" s="4" t="str">
        <f>HYPERLINK("http://141.218.60.56/~jnz1568/getInfo.php?workbook=12_04.xlsx&amp;sheet=A0&amp;row=2051&amp;col=7&amp;number=0&amp;sourceID=14","0")</f>
        <v>0</v>
      </c>
    </row>
    <row r="2052" spans="1:7">
      <c r="A2052" s="3">
        <v>12</v>
      </c>
      <c r="B2052" s="3">
        <v>4</v>
      </c>
      <c r="C2052" s="3">
        <v>56</v>
      </c>
      <c r="D2052" s="3">
        <v>26</v>
      </c>
      <c r="E2052" s="3">
        <v>300.825</v>
      </c>
      <c r="F2052" s="4" t="str">
        <f>HYPERLINK("http://141.218.60.56/~jnz1568/getInfo.php?workbook=12_04.xlsx&amp;sheet=A0&amp;row=2052&amp;col=6&amp;number=6.78&amp;sourceID=14","6.78")</f>
        <v>6.78</v>
      </c>
      <c r="G2052" s="4" t="str">
        <f>HYPERLINK("http://141.218.60.56/~jnz1568/getInfo.php?workbook=12_04.xlsx&amp;sheet=A0&amp;row=2052&amp;col=7&amp;number=0&amp;sourceID=14","0")</f>
        <v>0</v>
      </c>
    </row>
    <row r="2053" spans="1:7">
      <c r="A2053" s="3">
        <v>12</v>
      </c>
      <c r="B2053" s="3">
        <v>4</v>
      </c>
      <c r="C2053" s="3">
        <v>57</v>
      </c>
      <c r="D2053" s="3">
        <v>26</v>
      </c>
      <c r="E2053" s="3">
        <v>-300.724</v>
      </c>
      <c r="F2053" s="4" t="str">
        <f>HYPERLINK("http://141.218.60.56/~jnz1568/getInfo.php?workbook=12_04.xlsx&amp;sheet=A0&amp;row=2053&amp;col=6&amp;number=835000000&amp;sourceID=14","835000000")</f>
        <v>835000000</v>
      </c>
      <c r="G2053" s="4" t="str">
        <f>HYPERLINK("http://141.218.60.56/~jnz1568/getInfo.php?workbook=12_04.xlsx&amp;sheet=A0&amp;row=2053&amp;col=7&amp;number=0&amp;sourceID=14","0")</f>
        <v>0</v>
      </c>
    </row>
    <row r="2054" spans="1:7">
      <c r="A2054" s="3">
        <v>12</v>
      </c>
      <c r="B2054" s="3">
        <v>4</v>
      </c>
      <c r="C2054" s="3">
        <v>58</v>
      </c>
      <c r="D2054" s="3">
        <v>26</v>
      </c>
      <c r="E2054" s="3">
        <v>-300.698</v>
      </c>
      <c r="F2054" s="4" t="str">
        <f>HYPERLINK("http://141.218.60.56/~jnz1568/getInfo.php?workbook=12_04.xlsx&amp;sheet=A0&amp;row=2054&amp;col=6&amp;number=0.0805&amp;sourceID=14","0.0805")</f>
        <v>0.0805</v>
      </c>
      <c r="G2054" s="4" t="str">
        <f>HYPERLINK("http://141.218.60.56/~jnz1568/getInfo.php?workbook=12_04.xlsx&amp;sheet=A0&amp;row=2054&amp;col=7&amp;number=0&amp;sourceID=14","0")</f>
        <v>0</v>
      </c>
    </row>
    <row r="2055" spans="1:7">
      <c r="A2055" s="3">
        <v>12</v>
      </c>
      <c r="B2055" s="3">
        <v>4</v>
      </c>
      <c r="C2055" s="3">
        <v>59</v>
      </c>
      <c r="D2055" s="3">
        <v>26</v>
      </c>
      <c r="E2055" s="3">
        <v>-300.664</v>
      </c>
      <c r="F2055" s="4" t="str">
        <f>HYPERLINK("http://141.218.60.56/~jnz1568/getInfo.php?workbook=12_04.xlsx&amp;sheet=A0&amp;row=2055&amp;col=6&amp;number=0.00323&amp;sourceID=14","0.00323")</f>
        <v>0.00323</v>
      </c>
      <c r="G2055" s="4" t="str">
        <f>HYPERLINK("http://141.218.60.56/~jnz1568/getInfo.php?workbook=12_04.xlsx&amp;sheet=A0&amp;row=2055&amp;col=7&amp;number=0&amp;sourceID=14","0")</f>
        <v>0</v>
      </c>
    </row>
    <row r="2056" spans="1:7">
      <c r="A2056" s="3">
        <v>12</v>
      </c>
      <c r="B2056" s="3">
        <v>4</v>
      </c>
      <c r="C2056" s="3">
        <v>60</v>
      </c>
      <c r="D2056" s="3">
        <v>26</v>
      </c>
      <c r="E2056" s="3">
        <v>-298.398</v>
      </c>
      <c r="F2056" s="4" t="str">
        <f>HYPERLINK("http://141.218.60.56/~jnz1568/getInfo.php?workbook=12_04.xlsx&amp;sheet=A0&amp;row=2056&amp;col=6&amp;number=0.625&amp;sourceID=14","0.625")</f>
        <v>0.625</v>
      </c>
      <c r="G2056" s="4" t="str">
        <f>HYPERLINK("http://141.218.60.56/~jnz1568/getInfo.php?workbook=12_04.xlsx&amp;sheet=A0&amp;row=2056&amp;col=7&amp;number=0&amp;sourceID=14","0")</f>
        <v>0</v>
      </c>
    </row>
    <row r="2057" spans="1:7">
      <c r="A2057" s="3">
        <v>12</v>
      </c>
      <c r="B2057" s="3">
        <v>4</v>
      </c>
      <c r="C2057" s="3">
        <v>61</v>
      </c>
      <c r="D2057" s="3">
        <v>26</v>
      </c>
      <c r="E2057" s="3">
        <v>-221.812</v>
      </c>
      <c r="F2057" s="4" t="str">
        <f>HYPERLINK("http://141.218.60.56/~jnz1568/getInfo.php?workbook=12_04.xlsx&amp;sheet=A0&amp;row=2057&amp;col=6&amp;number=9950000000&amp;sourceID=14","9950000000")</f>
        <v>9950000000</v>
      </c>
      <c r="G2057" s="4" t="str">
        <f>HYPERLINK("http://141.218.60.56/~jnz1568/getInfo.php?workbook=12_04.xlsx&amp;sheet=A0&amp;row=2057&amp;col=7&amp;number=0&amp;sourceID=14","0")</f>
        <v>0</v>
      </c>
    </row>
    <row r="2058" spans="1:7">
      <c r="A2058" s="3">
        <v>12</v>
      </c>
      <c r="B2058" s="3">
        <v>4</v>
      </c>
      <c r="C2058" s="3">
        <v>62</v>
      </c>
      <c r="D2058" s="3">
        <v>26</v>
      </c>
      <c r="E2058" s="3">
        <v>-221.361</v>
      </c>
      <c r="F2058" s="4" t="str">
        <f>HYPERLINK("http://141.218.60.56/~jnz1568/getInfo.php?workbook=12_04.xlsx&amp;sheet=A0&amp;row=2058&amp;col=6&amp;number=1690000000&amp;sourceID=14","1690000000")</f>
        <v>1690000000</v>
      </c>
      <c r="G2058" s="4" t="str">
        <f>HYPERLINK("http://141.218.60.56/~jnz1568/getInfo.php?workbook=12_04.xlsx&amp;sheet=A0&amp;row=2058&amp;col=7&amp;number=0&amp;sourceID=14","0")</f>
        <v>0</v>
      </c>
    </row>
    <row r="2059" spans="1:7">
      <c r="A2059" s="3">
        <v>12</v>
      </c>
      <c r="B2059" s="3">
        <v>4</v>
      </c>
      <c r="C2059" s="3">
        <v>63</v>
      </c>
      <c r="D2059" s="3">
        <v>26</v>
      </c>
      <c r="E2059" s="3">
        <v>-219.911</v>
      </c>
      <c r="F2059" s="4" t="str">
        <f>HYPERLINK("http://141.218.60.56/~jnz1568/getInfo.php?workbook=12_04.xlsx&amp;sheet=A0&amp;row=2059&amp;col=6&amp;number=64500000&amp;sourceID=14","64500000")</f>
        <v>64500000</v>
      </c>
      <c r="G2059" s="4" t="str">
        <f>HYPERLINK("http://141.218.60.56/~jnz1568/getInfo.php?workbook=12_04.xlsx&amp;sheet=A0&amp;row=2059&amp;col=7&amp;number=0&amp;sourceID=14","0")</f>
        <v>0</v>
      </c>
    </row>
    <row r="2060" spans="1:7">
      <c r="A2060" s="3">
        <v>12</v>
      </c>
      <c r="B2060" s="3">
        <v>4</v>
      </c>
      <c r="C2060" s="3">
        <v>64</v>
      </c>
      <c r="D2060" s="3">
        <v>26</v>
      </c>
      <c r="E2060" s="3">
        <v>-216.934</v>
      </c>
      <c r="F2060" s="4" t="str">
        <f>HYPERLINK("http://141.218.60.56/~jnz1568/getInfo.php?workbook=12_04.xlsx&amp;sheet=A0&amp;row=2060&amp;col=6&amp;number=543000000&amp;sourceID=14","543000000")</f>
        <v>543000000</v>
      </c>
      <c r="G2060" s="4" t="str">
        <f>HYPERLINK("http://141.218.60.56/~jnz1568/getInfo.php?workbook=12_04.xlsx&amp;sheet=A0&amp;row=2060&amp;col=7&amp;number=0&amp;sourceID=14","0")</f>
        <v>0</v>
      </c>
    </row>
    <row r="2061" spans="1:7">
      <c r="A2061" s="3">
        <v>12</v>
      </c>
      <c r="B2061" s="3">
        <v>4</v>
      </c>
      <c r="C2061" s="3">
        <v>65</v>
      </c>
      <c r="D2061" s="3">
        <v>26</v>
      </c>
      <c r="E2061" s="3">
        <v>-213.449</v>
      </c>
      <c r="F2061" s="4" t="str">
        <f>HYPERLINK("http://141.218.60.56/~jnz1568/getInfo.php?workbook=12_04.xlsx&amp;sheet=A0&amp;row=2061&amp;col=6&amp;number=66900&amp;sourceID=14","66900")</f>
        <v>66900</v>
      </c>
      <c r="G2061" s="4" t="str">
        <f>HYPERLINK("http://141.218.60.56/~jnz1568/getInfo.php?workbook=12_04.xlsx&amp;sheet=A0&amp;row=2061&amp;col=7&amp;number=0&amp;sourceID=14","0")</f>
        <v>0</v>
      </c>
    </row>
    <row r="2062" spans="1:7">
      <c r="A2062" s="3">
        <v>12</v>
      </c>
      <c r="B2062" s="3">
        <v>4</v>
      </c>
      <c r="C2062" s="3">
        <v>66</v>
      </c>
      <c r="D2062" s="3">
        <v>26</v>
      </c>
      <c r="E2062" s="3">
        <v>-212.292</v>
      </c>
      <c r="F2062" s="4" t="str">
        <f>HYPERLINK("http://141.218.60.56/~jnz1568/getInfo.php?workbook=12_04.xlsx&amp;sheet=A0&amp;row=2062&amp;col=6&amp;number=235000&amp;sourceID=14","235000")</f>
        <v>235000</v>
      </c>
      <c r="G2062" s="4" t="str">
        <f>HYPERLINK("http://141.218.60.56/~jnz1568/getInfo.php?workbook=12_04.xlsx&amp;sheet=A0&amp;row=2062&amp;col=7&amp;number=0&amp;sourceID=14","0")</f>
        <v>0</v>
      </c>
    </row>
    <row r="2063" spans="1:7">
      <c r="A2063" s="3">
        <v>12</v>
      </c>
      <c r="B2063" s="3">
        <v>4</v>
      </c>
      <c r="C2063" s="3">
        <v>67</v>
      </c>
      <c r="D2063" s="3">
        <v>26</v>
      </c>
      <c r="E2063" s="3">
        <v>-212.089</v>
      </c>
      <c r="F2063" s="4" t="str">
        <f>HYPERLINK("http://141.218.60.56/~jnz1568/getInfo.php?workbook=12_04.xlsx&amp;sheet=A0&amp;row=2063&amp;col=6&amp;number=166000&amp;sourceID=14","166000")</f>
        <v>166000</v>
      </c>
      <c r="G2063" s="4" t="str">
        <f>HYPERLINK("http://141.218.60.56/~jnz1568/getInfo.php?workbook=12_04.xlsx&amp;sheet=A0&amp;row=2063&amp;col=7&amp;number=0&amp;sourceID=14","0")</f>
        <v>0</v>
      </c>
    </row>
    <row r="2064" spans="1:7">
      <c r="A2064" s="3">
        <v>12</v>
      </c>
      <c r="B2064" s="3">
        <v>4</v>
      </c>
      <c r="C2064" s="3">
        <v>68</v>
      </c>
      <c r="D2064" s="3">
        <v>26</v>
      </c>
      <c r="E2064" s="3">
        <v>210.855</v>
      </c>
      <c r="F2064" s="4" t="str">
        <f>HYPERLINK("http://141.218.60.56/~jnz1568/getInfo.php?workbook=12_04.xlsx&amp;sheet=A0&amp;row=2064&amp;col=6&amp;number=12800&amp;sourceID=14","12800")</f>
        <v>12800</v>
      </c>
      <c r="G2064" s="4" t="str">
        <f>HYPERLINK("http://141.218.60.56/~jnz1568/getInfo.php?workbook=12_04.xlsx&amp;sheet=A0&amp;row=2064&amp;col=7&amp;number=0&amp;sourceID=14","0")</f>
        <v>0</v>
      </c>
    </row>
    <row r="2065" spans="1:7">
      <c r="A2065" s="3">
        <v>12</v>
      </c>
      <c r="B2065" s="3">
        <v>4</v>
      </c>
      <c r="C2065" s="3">
        <v>69</v>
      </c>
      <c r="D2065" s="3">
        <v>26</v>
      </c>
      <c r="E2065" s="3">
        <v>-209.716</v>
      </c>
      <c r="F2065" s="4" t="str">
        <f>HYPERLINK("http://141.218.60.56/~jnz1568/getInfo.php?workbook=12_04.xlsx&amp;sheet=A0&amp;row=2065&amp;col=6&amp;number=572000&amp;sourceID=14","572000")</f>
        <v>572000</v>
      </c>
      <c r="G2065" s="4" t="str">
        <f>HYPERLINK("http://141.218.60.56/~jnz1568/getInfo.php?workbook=12_04.xlsx&amp;sheet=A0&amp;row=2065&amp;col=7&amp;number=0&amp;sourceID=14","0")</f>
        <v>0</v>
      </c>
    </row>
    <row r="2066" spans="1:7">
      <c r="A2066" s="3">
        <v>12</v>
      </c>
      <c r="B2066" s="3">
        <v>4</v>
      </c>
      <c r="C2066" s="3">
        <v>70</v>
      </c>
      <c r="D2066" s="3">
        <v>26</v>
      </c>
      <c r="E2066" s="3">
        <v>-209.439</v>
      </c>
      <c r="F2066" s="4" t="str">
        <f>HYPERLINK("http://141.218.60.56/~jnz1568/getInfo.php?workbook=12_04.xlsx&amp;sheet=A0&amp;row=2066&amp;col=6&amp;number=0.863&amp;sourceID=14","0.863")</f>
        <v>0.863</v>
      </c>
      <c r="G2066" s="4" t="str">
        <f>HYPERLINK("http://141.218.60.56/~jnz1568/getInfo.php?workbook=12_04.xlsx&amp;sheet=A0&amp;row=2066&amp;col=7&amp;number=0&amp;sourceID=14","0")</f>
        <v>0</v>
      </c>
    </row>
    <row r="2067" spans="1:7">
      <c r="A2067" s="3">
        <v>12</v>
      </c>
      <c r="B2067" s="3">
        <v>4</v>
      </c>
      <c r="C2067" s="3">
        <v>71</v>
      </c>
      <c r="D2067" s="3">
        <v>26</v>
      </c>
      <c r="E2067" s="3">
        <v>-208.595</v>
      </c>
      <c r="F2067" s="4" t="str">
        <f>HYPERLINK("http://141.218.60.56/~jnz1568/getInfo.php?workbook=12_04.xlsx&amp;sheet=A0&amp;row=2067&amp;col=6&amp;number=81300&amp;sourceID=14","81300")</f>
        <v>81300</v>
      </c>
      <c r="G2067" s="4" t="str">
        <f>HYPERLINK("http://141.218.60.56/~jnz1568/getInfo.php?workbook=12_04.xlsx&amp;sheet=A0&amp;row=2067&amp;col=7&amp;number=0&amp;sourceID=14","0")</f>
        <v>0</v>
      </c>
    </row>
    <row r="2068" spans="1:7">
      <c r="A2068" s="3">
        <v>12</v>
      </c>
      <c r="B2068" s="3">
        <v>4</v>
      </c>
      <c r="C2068" s="3">
        <v>72</v>
      </c>
      <c r="D2068" s="3">
        <v>26</v>
      </c>
      <c r="E2068" s="3">
        <v>208.386</v>
      </c>
      <c r="F2068" s="4" t="str">
        <f>HYPERLINK("http://141.218.60.56/~jnz1568/getInfo.php?workbook=12_04.xlsx&amp;sheet=A0&amp;row=2068&amp;col=6&amp;number=48500&amp;sourceID=14","48500")</f>
        <v>48500</v>
      </c>
      <c r="G2068" s="4" t="str">
        <f>HYPERLINK("http://141.218.60.56/~jnz1568/getInfo.php?workbook=12_04.xlsx&amp;sheet=A0&amp;row=2068&amp;col=7&amp;number=0&amp;sourceID=14","0")</f>
        <v>0</v>
      </c>
    </row>
    <row r="2069" spans="1:7">
      <c r="A2069" s="3">
        <v>12</v>
      </c>
      <c r="B2069" s="3">
        <v>4</v>
      </c>
      <c r="C2069" s="3">
        <v>73</v>
      </c>
      <c r="D2069" s="3">
        <v>26</v>
      </c>
      <c r="E2069" s="3">
        <v>-207.082</v>
      </c>
      <c r="F2069" s="4" t="str">
        <f>HYPERLINK("http://141.218.60.56/~jnz1568/getInfo.php?workbook=12_04.xlsx&amp;sheet=A0&amp;row=2069&amp;col=6&amp;number=19800000000&amp;sourceID=14","19800000000")</f>
        <v>19800000000</v>
      </c>
      <c r="G2069" s="4" t="str">
        <f>HYPERLINK("http://141.218.60.56/~jnz1568/getInfo.php?workbook=12_04.xlsx&amp;sheet=A0&amp;row=2069&amp;col=7&amp;number=0&amp;sourceID=14","0")</f>
        <v>0</v>
      </c>
    </row>
    <row r="2070" spans="1:7">
      <c r="A2070" s="3">
        <v>12</v>
      </c>
      <c r="B2070" s="3">
        <v>4</v>
      </c>
      <c r="C2070" s="3">
        <v>74</v>
      </c>
      <c r="D2070" s="3">
        <v>26</v>
      </c>
      <c r="E2070" s="3">
        <v>-206.266</v>
      </c>
      <c r="F2070" s="4" t="str">
        <f>HYPERLINK("http://141.218.60.56/~jnz1568/getInfo.php?workbook=12_04.xlsx&amp;sheet=A0&amp;row=2070&amp;col=6&amp;number=20.4&amp;sourceID=14","20.4")</f>
        <v>20.4</v>
      </c>
      <c r="G2070" s="4" t="str">
        <f>HYPERLINK("http://141.218.60.56/~jnz1568/getInfo.php?workbook=12_04.xlsx&amp;sheet=A0&amp;row=2070&amp;col=7&amp;number=0&amp;sourceID=14","0")</f>
        <v>0</v>
      </c>
    </row>
    <row r="2071" spans="1:7">
      <c r="A2071" s="3">
        <v>12</v>
      </c>
      <c r="B2071" s="3">
        <v>4</v>
      </c>
      <c r="C2071" s="3">
        <v>75</v>
      </c>
      <c r="D2071" s="3">
        <v>26</v>
      </c>
      <c r="E2071" s="3">
        <v>205.872</v>
      </c>
      <c r="F2071" s="4" t="str">
        <f>HYPERLINK("http://141.218.60.56/~jnz1568/getInfo.php?workbook=12_04.xlsx&amp;sheet=A0&amp;row=2071&amp;col=6&amp;number=19200000000&amp;sourceID=14","19200000000")</f>
        <v>19200000000</v>
      </c>
      <c r="G2071" s="4" t="str">
        <f>HYPERLINK("http://141.218.60.56/~jnz1568/getInfo.php?workbook=12_04.xlsx&amp;sheet=A0&amp;row=2071&amp;col=7&amp;number=0&amp;sourceID=14","0")</f>
        <v>0</v>
      </c>
    </row>
    <row r="2072" spans="1:7">
      <c r="A2072" s="3">
        <v>12</v>
      </c>
      <c r="B2072" s="3">
        <v>4</v>
      </c>
      <c r="C2072" s="3">
        <v>76</v>
      </c>
      <c r="D2072" s="3">
        <v>26</v>
      </c>
      <c r="E2072" s="3">
        <v>205.927</v>
      </c>
      <c r="F2072" s="4" t="str">
        <f>HYPERLINK("http://141.218.60.56/~jnz1568/getInfo.php?workbook=12_04.xlsx&amp;sheet=A0&amp;row=2072&amp;col=6&amp;number=52300&amp;sourceID=14","52300")</f>
        <v>52300</v>
      </c>
      <c r="G2072" s="4" t="str">
        <f>HYPERLINK("http://141.218.60.56/~jnz1568/getInfo.php?workbook=12_04.xlsx&amp;sheet=A0&amp;row=2072&amp;col=7&amp;number=0&amp;sourceID=14","0")</f>
        <v>0</v>
      </c>
    </row>
    <row r="2073" spans="1:7">
      <c r="A2073" s="3">
        <v>12</v>
      </c>
      <c r="B2073" s="3">
        <v>4</v>
      </c>
      <c r="C2073" s="3">
        <v>77</v>
      </c>
      <c r="D2073" s="3">
        <v>26</v>
      </c>
      <c r="E2073" s="3">
        <v>-205.345</v>
      </c>
      <c r="F2073" s="4" t="str">
        <f>HYPERLINK("http://141.218.60.56/~jnz1568/getInfo.php?workbook=12_04.xlsx&amp;sheet=A0&amp;row=2073&amp;col=6&amp;number=0.703&amp;sourceID=14","0.703")</f>
        <v>0.703</v>
      </c>
      <c r="G2073" s="4" t="str">
        <f>HYPERLINK("http://141.218.60.56/~jnz1568/getInfo.php?workbook=12_04.xlsx&amp;sheet=A0&amp;row=2073&amp;col=7&amp;number=0&amp;sourceID=14","0")</f>
        <v>0</v>
      </c>
    </row>
    <row r="2074" spans="1:7">
      <c r="A2074" s="3">
        <v>12</v>
      </c>
      <c r="B2074" s="3">
        <v>4</v>
      </c>
      <c r="C2074" s="3">
        <v>78</v>
      </c>
      <c r="D2074" s="3">
        <v>26</v>
      </c>
      <c r="E2074" s="3">
        <v>-204.086</v>
      </c>
      <c r="F2074" s="4" t="str">
        <f>HYPERLINK("http://141.218.60.56/~jnz1568/getInfo.php?workbook=12_04.xlsx&amp;sheet=A0&amp;row=2074&amp;col=6&amp;number=6900000000&amp;sourceID=14","6900000000")</f>
        <v>6900000000</v>
      </c>
      <c r="G2074" s="4" t="str">
        <f>HYPERLINK("http://141.218.60.56/~jnz1568/getInfo.php?workbook=12_04.xlsx&amp;sheet=A0&amp;row=2074&amp;col=7&amp;number=0&amp;sourceID=14","0")</f>
        <v>0</v>
      </c>
    </row>
    <row r="2075" spans="1:7">
      <c r="A2075" s="3">
        <v>12</v>
      </c>
      <c r="B2075" s="3">
        <v>4</v>
      </c>
      <c r="C2075" s="3">
        <v>79</v>
      </c>
      <c r="D2075" s="3">
        <v>26</v>
      </c>
      <c r="E2075" s="3">
        <v>-203.828</v>
      </c>
      <c r="F2075" s="4" t="str">
        <f>HYPERLINK("http://141.218.60.56/~jnz1568/getInfo.php?workbook=12_04.xlsx&amp;sheet=A0&amp;row=2075&amp;col=6&amp;number=13700000&amp;sourceID=14","13700000")</f>
        <v>13700000</v>
      </c>
      <c r="G2075" s="4" t="str">
        <f>HYPERLINK("http://141.218.60.56/~jnz1568/getInfo.php?workbook=12_04.xlsx&amp;sheet=A0&amp;row=2075&amp;col=7&amp;number=0&amp;sourceID=14","0")</f>
        <v>0</v>
      </c>
    </row>
    <row r="2076" spans="1:7">
      <c r="A2076" s="3">
        <v>12</v>
      </c>
      <c r="B2076" s="3">
        <v>4</v>
      </c>
      <c r="C2076" s="3">
        <v>80</v>
      </c>
      <c r="D2076" s="3">
        <v>26</v>
      </c>
      <c r="E2076" s="3">
        <v>-203.314</v>
      </c>
      <c r="F2076" s="4" t="str">
        <f>HYPERLINK("http://141.218.60.56/~jnz1568/getInfo.php?workbook=12_04.xlsx&amp;sheet=A0&amp;row=2076&amp;col=6&amp;number=11400&amp;sourceID=14","11400")</f>
        <v>11400</v>
      </c>
      <c r="G2076" s="4" t="str">
        <f>HYPERLINK("http://141.218.60.56/~jnz1568/getInfo.php?workbook=12_04.xlsx&amp;sheet=A0&amp;row=2076&amp;col=7&amp;number=0&amp;sourceID=14","0")</f>
        <v>0</v>
      </c>
    </row>
    <row r="2077" spans="1:7">
      <c r="A2077" s="3">
        <v>12</v>
      </c>
      <c r="B2077" s="3">
        <v>4</v>
      </c>
      <c r="C2077" s="3">
        <v>81</v>
      </c>
      <c r="D2077" s="3">
        <v>26</v>
      </c>
      <c r="E2077" s="3">
        <v>202.931</v>
      </c>
      <c r="F2077" s="4" t="str">
        <f>HYPERLINK("http://141.218.60.56/~jnz1568/getInfo.php?workbook=12_04.xlsx&amp;sheet=A0&amp;row=2077&amp;col=6&amp;number=4.08&amp;sourceID=14","4.08")</f>
        <v>4.08</v>
      </c>
      <c r="G2077" s="4" t="str">
        <f>HYPERLINK("http://141.218.60.56/~jnz1568/getInfo.php?workbook=12_04.xlsx&amp;sheet=A0&amp;row=2077&amp;col=7&amp;number=0&amp;sourceID=14","0")</f>
        <v>0</v>
      </c>
    </row>
    <row r="2078" spans="1:7">
      <c r="A2078" s="3">
        <v>12</v>
      </c>
      <c r="B2078" s="3">
        <v>4</v>
      </c>
      <c r="C2078" s="3">
        <v>82</v>
      </c>
      <c r="D2078" s="3">
        <v>26</v>
      </c>
      <c r="E2078" s="3">
        <v>-203.164</v>
      </c>
      <c r="F2078" s="4" t="str">
        <f>HYPERLINK("http://141.218.60.56/~jnz1568/getInfo.php?workbook=12_04.xlsx&amp;sheet=A0&amp;row=2078&amp;col=6&amp;number=682000&amp;sourceID=14","682000")</f>
        <v>682000</v>
      </c>
      <c r="G2078" s="4" t="str">
        <f>HYPERLINK("http://141.218.60.56/~jnz1568/getInfo.php?workbook=12_04.xlsx&amp;sheet=A0&amp;row=2078&amp;col=7&amp;number=0&amp;sourceID=14","0")</f>
        <v>0</v>
      </c>
    </row>
    <row r="2079" spans="1:7">
      <c r="A2079" s="3">
        <v>12</v>
      </c>
      <c r="B2079" s="3">
        <v>4</v>
      </c>
      <c r="C2079" s="3">
        <v>83</v>
      </c>
      <c r="D2079" s="3">
        <v>26</v>
      </c>
      <c r="E2079" s="3">
        <v>-203.162</v>
      </c>
      <c r="F2079" s="4" t="str">
        <f>HYPERLINK("http://141.218.60.56/~jnz1568/getInfo.php?workbook=12_04.xlsx&amp;sheet=A0&amp;row=2079&amp;col=6&amp;number=1810000&amp;sourceID=14","1810000")</f>
        <v>1810000</v>
      </c>
      <c r="G2079" s="4" t="str">
        <f>HYPERLINK("http://141.218.60.56/~jnz1568/getInfo.php?workbook=12_04.xlsx&amp;sheet=A0&amp;row=2079&amp;col=7&amp;number=0&amp;sourceID=14","0")</f>
        <v>0</v>
      </c>
    </row>
    <row r="2080" spans="1:7">
      <c r="A2080" s="3">
        <v>12</v>
      </c>
      <c r="B2080" s="3">
        <v>4</v>
      </c>
      <c r="C2080" s="3">
        <v>84</v>
      </c>
      <c r="D2080" s="3">
        <v>26</v>
      </c>
      <c r="E2080" s="3">
        <v>-203.028</v>
      </c>
      <c r="F2080" s="4" t="str">
        <f>HYPERLINK("http://141.218.60.56/~jnz1568/getInfo.php?workbook=12_04.xlsx&amp;sheet=A0&amp;row=2080&amp;col=6&amp;number=0.00023&amp;sourceID=14","0.00023")</f>
        <v>0.00023</v>
      </c>
      <c r="G2080" s="4" t="str">
        <f>HYPERLINK("http://141.218.60.56/~jnz1568/getInfo.php?workbook=12_04.xlsx&amp;sheet=A0&amp;row=2080&amp;col=7&amp;number=0&amp;sourceID=14","0")</f>
        <v>0</v>
      </c>
    </row>
    <row r="2081" spans="1:7">
      <c r="A2081" s="3">
        <v>12</v>
      </c>
      <c r="B2081" s="3">
        <v>4</v>
      </c>
      <c r="C2081" s="3">
        <v>85</v>
      </c>
      <c r="D2081" s="3">
        <v>26</v>
      </c>
      <c r="E2081" s="3">
        <v>202.438</v>
      </c>
      <c r="F2081" s="4" t="str">
        <f>HYPERLINK("http://141.218.60.56/~jnz1568/getInfo.php?workbook=12_04.xlsx&amp;sheet=A0&amp;row=2081&amp;col=6&amp;number=101000000&amp;sourceID=14","101000000")</f>
        <v>101000000</v>
      </c>
      <c r="G2081" s="4" t="str">
        <f>HYPERLINK("http://141.218.60.56/~jnz1568/getInfo.php?workbook=12_04.xlsx&amp;sheet=A0&amp;row=2081&amp;col=7&amp;number=0&amp;sourceID=14","0")</f>
        <v>0</v>
      </c>
    </row>
    <row r="2082" spans="1:7">
      <c r="A2082" s="3">
        <v>12</v>
      </c>
      <c r="B2082" s="3">
        <v>4</v>
      </c>
      <c r="C2082" s="3">
        <v>86</v>
      </c>
      <c r="D2082" s="3">
        <v>26</v>
      </c>
      <c r="E2082" s="3">
        <v>202.225</v>
      </c>
      <c r="F2082" s="4" t="str">
        <f>HYPERLINK("http://141.218.60.56/~jnz1568/getInfo.php?workbook=12_04.xlsx&amp;sheet=A0&amp;row=2082&amp;col=6&amp;number=126000000&amp;sourceID=14","126000000")</f>
        <v>126000000</v>
      </c>
      <c r="G2082" s="4" t="str">
        <f>HYPERLINK("http://141.218.60.56/~jnz1568/getInfo.php?workbook=12_04.xlsx&amp;sheet=A0&amp;row=2082&amp;col=7&amp;number=0&amp;sourceID=14","0")</f>
        <v>0</v>
      </c>
    </row>
    <row r="2083" spans="1:7">
      <c r="A2083" s="3">
        <v>12</v>
      </c>
      <c r="B2083" s="3">
        <v>4</v>
      </c>
      <c r="C2083" s="3">
        <v>87</v>
      </c>
      <c r="D2083" s="3">
        <v>26</v>
      </c>
      <c r="E2083" s="3">
        <v>-202.032</v>
      </c>
      <c r="F2083" s="4" t="str">
        <f>HYPERLINK("http://141.218.60.56/~jnz1568/getInfo.php?workbook=12_04.xlsx&amp;sheet=A0&amp;row=2083&amp;col=6&amp;number=826000000&amp;sourceID=14","826000000")</f>
        <v>826000000</v>
      </c>
      <c r="G2083" s="4" t="str">
        <f>HYPERLINK("http://141.218.60.56/~jnz1568/getInfo.php?workbook=12_04.xlsx&amp;sheet=A0&amp;row=2083&amp;col=7&amp;number=0&amp;sourceID=14","0")</f>
        <v>0</v>
      </c>
    </row>
    <row r="2084" spans="1:7">
      <c r="A2084" s="3">
        <v>12</v>
      </c>
      <c r="B2084" s="3">
        <v>4</v>
      </c>
      <c r="C2084" s="3">
        <v>88</v>
      </c>
      <c r="D2084" s="3">
        <v>26</v>
      </c>
      <c r="E2084" s="3">
        <v>-201.713</v>
      </c>
      <c r="F2084" s="4" t="str">
        <f>HYPERLINK("http://141.218.60.56/~jnz1568/getInfo.php?workbook=12_04.xlsx&amp;sheet=A0&amp;row=2084&amp;col=6&amp;number=2010000&amp;sourceID=14","2010000")</f>
        <v>2010000</v>
      </c>
      <c r="G2084" s="4" t="str">
        <f>HYPERLINK("http://141.218.60.56/~jnz1568/getInfo.php?workbook=12_04.xlsx&amp;sheet=A0&amp;row=2084&amp;col=7&amp;number=0&amp;sourceID=14","0")</f>
        <v>0</v>
      </c>
    </row>
    <row r="2085" spans="1:7">
      <c r="A2085" s="3">
        <v>12</v>
      </c>
      <c r="B2085" s="3">
        <v>4</v>
      </c>
      <c r="C2085" s="3">
        <v>89</v>
      </c>
      <c r="D2085" s="3">
        <v>26</v>
      </c>
      <c r="E2085" s="3">
        <v>-201.524</v>
      </c>
      <c r="F2085" s="4" t="str">
        <f>HYPERLINK("http://141.218.60.56/~jnz1568/getInfo.php?workbook=12_04.xlsx&amp;sheet=A0&amp;row=2085&amp;col=6&amp;number=0.000433&amp;sourceID=14","0.000433")</f>
        <v>0.000433</v>
      </c>
      <c r="G2085" s="4" t="str">
        <f>HYPERLINK("http://141.218.60.56/~jnz1568/getInfo.php?workbook=12_04.xlsx&amp;sheet=A0&amp;row=2085&amp;col=7&amp;number=0&amp;sourceID=14","0")</f>
        <v>0</v>
      </c>
    </row>
    <row r="2086" spans="1:7">
      <c r="A2086" s="3">
        <v>12</v>
      </c>
      <c r="B2086" s="3">
        <v>4</v>
      </c>
      <c r="C2086" s="3">
        <v>90</v>
      </c>
      <c r="D2086" s="3">
        <v>26</v>
      </c>
      <c r="E2086" s="3">
        <v>-200.968</v>
      </c>
      <c r="F2086" s="4" t="str">
        <f>HYPERLINK("http://141.218.60.56/~jnz1568/getInfo.php?workbook=12_04.xlsx&amp;sheet=A0&amp;row=2086&amp;col=6&amp;number=1.61e-05&amp;sourceID=14","1.61e-05")</f>
        <v>1.61e-05</v>
      </c>
      <c r="G2086" s="4" t="str">
        <f>HYPERLINK("http://141.218.60.56/~jnz1568/getInfo.php?workbook=12_04.xlsx&amp;sheet=A0&amp;row=2086&amp;col=7&amp;number=0&amp;sourceID=14","0")</f>
        <v>0</v>
      </c>
    </row>
    <row r="2087" spans="1:7">
      <c r="A2087" s="3">
        <v>12</v>
      </c>
      <c r="B2087" s="3">
        <v>4</v>
      </c>
      <c r="C2087" s="3">
        <v>91</v>
      </c>
      <c r="D2087" s="3">
        <v>26</v>
      </c>
      <c r="E2087" s="3">
        <v>-200.477</v>
      </c>
      <c r="F2087" s="4" t="str">
        <f>HYPERLINK("http://141.218.60.56/~jnz1568/getInfo.php?workbook=12_04.xlsx&amp;sheet=A0&amp;row=2087&amp;col=6&amp;number=4340&amp;sourceID=14","4340")</f>
        <v>4340</v>
      </c>
      <c r="G2087" s="4" t="str">
        <f>HYPERLINK("http://141.218.60.56/~jnz1568/getInfo.php?workbook=12_04.xlsx&amp;sheet=A0&amp;row=2087&amp;col=7&amp;number=0&amp;sourceID=14","0")</f>
        <v>0</v>
      </c>
    </row>
    <row r="2088" spans="1:7">
      <c r="A2088" s="3">
        <v>12</v>
      </c>
      <c r="B2088" s="3">
        <v>4</v>
      </c>
      <c r="C2088" s="3">
        <v>92</v>
      </c>
      <c r="D2088" s="3">
        <v>26</v>
      </c>
      <c r="E2088" s="3">
        <v>-200.361</v>
      </c>
      <c r="F2088" s="4" t="str">
        <f>HYPERLINK("http://141.218.60.56/~jnz1568/getInfo.php?workbook=12_04.xlsx&amp;sheet=A0&amp;row=2088&amp;col=6&amp;number=0.00681&amp;sourceID=14","0.00681")</f>
        <v>0.00681</v>
      </c>
      <c r="G2088" s="4" t="str">
        <f>HYPERLINK("http://141.218.60.56/~jnz1568/getInfo.php?workbook=12_04.xlsx&amp;sheet=A0&amp;row=2088&amp;col=7&amp;number=0&amp;sourceID=14","0")</f>
        <v>0</v>
      </c>
    </row>
    <row r="2089" spans="1:7">
      <c r="A2089" s="3">
        <v>12</v>
      </c>
      <c r="B2089" s="3">
        <v>4</v>
      </c>
      <c r="C2089" s="3">
        <v>93</v>
      </c>
      <c r="D2089" s="3">
        <v>26</v>
      </c>
      <c r="E2089" s="3">
        <v>-200.256</v>
      </c>
      <c r="F2089" s="4" t="str">
        <f>HYPERLINK("http://141.218.60.56/~jnz1568/getInfo.php?workbook=12_04.xlsx&amp;sheet=A0&amp;row=2089&amp;col=6&amp;number=9140&amp;sourceID=14","9140")</f>
        <v>9140</v>
      </c>
      <c r="G2089" s="4" t="str">
        <f>HYPERLINK("http://141.218.60.56/~jnz1568/getInfo.php?workbook=12_04.xlsx&amp;sheet=A0&amp;row=2089&amp;col=7&amp;number=0&amp;sourceID=14","0")</f>
        <v>0</v>
      </c>
    </row>
    <row r="2090" spans="1:7">
      <c r="A2090" s="3">
        <v>12</v>
      </c>
      <c r="B2090" s="3">
        <v>4</v>
      </c>
      <c r="C2090" s="3">
        <v>94</v>
      </c>
      <c r="D2090" s="3">
        <v>26</v>
      </c>
      <c r="E2090" s="3">
        <v>-199.869</v>
      </c>
      <c r="F2090" s="4" t="str">
        <f>HYPERLINK("http://141.218.60.56/~jnz1568/getInfo.php?workbook=12_04.xlsx&amp;sheet=A0&amp;row=2090&amp;col=6&amp;number=82000&amp;sourceID=14","82000")</f>
        <v>82000</v>
      </c>
      <c r="G2090" s="4" t="str">
        <f>HYPERLINK("http://141.218.60.56/~jnz1568/getInfo.php?workbook=12_04.xlsx&amp;sheet=A0&amp;row=2090&amp;col=7&amp;number=0&amp;sourceID=14","0")</f>
        <v>0</v>
      </c>
    </row>
    <row r="2091" spans="1:7">
      <c r="A2091" s="3">
        <v>12</v>
      </c>
      <c r="B2091" s="3">
        <v>4</v>
      </c>
      <c r="C2091" s="3">
        <v>95</v>
      </c>
      <c r="D2091" s="3">
        <v>26</v>
      </c>
      <c r="E2091" s="3">
        <v>-199.616</v>
      </c>
      <c r="F2091" s="4" t="str">
        <f>HYPERLINK("http://141.218.60.56/~jnz1568/getInfo.php?workbook=12_04.xlsx&amp;sheet=A0&amp;row=2091&amp;col=6&amp;number=0.000186&amp;sourceID=14","0.000186")</f>
        <v>0.000186</v>
      </c>
      <c r="G2091" s="4" t="str">
        <f>HYPERLINK("http://141.218.60.56/~jnz1568/getInfo.php?workbook=12_04.xlsx&amp;sheet=A0&amp;row=2091&amp;col=7&amp;number=0&amp;sourceID=14","0")</f>
        <v>0</v>
      </c>
    </row>
    <row r="2092" spans="1:7">
      <c r="A2092" s="3">
        <v>12</v>
      </c>
      <c r="B2092" s="3">
        <v>4</v>
      </c>
      <c r="C2092" s="3">
        <v>96</v>
      </c>
      <c r="D2092" s="3">
        <v>26</v>
      </c>
      <c r="E2092" s="3">
        <v>-199.382</v>
      </c>
      <c r="F2092" s="4" t="str">
        <f>HYPERLINK("http://141.218.60.56/~jnz1568/getInfo.php?workbook=12_04.xlsx&amp;sheet=A0&amp;row=2092&amp;col=6&amp;number=249000&amp;sourceID=14","249000")</f>
        <v>249000</v>
      </c>
      <c r="G2092" s="4" t="str">
        <f>HYPERLINK("http://141.218.60.56/~jnz1568/getInfo.php?workbook=12_04.xlsx&amp;sheet=A0&amp;row=2092&amp;col=7&amp;number=0&amp;sourceID=14","0")</f>
        <v>0</v>
      </c>
    </row>
    <row r="2093" spans="1:7">
      <c r="A2093" s="3">
        <v>12</v>
      </c>
      <c r="B2093" s="3">
        <v>4</v>
      </c>
      <c r="C2093" s="3">
        <v>97</v>
      </c>
      <c r="D2093" s="3">
        <v>26</v>
      </c>
      <c r="E2093" s="3">
        <v>199.561</v>
      </c>
      <c r="F2093" s="4" t="str">
        <f>HYPERLINK("http://141.218.60.56/~jnz1568/getInfo.php?workbook=12_04.xlsx&amp;sheet=A0&amp;row=2093&amp;col=6&amp;number=37.7&amp;sourceID=14","37.7")</f>
        <v>37.7</v>
      </c>
      <c r="G2093" s="4" t="str">
        <f>HYPERLINK("http://141.218.60.56/~jnz1568/getInfo.php?workbook=12_04.xlsx&amp;sheet=A0&amp;row=2093&amp;col=7&amp;number=0&amp;sourceID=14","0")</f>
        <v>0</v>
      </c>
    </row>
    <row r="2094" spans="1:7">
      <c r="A2094" s="3">
        <v>12</v>
      </c>
      <c r="B2094" s="3">
        <v>4</v>
      </c>
      <c r="C2094" s="3">
        <v>98</v>
      </c>
      <c r="D2094" s="3">
        <v>26</v>
      </c>
      <c r="E2094" s="3">
        <v>198.871</v>
      </c>
      <c r="F2094" s="4" t="str">
        <f>HYPERLINK("http://141.218.60.56/~jnz1568/getInfo.php?workbook=12_04.xlsx&amp;sheet=A0&amp;row=2094&amp;col=6&amp;number=1230000000&amp;sourceID=14","1230000000")</f>
        <v>1230000000</v>
      </c>
      <c r="G2094" s="4" t="str">
        <f>HYPERLINK("http://141.218.60.56/~jnz1568/getInfo.php?workbook=12_04.xlsx&amp;sheet=A0&amp;row=2094&amp;col=7&amp;number=0&amp;sourceID=14","0")</f>
        <v>0</v>
      </c>
    </row>
    <row r="2095" spans="1:7">
      <c r="A2095" s="3">
        <v>12</v>
      </c>
      <c r="B2095" s="3">
        <v>4</v>
      </c>
      <c r="C2095" s="3">
        <v>28</v>
      </c>
      <c r="D2095" s="3">
        <v>27</v>
      </c>
      <c r="E2095" s="3">
        <v>40000.074</v>
      </c>
      <c r="F2095" s="4" t="str">
        <f>HYPERLINK("http://141.218.60.56/~jnz1568/getInfo.php?workbook=12_04.xlsx&amp;sheet=A0&amp;row=2095&amp;col=6&amp;number=0.28&amp;sourceID=14","0.28")</f>
        <v>0.28</v>
      </c>
      <c r="G2095" s="4" t="str">
        <f>HYPERLINK("http://141.218.60.56/~jnz1568/getInfo.php?workbook=12_04.xlsx&amp;sheet=A0&amp;row=2095&amp;col=7&amp;number=0&amp;sourceID=14","0")</f>
        <v>0</v>
      </c>
    </row>
    <row r="2096" spans="1:7">
      <c r="A2096" s="3">
        <v>12</v>
      </c>
      <c r="B2096" s="3">
        <v>4</v>
      </c>
      <c r="C2096" s="3">
        <v>29</v>
      </c>
      <c r="D2096" s="3">
        <v>27</v>
      </c>
      <c r="E2096" s="3">
        <v>7189.086</v>
      </c>
      <c r="F2096" s="4" t="str">
        <f>HYPERLINK("http://141.218.60.56/~jnz1568/getInfo.php?workbook=12_04.xlsx&amp;sheet=A0&amp;row=2096&amp;col=6&amp;number=0.049&amp;sourceID=14","0.049")</f>
        <v>0.049</v>
      </c>
      <c r="G2096" s="4" t="str">
        <f>HYPERLINK("http://141.218.60.56/~jnz1568/getInfo.php?workbook=12_04.xlsx&amp;sheet=A0&amp;row=2096&amp;col=7&amp;number=0&amp;sourceID=14","0")</f>
        <v>0</v>
      </c>
    </row>
    <row r="2097" spans="1:7">
      <c r="A2097" s="3">
        <v>12</v>
      </c>
      <c r="B2097" s="3">
        <v>4</v>
      </c>
      <c r="C2097" s="3">
        <v>30</v>
      </c>
      <c r="D2097" s="3">
        <v>27</v>
      </c>
      <c r="E2097" s="3">
        <v>-4706.334</v>
      </c>
      <c r="F2097" s="4" t="str">
        <f>HYPERLINK("http://141.218.60.56/~jnz1568/getInfo.php?workbook=12_04.xlsx&amp;sheet=A0&amp;row=2097&amp;col=6&amp;number=0.471&amp;sourceID=14","0.471")</f>
        <v>0.471</v>
      </c>
      <c r="G2097" s="4" t="str">
        <f>HYPERLINK("http://141.218.60.56/~jnz1568/getInfo.php?workbook=12_04.xlsx&amp;sheet=A0&amp;row=2097&amp;col=7&amp;number=0&amp;sourceID=14","0")</f>
        <v>0</v>
      </c>
    </row>
    <row r="2098" spans="1:7">
      <c r="A2098" s="3">
        <v>12</v>
      </c>
      <c r="B2098" s="3">
        <v>4</v>
      </c>
      <c r="C2098" s="3">
        <v>31</v>
      </c>
      <c r="D2098" s="3">
        <v>27</v>
      </c>
      <c r="E2098" s="3">
        <v>4500.458</v>
      </c>
      <c r="F2098" s="4" t="str">
        <f>HYPERLINK("http://141.218.60.56/~jnz1568/getInfo.php?workbook=12_04.xlsx&amp;sheet=A0&amp;row=2098&amp;col=6&amp;number=0.0252&amp;sourceID=14","0.0252")</f>
        <v>0.0252</v>
      </c>
      <c r="G2098" s="4" t="str">
        <f>HYPERLINK("http://141.218.60.56/~jnz1568/getInfo.php?workbook=12_04.xlsx&amp;sheet=A0&amp;row=2098&amp;col=7&amp;number=0&amp;sourceID=14","0")</f>
        <v>0</v>
      </c>
    </row>
    <row r="2099" spans="1:7">
      <c r="A2099" s="3">
        <v>12</v>
      </c>
      <c r="B2099" s="3">
        <v>4</v>
      </c>
      <c r="C2099" s="3">
        <v>32</v>
      </c>
      <c r="D2099" s="3">
        <v>27</v>
      </c>
      <c r="E2099" s="3">
        <v>4251.708</v>
      </c>
      <c r="F2099" s="4" t="str">
        <f>HYPERLINK("http://141.218.60.56/~jnz1568/getInfo.php?workbook=12_04.xlsx&amp;sheet=A0&amp;row=2099&amp;col=6&amp;number=0.53&amp;sourceID=14","0.53")</f>
        <v>0.53</v>
      </c>
      <c r="G2099" s="4" t="str">
        <f>HYPERLINK("http://141.218.60.56/~jnz1568/getInfo.php?workbook=12_04.xlsx&amp;sheet=A0&amp;row=2099&amp;col=7&amp;number=0&amp;sourceID=14","0")</f>
        <v>0</v>
      </c>
    </row>
    <row r="2100" spans="1:7">
      <c r="A2100" s="3">
        <v>12</v>
      </c>
      <c r="B2100" s="3">
        <v>4</v>
      </c>
      <c r="C2100" s="3">
        <v>33</v>
      </c>
      <c r="D2100" s="3">
        <v>27</v>
      </c>
      <c r="E2100" s="3">
        <v>-3392.827</v>
      </c>
      <c r="F2100" s="4" t="str">
        <f>HYPERLINK("http://141.218.60.56/~jnz1568/getInfo.php?workbook=12_04.xlsx&amp;sheet=A0&amp;row=2100&amp;col=6&amp;number=3350000&amp;sourceID=14","3350000")</f>
        <v>3350000</v>
      </c>
      <c r="G2100" s="4" t="str">
        <f>HYPERLINK("http://141.218.60.56/~jnz1568/getInfo.php?workbook=12_04.xlsx&amp;sheet=A0&amp;row=2100&amp;col=7&amp;number=0&amp;sourceID=14","0")</f>
        <v>0</v>
      </c>
    </row>
    <row r="2101" spans="1:7">
      <c r="A2101" s="3">
        <v>12</v>
      </c>
      <c r="B2101" s="3">
        <v>4</v>
      </c>
      <c r="C2101" s="3">
        <v>34</v>
      </c>
      <c r="D2101" s="3">
        <v>27</v>
      </c>
      <c r="E2101" s="3">
        <v>-3172.595</v>
      </c>
      <c r="F2101" s="4" t="str">
        <f>HYPERLINK("http://141.218.60.56/~jnz1568/getInfo.php?workbook=12_04.xlsx&amp;sheet=A0&amp;row=2101&amp;col=6&amp;number=30600000&amp;sourceID=14","30600000")</f>
        <v>30600000</v>
      </c>
      <c r="G2101" s="4" t="str">
        <f>HYPERLINK("http://141.218.60.56/~jnz1568/getInfo.php?workbook=12_04.xlsx&amp;sheet=A0&amp;row=2101&amp;col=7&amp;number=0&amp;sourceID=14","0")</f>
        <v>0</v>
      </c>
    </row>
    <row r="2102" spans="1:7">
      <c r="A2102" s="3">
        <v>12</v>
      </c>
      <c r="B2102" s="3">
        <v>4</v>
      </c>
      <c r="C2102" s="3">
        <v>35</v>
      </c>
      <c r="D2102" s="3">
        <v>27</v>
      </c>
      <c r="E2102" s="3">
        <v>3014.778</v>
      </c>
      <c r="F2102" s="4" t="str">
        <f>HYPERLINK("http://141.218.60.56/~jnz1568/getInfo.php?workbook=12_04.xlsx&amp;sheet=A0&amp;row=2102&amp;col=6&amp;number=823000&amp;sourceID=14","823000")</f>
        <v>823000</v>
      </c>
      <c r="G2102" s="4" t="str">
        <f>HYPERLINK("http://141.218.60.56/~jnz1568/getInfo.php?workbook=12_04.xlsx&amp;sheet=A0&amp;row=2102&amp;col=7&amp;number=0&amp;sourceID=14","0")</f>
        <v>0</v>
      </c>
    </row>
    <row r="2103" spans="1:7">
      <c r="A2103" s="3">
        <v>12</v>
      </c>
      <c r="B2103" s="3">
        <v>4</v>
      </c>
      <c r="C2103" s="3">
        <v>36</v>
      </c>
      <c r="D2103" s="3">
        <v>27</v>
      </c>
      <c r="E2103" s="3">
        <v>-2981.965</v>
      </c>
      <c r="F2103" s="4" t="str">
        <f>HYPERLINK("http://141.218.60.56/~jnz1568/getInfo.php?workbook=12_04.xlsx&amp;sheet=A0&amp;row=2103&amp;col=6&amp;number=6.62e-05&amp;sourceID=14","6.62e-05")</f>
        <v>6.62e-05</v>
      </c>
      <c r="G2103" s="4" t="str">
        <f>HYPERLINK("http://141.218.60.56/~jnz1568/getInfo.php?workbook=12_04.xlsx&amp;sheet=A0&amp;row=2103&amp;col=7&amp;number=0&amp;sourceID=14","0")</f>
        <v>0</v>
      </c>
    </row>
    <row r="2104" spans="1:7">
      <c r="A2104" s="3">
        <v>12</v>
      </c>
      <c r="B2104" s="3">
        <v>4</v>
      </c>
      <c r="C2104" s="3">
        <v>37</v>
      </c>
      <c r="D2104" s="3">
        <v>27</v>
      </c>
      <c r="E2104" s="3">
        <v>2538.076</v>
      </c>
      <c r="F2104" s="4" t="str">
        <f>HYPERLINK("http://141.218.60.56/~jnz1568/getInfo.php?workbook=12_04.xlsx&amp;sheet=A0&amp;row=2104&amp;col=6&amp;number=0.302&amp;sourceID=14","0.302")</f>
        <v>0.302</v>
      </c>
      <c r="G2104" s="4" t="str">
        <f>HYPERLINK("http://141.218.60.56/~jnz1568/getInfo.php?workbook=12_04.xlsx&amp;sheet=A0&amp;row=2104&amp;col=7&amp;number=0&amp;sourceID=14","0")</f>
        <v>0</v>
      </c>
    </row>
    <row r="2105" spans="1:7">
      <c r="A2105" s="3">
        <v>12</v>
      </c>
      <c r="B2105" s="3">
        <v>4</v>
      </c>
      <c r="C2105" s="3">
        <v>38</v>
      </c>
      <c r="D2105" s="3">
        <v>27</v>
      </c>
      <c r="E2105" s="3">
        <v>1966.572</v>
      </c>
      <c r="F2105" s="4" t="str">
        <f>HYPERLINK("http://141.218.60.56/~jnz1568/getInfo.php?workbook=12_04.xlsx&amp;sheet=A0&amp;row=2105&amp;col=6&amp;number=3880000&amp;sourceID=14","3880000")</f>
        <v>3880000</v>
      </c>
      <c r="G2105" s="4" t="str">
        <f>HYPERLINK("http://141.218.60.56/~jnz1568/getInfo.php?workbook=12_04.xlsx&amp;sheet=A0&amp;row=2105&amp;col=7&amp;number=0&amp;sourceID=14","0")</f>
        <v>0</v>
      </c>
    </row>
    <row r="2106" spans="1:7">
      <c r="A2106" s="3">
        <v>12</v>
      </c>
      <c r="B2106" s="3">
        <v>4</v>
      </c>
      <c r="C2106" s="3">
        <v>39</v>
      </c>
      <c r="D2106" s="3">
        <v>27</v>
      </c>
      <c r="E2106" s="3">
        <v>1945.908</v>
      </c>
      <c r="F2106" s="4" t="str">
        <f>HYPERLINK("http://141.218.60.56/~jnz1568/getInfo.php?workbook=12_04.xlsx&amp;sheet=A0&amp;row=2106&amp;col=6&amp;number=22400000&amp;sourceID=14","22400000")</f>
        <v>22400000</v>
      </c>
      <c r="G2106" s="4" t="str">
        <f>HYPERLINK("http://141.218.60.56/~jnz1568/getInfo.php?workbook=12_04.xlsx&amp;sheet=A0&amp;row=2106&amp;col=7&amp;number=0&amp;sourceID=14","0")</f>
        <v>0</v>
      </c>
    </row>
    <row r="2107" spans="1:7">
      <c r="A2107" s="3">
        <v>12</v>
      </c>
      <c r="B2107" s="3">
        <v>4</v>
      </c>
      <c r="C2107" s="3">
        <v>40</v>
      </c>
      <c r="D2107" s="3">
        <v>27</v>
      </c>
      <c r="E2107" s="3">
        <v>1908.765</v>
      </c>
      <c r="F2107" s="4" t="str">
        <f>HYPERLINK("http://141.218.60.56/~jnz1568/getInfo.php?workbook=12_04.xlsx&amp;sheet=A0&amp;row=2107&amp;col=6&amp;number=2200000&amp;sourceID=14","2200000")</f>
        <v>2200000</v>
      </c>
      <c r="G2107" s="4" t="str">
        <f>HYPERLINK("http://141.218.60.56/~jnz1568/getInfo.php?workbook=12_04.xlsx&amp;sheet=A0&amp;row=2107&amp;col=7&amp;number=0&amp;sourceID=14","0")</f>
        <v>0</v>
      </c>
    </row>
    <row r="2108" spans="1:7">
      <c r="A2108" s="3">
        <v>12</v>
      </c>
      <c r="B2108" s="3">
        <v>4</v>
      </c>
      <c r="C2108" s="3">
        <v>41</v>
      </c>
      <c r="D2108" s="3">
        <v>27</v>
      </c>
      <c r="E2108" s="3">
        <v>1702.131</v>
      </c>
      <c r="F2108" s="4" t="str">
        <f>HYPERLINK("http://141.218.60.56/~jnz1568/getInfo.php?workbook=12_04.xlsx&amp;sheet=A0&amp;row=2108&amp;col=6&amp;number=2780000&amp;sourceID=14","2780000")</f>
        <v>2780000</v>
      </c>
      <c r="G2108" s="4" t="str">
        <f>HYPERLINK("http://141.218.60.56/~jnz1568/getInfo.php?workbook=12_04.xlsx&amp;sheet=A0&amp;row=2108&amp;col=7&amp;number=0&amp;sourceID=14","0")</f>
        <v>0</v>
      </c>
    </row>
    <row r="2109" spans="1:7">
      <c r="A2109" s="3">
        <v>12</v>
      </c>
      <c r="B2109" s="3">
        <v>4</v>
      </c>
      <c r="C2109" s="3">
        <v>42</v>
      </c>
      <c r="D2109" s="3">
        <v>27</v>
      </c>
      <c r="E2109" s="3">
        <v>1673.924</v>
      </c>
      <c r="F2109" s="4" t="str">
        <f>HYPERLINK("http://141.218.60.56/~jnz1568/getInfo.php?workbook=12_04.xlsx&amp;sheet=A0&amp;row=2109&amp;col=6&amp;number=31700000&amp;sourceID=14","31700000")</f>
        <v>31700000</v>
      </c>
      <c r="G2109" s="4" t="str">
        <f>HYPERLINK("http://141.218.60.56/~jnz1568/getInfo.php?workbook=12_04.xlsx&amp;sheet=A0&amp;row=2109&amp;col=7&amp;number=0&amp;sourceID=14","0")</f>
        <v>0</v>
      </c>
    </row>
    <row r="2110" spans="1:7">
      <c r="A2110" s="3">
        <v>12</v>
      </c>
      <c r="B2110" s="3">
        <v>4</v>
      </c>
      <c r="C2110" s="3">
        <v>43</v>
      </c>
      <c r="D2110" s="3">
        <v>27</v>
      </c>
      <c r="E2110" s="3">
        <v>1659.479</v>
      </c>
      <c r="F2110" s="4" t="str">
        <f>HYPERLINK("http://141.218.60.56/~jnz1568/getInfo.php?workbook=12_04.xlsx&amp;sheet=A0&amp;row=2110&amp;col=6&amp;number=4.65e-05&amp;sourceID=14","4.65e-05")</f>
        <v>4.65e-05</v>
      </c>
      <c r="G2110" s="4" t="str">
        <f>HYPERLINK("http://141.218.60.56/~jnz1568/getInfo.php?workbook=12_04.xlsx&amp;sheet=A0&amp;row=2110&amp;col=7&amp;number=0&amp;sourceID=14","0")</f>
        <v>0</v>
      </c>
    </row>
    <row r="2111" spans="1:7">
      <c r="A2111" s="3">
        <v>12</v>
      </c>
      <c r="B2111" s="3">
        <v>4</v>
      </c>
      <c r="C2111" s="3">
        <v>44</v>
      </c>
      <c r="D2111" s="3">
        <v>27</v>
      </c>
      <c r="E2111" s="3">
        <v>-1329.224</v>
      </c>
      <c r="F2111" s="4" t="str">
        <f>HYPERLINK("http://141.218.60.56/~jnz1568/getInfo.php?workbook=12_04.xlsx&amp;sheet=A0&amp;row=2111&amp;col=6&amp;number=0.00149&amp;sourceID=14","0.00149")</f>
        <v>0.00149</v>
      </c>
      <c r="G2111" s="4" t="str">
        <f>HYPERLINK("http://141.218.60.56/~jnz1568/getInfo.php?workbook=12_04.xlsx&amp;sheet=A0&amp;row=2111&amp;col=7&amp;number=0&amp;sourceID=14","0")</f>
        <v>0</v>
      </c>
    </row>
    <row r="2112" spans="1:7">
      <c r="A2112" s="3">
        <v>12</v>
      </c>
      <c r="B2112" s="3">
        <v>4</v>
      </c>
      <c r="C2112" s="3">
        <v>45</v>
      </c>
      <c r="D2112" s="3">
        <v>27</v>
      </c>
      <c r="E2112" s="3">
        <v>1278.448</v>
      </c>
      <c r="F2112" s="4" t="str">
        <f>HYPERLINK("http://141.218.60.56/~jnz1568/getInfo.php?workbook=12_04.xlsx&amp;sheet=A0&amp;row=2112&amp;col=6&amp;number=486&amp;sourceID=14","486")</f>
        <v>486</v>
      </c>
      <c r="G2112" s="4" t="str">
        <f>HYPERLINK("http://141.218.60.56/~jnz1568/getInfo.php?workbook=12_04.xlsx&amp;sheet=A0&amp;row=2112&amp;col=7&amp;number=0&amp;sourceID=14","0")</f>
        <v>0</v>
      </c>
    </row>
    <row r="2113" spans="1:7">
      <c r="A2113" s="3">
        <v>12</v>
      </c>
      <c r="B2113" s="3">
        <v>4</v>
      </c>
      <c r="C2113" s="3">
        <v>46</v>
      </c>
      <c r="D2113" s="3">
        <v>27</v>
      </c>
      <c r="E2113" s="3">
        <v>1175.228</v>
      </c>
      <c r="F2113" s="4" t="str">
        <f>HYPERLINK("http://141.218.60.56/~jnz1568/getInfo.php?workbook=12_04.xlsx&amp;sheet=A0&amp;row=2113&amp;col=6&amp;number=61700&amp;sourceID=14","61700")</f>
        <v>61700</v>
      </c>
      <c r="G2113" s="4" t="str">
        <f>HYPERLINK("http://141.218.60.56/~jnz1568/getInfo.php?workbook=12_04.xlsx&amp;sheet=A0&amp;row=2113&amp;col=7&amp;number=0&amp;sourceID=14","0")</f>
        <v>0</v>
      </c>
    </row>
    <row r="2114" spans="1:7">
      <c r="A2114" s="3">
        <v>12</v>
      </c>
      <c r="B2114" s="3">
        <v>4</v>
      </c>
      <c r="C2114" s="3">
        <v>47</v>
      </c>
      <c r="D2114" s="3">
        <v>27</v>
      </c>
      <c r="E2114" s="3">
        <v>-352.565</v>
      </c>
      <c r="F2114" s="4" t="str">
        <f>HYPERLINK("http://141.218.60.56/~jnz1568/getInfo.php?workbook=12_04.xlsx&amp;sheet=A0&amp;row=2114&amp;col=6&amp;number=147&amp;sourceID=14","147")</f>
        <v>147</v>
      </c>
      <c r="G2114" s="4" t="str">
        <f>HYPERLINK("http://141.218.60.56/~jnz1568/getInfo.php?workbook=12_04.xlsx&amp;sheet=A0&amp;row=2114&amp;col=7&amp;number=0&amp;sourceID=14","0")</f>
        <v>0</v>
      </c>
    </row>
    <row r="2115" spans="1:7">
      <c r="A2115" s="3">
        <v>12</v>
      </c>
      <c r="B2115" s="3">
        <v>4</v>
      </c>
      <c r="C2115" s="3">
        <v>48</v>
      </c>
      <c r="D2115" s="3">
        <v>27</v>
      </c>
      <c r="E2115" s="3">
        <v>-340.477</v>
      </c>
      <c r="F2115" s="4" t="str">
        <f>HYPERLINK("http://141.218.60.56/~jnz1568/getInfo.php?workbook=12_04.xlsx&amp;sheet=A0&amp;row=2115&amp;col=6&amp;number=6.89&amp;sourceID=14","6.89")</f>
        <v>6.89</v>
      </c>
      <c r="G2115" s="4" t="str">
        <f>HYPERLINK("http://141.218.60.56/~jnz1568/getInfo.php?workbook=12_04.xlsx&amp;sheet=A0&amp;row=2115&amp;col=7&amp;number=0&amp;sourceID=14","0")</f>
        <v>0</v>
      </c>
    </row>
    <row r="2116" spans="1:7">
      <c r="A2116" s="3">
        <v>12</v>
      </c>
      <c r="B2116" s="3">
        <v>4</v>
      </c>
      <c r="C2116" s="3">
        <v>49</v>
      </c>
      <c r="D2116" s="3">
        <v>27</v>
      </c>
      <c r="E2116" s="3">
        <v>-324.43</v>
      </c>
      <c r="F2116" s="4" t="str">
        <f>HYPERLINK("http://141.218.60.56/~jnz1568/getInfo.php?workbook=12_04.xlsx&amp;sheet=A0&amp;row=2116&amp;col=6&amp;number=5.57e-07&amp;sourceID=14","5.57e-07")</f>
        <v>5.57e-07</v>
      </c>
      <c r="G2116" s="4" t="str">
        <f>HYPERLINK("http://141.218.60.56/~jnz1568/getInfo.php?workbook=12_04.xlsx&amp;sheet=A0&amp;row=2116&amp;col=7&amp;number=0&amp;sourceID=14","0")</f>
        <v>0</v>
      </c>
    </row>
    <row r="2117" spans="1:7">
      <c r="A2117" s="3">
        <v>12</v>
      </c>
      <c r="B2117" s="3">
        <v>4</v>
      </c>
      <c r="C2117" s="3">
        <v>50</v>
      </c>
      <c r="D2117" s="3">
        <v>27</v>
      </c>
      <c r="E2117" s="3">
        <v>-324.308</v>
      </c>
      <c r="F2117" s="4" t="str">
        <f>HYPERLINK("http://141.218.60.56/~jnz1568/getInfo.php?workbook=12_04.xlsx&amp;sheet=A0&amp;row=2117&amp;col=6&amp;number=2750000&amp;sourceID=14","2750000")</f>
        <v>2750000</v>
      </c>
      <c r="G2117" s="4" t="str">
        <f>HYPERLINK("http://141.218.60.56/~jnz1568/getInfo.php?workbook=12_04.xlsx&amp;sheet=A0&amp;row=2117&amp;col=7&amp;number=0&amp;sourceID=14","0")</f>
        <v>0</v>
      </c>
    </row>
    <row r="2118" spans="1:7">
      <c r="A2118" s="3">
        <v>12</v>
      </c>
      <c r="B2118" s="3">
        <v>4</v>
      </c>
      <c r="C2118" s="3">
        <v>51</v>
      </c>
      <c r="D2118" s="3">
        <v>27</v>
      </c>
      <c r="E2118" s="3">
        <v>-324.033</v>
      </c>
      <c r="F2118" s="4" t="str">
        <f>HYPERLINK("http://141.218.60.56/~jnz1568/getInfo.php?workbook=12_04.xlsx&amp;sheet=A0&amp;row=2118&amp;col=6&amp;number=894000&amp;sourceID=14","894000")</f>
        <v>894000</v>
      </c>
      <c r="G2118" s="4" t="str">
        <f>HYPERLINK("http://141.218.60.56/~jnz1568/getInfo.php?workbook=12_04.xlsx&amp;sheet=A0&amp;row=2118&amp;col=7&amp;number=0&amp;sourceID=14","0")</f>
        <v>0</v>
      </c>
    </row>
    <row r="2119" spans="1:7">
      <c r="A2119" s="3">
        <v>12</v>
      </c>
      <c r="B2119" s="3">
        <v>4</v>
      </c>
      <c r="C2119" s="3">
        <v>52</v>
      </c>
      <c r="D2119" s="3">
        <v>27</v>
      </c>
      <c r="E2119" s="3">
        <v>320.298</v>
      </c>
      <c r="F2119" s="4" t="str">
        <f>HYPERLINK("http://141.218.60.56/~jnz1568/getInfo.php?workbook=12_04.xlsx&amp;sheet=A0&amp;row=2119&amp;col=6&amp;number=522000&amp;sourceID=14","522000")</f>
        <v>522000</v>
      </c>
      <c r="G2119" s="4" t="str">
        <f>HYPERLINK("http://141.218.60.56/~jnz1568/getInfo.php?workbook=12_04.xlsx&amp;sheet=A0&amp;row=2119&amp;col=7&amp;number=0&amp;sourceID=14","0")</f>
        <v>0</v>
      </c>
    </row>
    <row r="2120" spans="1:7">
      <c r="A2120" s="3">
        <v>12</v>
      </c>
      <c r="B2120" s="3">
        <v>4</v>
      </c>
      <c r="C2120" s="3">
        <v>53</v>
      </c>
      <c r="D2120" s="3">
        <v>27</v>
      </c>
      <c r="E2120" s="3">
        <v>309.12</v>
      </c>
      <c r="F2120" s="4" t="str">
        <f>HYPERLINK("http://141.218.60.56/~jnz1568/getInfo.php?workbook=12_04.xlsx&amp;sheet=A0&amp;row=2120&amp;col=6&amp;number=350&amp;sourceID=14","350")</f>
        <v>350</v>
      </c>
      <c r="G2120" s="4" t="str">
        <f>HYPERLINK("http://141.218.60.56/~jnz1568/getInfo.php?workbook=12_04.xlsx&amp;sheet=A0&amp;row=2120&amp;col=7&amp;number=0&amp;sourceID=14","0")</f>
        <v>0</v>
      </c>
    </row>
    <row r="2121" spans="1:7">
      <c r="A2121" s="3">
        <v>12</v>
      </c>
      <c r="B2121" s="3">
        <v>4</v>
      </c>
      <c r="C2121" s="3">
        <v>54</v>
      </c>
      <c r="D2121" s="3">
        <v>27</v>
      </c>
      <c r="E2121" s="3">
        <v>309.12</v>
      </c>
      <c r="F2121" s="4" t="str">
        <f>HYPERLINK("http://141.218.60.56/~jnz1568/getInfo.php?workbook=12_04.xlsx&amp;sheet=A0&amp;row=2121&amp;col=6&amp;number=147&amp;sourceID=14","147")</f>
        <v>147</v>
      </c>
      <c r="G2121" s="4" t="str">
        <f>HYPERLINK("http://141.218.60.56/~jnz1568/getInfo.php?workbook=12_04.xlsx&amp;sheet=A0&amp;row=2121&amp;col=7&amp;number=0&amp;sourceID=14","0")</f>
        <v>0</v>
      </c>
    </row>
    <row r="2122" spans="1:7">
      <c r="A2122" s="3">
        <v>12</v>
      </c>
      <c r="B2122" s="3">
        <v>4</v>
      </c>
      <c r="C2122" s="3">
        <v>55</v>
      </c>
      <c r="D2122" s="3">
        <v>27</v>
      </c>
      <c r="E2122" s="3">
        <v>309.043</v>
      </c>
      <c r="F2122" s="4" t="str">
        <f>HYPERLINK("http://141.218.60.56/~jnz1568/getInfo.php?workbook=12_04.xlsx&amp;sheet=A0&amp;row=2122&amp;col=6&amp;number=183&amp;sourceID=14","183")</f>
        <v>183</v>
      </c>
      <c r="G2122" s="4" t="str">
        <f>HYPERLINK("http://141.218.60.56/~jnz1568/getInfo.php?workbook=12_04.xlsx&amp;sheet=A0&amp;row=2122&amp;col=7&amp;number=0&amp;sourceID=14","0")</f>
        <v>0</v>
      </c>
    </row>
    <row r="2123" spans="1:7">
      <c r="A2123" s="3">
        <v>12</v>
      </c>
      <c r="B2123" s="3">
        <v>4</v>
      </c>
      <c r="C2123" s="3">
        <v>56</v>
      </c>
      <c r="D2123" s="3">
        <v>27</v>
      </c>
      <c r="E2123" s="3">
        <v>301.733</v>
      </c>
      <c r="F2123" s="4" t="str">
        <f>HYPERLINK("http://141.218.60.56/~jnz1568/getInfo.php?workbook=12_04.xlsx&amp;sheet=A0&amp;row=2123&amp;col=6&amp;number=0.56&amp;sourceID=14","0.56")</f>
        <v>0.56</v>
      </c>
      <c r="G2123" s="4" t="str">
        <f>HYPERLINK("http://141.218.60.56/~jnz1568/getInfo.php?workbook=12_04.xlsx&amp;sheet=A0&amp;row=2123&amp;col=7&amp;number=0&amp;sourceID=14","0")</f>
        <v>0</v>
      </c>
    </row>
    <row r="2124" spans="1:7">
      <c r="A2124" s="3">
        <v>12</v>
      </c>
      <c r="B2124" s="3">
        <v>4</v>
      </c>
      <c r="C2124" s="3">
        <v>57</v>
      </c>
      <c r="D2124" s="3">
        <v>27</v>
      </c>
      <c r="E2124" s="3">
        <v>-301.869</v>
      </c>
      <c r="F2124" s="4" t="str">
        <f>HYPERLINK("http://141.218.60.56/~jnz1568/getInfo.php?workbook=12_04.xlsx&amp;sheet=A0&amp;row=2124&amp;col=6&amp;number=157000000&amp;sourceID=14","157000000")</f>
        <v>157000000</v>
      </c>
      <c r="G2124" s="4" t="str">
        <f>HYPERLINK("http://141.218.60.56/~jnz1568/getInfo.php?workbook=12_04.xlsx&amp;sheet=A0&amp;row=2124&amp;col=7&amp;number=0&amp;sourceID=14","0")</f>
        <v>0</v>
      </c>
    </row>
    <row r="2125" spans="1:7">
      <c r="A2125" s="3">
        <v>12</v>
      </c>
      <c r="B2125" s="3">
        <v>4</v>
      </c>
      <c r="C2125" s="3">
        <v>58</v>
      </c>
      <c r="D2125" s="3">
        <v>27</v>
      </c>
      <c r="E2125" s="3">
        <v>-301.843</v>
      </c>
      <c r="F2125" s="4" t="str">
        <f>HYPERLINK("http://141.218.60.56/~jnz1568/getInfo.php?workbook=12_04.xlsx&amp;sheet=A0&amp;row=2125&amp;col=6&amp;number=899000000&amp;sourceID=14","899000000")</f>
        <v>899000000</v>
      </c>
      <c r="G2125" s="4" t="str">
        <f>HYPERLINK("http://141.218.60.56/~jnz1568/getInfo.php?workbook=12_04.xlsx&amp;sheet=A0&amp;row=2125&amp;col=7&amp;number=0&amp;sourceID=14","0")</f>
        <v>0</v>
      </c>
    </row>
    <row r="2126" spans="1:7">
      <c r="A2126" s="3">
        <v>12</v>
      </c>
      <c r="B2126" s="3">
        <v>4</v>
      </c>
      <c r="C2126" s="3">
        <v>59</v>
      </c>
      <c r="D2126" s="3">
        <v>27</v>
      </c>
      <c r="E2126" s="3">
        <v>-301.808</v>
      </c>
      <c r="F2126" s="4" t="str">
        <f>HYPERLINK("http://141.218.60.56/~jnz1568/getInfo.php?workbook=12_04.xlsx&amp;sheet=A0&amp;row=2126&amp;col=6&amp;number=0.08&amp;sourceID=14","0.08")</f>
        <v>0.08</v>
      </c>
      <c r="G2126" s="4" t="str">
        <f>HYPERLINK("http://141.218.60.56/~jnz1568/getInfo.php?workbook=12_04.xlsx&amp;sheet=A0&amp;row=2126&amp;col=7&amp;number=0&amp;sourceID=14","0")</f>
        <v>0</v>
      </c>
    </row>
    <row r="2127" spans="1:7">
      <c r="A2127" s="3">
        <v>12</v>
      </c>
      <c r="B2127" s="3">
        <v>4</v>
      </c>
      <c r="C2127" s="3">
        <v>60</v>
      </c>
      <c r="D2127" s="3">
        <v>27</v>
      </c>
      <c r="E2127" s="3">
        <v>-299.525</v>
      </c>
      <c r="F2127" s="4" t="str">
        <f>HYPERLINK("http://141.218.60.56/~jnz1568/getInfo.php?workbook=12_04.xlsx&amp;sheet=A0&amp;row=2127&amp;col=6&amp;number=2560000&amp;sourceID=14","2560000")</f>
        <v>2560000</v>
      </c>
      <c r="G2127" s="4" t="str">
        <f>HYPERLINK("http://141.218.60.56/~jnz1568/getInfo.php?workbook=12_04.xlsx&amp;sheet=A0&amp;row=2127&amp;col=7&amp;number=0&amp;sourceID=14","0")</f>
        <v>0</v>
      </c>
    </row>
    <row r="2128" spans="1:7">
      <c r="A2128" s="3">
        <v>12</v>
      </c>
      <c r="B2128" s="3">
        <v>4</v>
      </c>
      <c r="C2128" s="3">
        <v>61</v>
      </c>
      <c r="D2128" s="3">
        <v>27</v>
      </c>
      <c r="E2128" s="3">
        <v>-222.434</v>
      </c>
      <c r="F2128" s="4" t="str">
        <f>HYPERLINK("http://141.218.60.56/~jnz1568/getInfo.php?workbook=12_04.xlsx&amp;sheet=A0&amp;row=2128&amp;col=6&amp;number=12.4&amp;sourceID=14","12.4")</f>
        <v>12.4</v>
      </c>
      <c r="G2128" s="4" t="str">
        <f>HYPERLINK("http://141.218.60.56/~jnz1568/getInfo.php?workbook=12_04.xlsx&amp;sheet=A0&amp;row=2128&amp;col=7&amp;number=0&amp;sourceID=14","0")</f>
        <v>0</v>
      </c>
    </row>
    <row r="2129" spans="1:7">
      <c r="A2129" s="3">
        <v>12</v>
      </c>
      <c r="B2129" s="3">
        <v>4</v>
      </c>
      <c r="C2129" s="3">
        <v>62</v>
      </c>
      <c r="D2129" s="3">
        <v>27</v>
      </c>
      <c r="E2129" s="3">
        <v>-221.981</v>
      </c>
      <c r="F2129" s="4" t="str">
        <f>HYPERLINK("http://141.218.60.56/~jnz1568/getInfo.php?workbook=12_04.xlsx&amp;sheet=A0&amp;row=2129&amp;col=6&amp;number=7410000000&amp;sourceID=14","7410000000")</f>
        <v>7410000000</v>
      </c>
      <c r="G2129" s="4" t="str">
        <f>HYPERLINK("http://141.218.60.56/~jnz1568/getInfo.php?workbook=12_04.xlsx&amp;sheet=A0&amp;row=2129&amp;col=7&amp;number=0&amp;sourceID=14","0")</f>
        <v>0</v>
      </c>
    </row>
    <row r="2130" spans="1:7">
      <c r="A2130" s="3">
        <v>12</v>
      </c>
      <c r="B2130" s="3">
        <v>4</v>
      </c>
      <c r="C2130" s="3">
        <v>63</v>
      </c>
      <c r="D2130" s="3">
        <v>27</v>
      </c>
      <c r="E2130" s="3">
        <v>-220.522</v>
      </c>
      <c r="F2130" s="4" t="str">
        <f>HYPERLINK("http://141.218.60.56/~jnz1568/getInfo.php?workbook=12_04.xlsx&amp;sheet=A0&amp;row=2130&amp;col=6&amp;number=1140000000&amp;sourceID=14","1140000000")</f>
        <v>1140000000</v>
      </c>
      <c r="G2130" s="4" t="str">
        <f>HYPERLINK("http://141.218.60.56/~jnz1568/getInfo.php?workbook=12_04.xlsx&amp;sheet=A0&amp;row=2130&amp;col=7&amp;number=0&amp;sourceID=14","0")</f>
        <v>0</v>
      </c>
    </row>
    <row r="2131" spans="1:7">
      <c r="A2131" s="3">
        <v>12</v>
      </c>
      <c r="B2131" s="3">
        <v>4</v>
      </c>
      <c r="C2131" s="3">
        <v>64</v>
      </c>
      <c r="D2131" s="3">
        <v>27</v>
      </c>
      <c r="E2131" s="3">
        <v>-217.529</v>
      </c>
      <c r="F2131" s="4" t="str">
        <f>HYPERLINK("http://141.218.60.56/~jnz1568/getInfo.php?workbook=12_04.xlsx&amp;sheet=A0&amp;row=2131&amp;col=6&amp;number=199000000&amp;sourceID=14","199000000")</f>
        <v>199000000</v>
      </c>
      <c r="G2131" s="4" t="str">
        <f>HYPERLINK("http://141.218.60.56/~jnz1568/getInfo.php?workbook=12_04.xlsx&amp;sheet=A0&amp;row=2131&amp;col=7&amp;number=0&amp;sourceID=14","0")</f>
        <v>0</v>
      </c>
    </row>
    <row r="2132" spans="1:7">
      <c r="A2132" s="3">
        <v>12</v>
      </c>
      <c r="B2132" s="3">
        <v>4</v>
      </c>
      <c r="C2132" s="3">
        <v>65</v>
      </c>
      <c r="D2132" s="3">
        <v>27</v>
      </c>
      <c r="E2132" s="3">
        <v>-214.025</v>
      </c>
      <c r="F2132" s="4" t="str">
        <f>HYPERLINK("http://141.218.60.56/~jnz1568/getInfo.php?workbook=12_04.xlsx&amp;sheet=A0&amp;row=2132&amp;col=6&amp;number=178000&amp;sourceID=14","178000")</f>
        <v>178000</v>
      </c>
      <c r="G2132" s="4" t="str">
        <f>HYPERLINK("http://141.218.60.56/~jnz1568/getInfo.php?workbook=12_04.xlsx&amp;sheet=A0&amp;row=2132&amp;col=7&amp;number=0&amp;sourceID=14","0")</f>
        <v>0</v>
      </c>
    </row>
    <row r="2133" spans="1:7">
      <c r="A2133" s="3">
        <v>12</v>
      </c>
      <c r="B2133" s="3">
        <v>4</v>
      </c>
      <c r="C2133" s="3">
        <v>66</v>
      </c>
      <c r="D2133" s="3">
        <v>27</v>
      </c>
      <c r="E2133" s="3">
        <v>-212.862</v>
      </c>
      <c r="F2133" s="4" t="str">
        <f>HYPERLINK("http://141.218.60.56/~jnz1568/getInfo.php?workbook=12_04.xlsx&amp;sheet=A0&amp;row=2133&amp;col=6&amp;number=84700&amp;sourceID=14","84700")</f>
        <v>84700</v>
      </c>
      <c r="G2133" s="4" t="str">
        <f>HYPERLINK("http://141.218.60.56/~jnz1568/getInfo.php?workbook=12_04.xlsx&amp;sheet=A0&amp;row=2133&amp;col=7&amp;number=0&amp;sourceID=14","0")</f>
        <v>0</v>
      </c>
    </row>
    <row r="2134" spans="1:7">
      <c r="A2134" s="3">
        <v>12</v>
      </c>
      <c r="B2134" s="3">
        <v>4</v>
      </c>
      <c r="C2134" s="3">
        <v>67</v>
      </c>
      <c r="D2134" s="3">
        <v>27</v>
      </c>
      <c r="E2134" s="3">
        <v>-212.658</v>
      </c>
      <c r="F2134" s="4" t="str">
        <f>HYPERLINK("http://141.218.60.56/~jnz1568/getInfo.php?workbook=12_04.xlsx&amp;sheet=A0&amp;row=2134&amp;col=6&amp;number=206000&amp;sourceID=14","206000")</f>
        <v>206000</v>
      </c>
      <c r="G2134" s="4" t="str">
        <f>HYPERLINK("http://141.218.60.56/~jnz1568/getInfo.php?workbook=12_04.xlsx&amp;sheet=A0&amp;row=2134&amp;col=7&amp;number=0&amp;sourceID=14","0")</f>
        <v>0</v>
      </c>
    </row>
    <row r="2135" spans="1:7">
      <c r="A2135" s="3">
        <v>12</v>
      </c>
      <c r="B2135" s="3">
        <v>4</v>
      </c>
      <c r="C2135" s="3">
        <v>68</v>
      </c>
      <c r="D2135" s="3">
        <v>27</v>
      </c>
      <c r="E2135" s="3">
        <v>211.301</v>
      </c>
      <c r="F2135" s="4" t="str">
        <f>HYPERLINK("http://141.218.60.56/~jnz1568/getInfo.php?workbook=12_04.xlsx&amp;sheet=A0&amp;row=2135&amp;col=6&amp;number=125000&amp;sourceID=14","125000")</f>
        <v>125000</v>
      </c>
      <c r="G2135" s="4" t="str">
        <f>HYPERLINK("http://141.218.60.56/~jnz1568/getInfo.php?workbook=12_04.xlsx&amp;sheet=A0&amp;row=2135&amp;col=7&amp;number=0&amp;sourceID=14","0")</f>
        <v>0</v>
      </c>
    </row>
    <row r="2136" spans="1:7">
      <c r="A2136" s="3">
        <v>12</v>
      </c>
      <c r="B2136" s="3">
        <v>4</v>
      </c>
      <c r="C2136" s="3">
        <v>69</v>
      </c>
      <c r="D2136" s="3">
        <v>27</v>
      </c>
      <c r="E2136" s="3">
        <v>-210.272</v>
      </c>
      <c r="F2136" s="4" t="str">
        <f>HYPERLINK("http://141.218.60.56/~jnz1568/getInfo.php?workbook=12_04.xlsx&amp;sheet=A0&amp;row=2136&amp;col=6&amp;number=557000&amp;sourceID=14","557000")</f>
        <v>557000</v>
      </c>
      <c r="G2136" s="4" t="str">
        <f>HYPERLINK("http://141.218.60.56/~jnz1568/getInfo.php?workbook=12_04.xlsx&amp;sheet=A0&amp;row=2136&amp;col=7&amp;number=0&amp;sourceID=14","0")</f>
        <v>0</v>
      </c>
    </row>
    <row r="2137" spans="1:7">
      <c r="A2137" s="3">
        <v>12</v>
      </c>
      <c r="B2137" s="3">
        <v>4</v>
      </c>
      <c r="C2137" s="3">
        <v>70</v>
      </c>
      <c r="D2137" s="3">
        <v>27</v>
      </c>
      <c r="E2137" s="3">
        <v>-209.993</v>
      </c>
      <c r="F2137" s="4" t="str">
        <f>HYPERLINK("http://141.218.60.56/~jnz1568/getInfo.php?workbook=12_04.xlsx&amp;sheet=A0&amp;row=2137&amp;col=6&amp;number=1200000&amp;sourceID=14","1200000")</f>
        <v>1200000</v>
      </c>
      <c r="G2137" s="4" t="str">
        <f>HYPERLINK("http://141.218.60.56/~jnz1568/getInfo.php?workbook=12_04.xlsx&amp;sheet=A0&amp;row=2137&amp;col=7&amp;number=0&amp;sourceID=14","0")</f>
        <v>0</v>
      </c>
    </row>
    <row r="2138" spans="1:7">
      <c r="A2138" s="3">
        <v>12</v>
      </c>
      <c r="B2138" s="3">
        <v>4</v>
      </c>
      <c r="C2138" s="3">
        <v>71</v>
      </c>
      <c r="D2138" s="3">
        <v>27</v>
      </c>
      <c r="E2138" s="3">
        <v>-209.145</v>
      </c>
      <c r="F2138" s="4" t="str">
        <f>HYPERLINK("http://141.218.60.56/~jnz1568/getInfo.php?workbook=12_04.xlsx&amp;sheet=A0&amp;row=2138&amp;col=6&amp;number=2520&amp;sourceID=14","2520")</f>
        <v>2520</v>
      </c>
      <c r="G2138" s="4" t="str">
        <f>HYPERLINK("http://141.218.60.56/~jnz1568/getInfo.php?workbook=12_04.xlsx&amp;sheet=A0&amp;row=2138&amp;col=7&amp;number=0&amp;sourceID=14","0")</f>
        <v>0</v>
      </c>
    </row>
    <row r="2139" spans="1:7">
      <c r="A2139" s="3">
        <v>12</v>
      </c>
      <c r="B2139" s="3">
        <v>4</v>
      </c>
      <c r="C2139" s="3">
        <v>72</v>
      </c>
      <c r="D2139" s="3">
        <v>27</v>
      </c>
      <c r="E2139" s="3">
        <v>208.821</v>
      </c>
      <c r="F2139" s="4" t="str">
        <f>HYPERLINK("http://141.218.60.56/~jnz1568/getInfo.php?workbook=12_04.xlsx&amp;sheet=A0&amp;row=2139&amp;col=6&amp;number=313000&amp;sourceID=14","313000")</f>
        <v>313000</v>
      </c>
      <c r="G2139" s="4" t="str">
        <f>HYPERLINK("http://141.218.60.56/~jnz1568/getInfo.php?workbook=12_04.xlsx&amp;sheet=A0&amp;row=2139&amp;col=7&amp;number=0&amp;sourceID=14","0")</f>
        <v>0</v>
      </c>
    </row>
    <row r="2140" spans="1:7">
      <c r="A2140" s="3">
        <v>12</v>
      </c>
      <c r="B2140" s="3">
        <v>4</v>
      </c>
      <c r="C2140" s="3">
        <v>73</v>
      </c>
      <c r="D2140" s="3">
        <v>27</v>
      </c>
      <c r="E2140" s="3">
        <v>-207.624</v>
      </c>
      <c r="F2140" s="4" t="str">
        <f>HYPERLINK("http://141.218.60.56/~jnz1568/getInfo.php?workbook=12_04.xlsx&amp;sheet=A0&amp;row=2140&amp;col=6&amp;number=4470000000&amp;sourceID=14","4470000000")</f>
        <v>4470000000</v>
      </c>
      <c r="G2140" s="4" t="str">
        <f>HYPERLINK("http://141.218.60.56/~jnz1568/getInfo.php?workbook=12_04.xlsx&amp;sheet=A0&amp;row=2140&amp;col=7&amp;number=0&amp;sourceID=14","0")</f>
        <v>0</v>
      </c>
    </row>
    <row r="2141" spans="1:7">
      <c r="A2141" s="3">
        <v>12</v>
      </c>
      <c r="B2141" s="3">
        <v>4</v>
      </c>
      <c r="C2141" s="3">
        <v>74</v>
      </c>
      <c r="D2141" s="3">
        <v>27</v>
      </c>
      <c r="E2141" s="3">
        <v>-206.804</v>
      </c>
      <c r="F2141" s="4" t="str">
        <f>HYPERLINK("http://141.218.60.56/~jnz1568/getInfo.php?workbook=12_04.xlsx&amp;sheet=A0&amp;row=2141&amp;col=6&amp;number=40800000000&amp;sourceID=14","40800000000")</f>
        <v>40800000000</v>
      </c>
      <c r="G2141" s="4" t="str">
        <f>HYPERLINK("http://141.218.60.56/~jnz1568/getInfo.php?workbook=12_04.xlsx&amp;sheet=A0&amp;row=2141&amp;col=7&amp;number=0&amp;sourceID=14","0")</f>
        <v>0</v>
      </c>
    </row>
    <row r="2142" spans="1:7">
      <c r="A2142" s="3">
        <v>12</v>
      </c>
      <c r="B2142" s="3">
        <v>4</v>
      </c>
      <c r="C2142" s="3">
        <v>75</v>
      </c>
      <c r="D2142" s="3">
        <v>27</v>
      </c>
      <c r="E2142" s="3">
        <v>206.297</v>
      </c>
      <c r="F2142" s="4" t="str">
        <f>HYPERLINK("http://141.218.60.56/~jnz1568/getInfo.php?workbook=12_04.xlsx&amp;sheet=A0&amp;row=2142&amp;col=6&amp;number=368000000&amp;sourceID=14","368000000")</f>
        <v>368000000</v>
      </c>
      <c r="G2142" s="4" t="str">
        <f>HYPERLINK("http://141.218.60.56/~jnz1568/getInfo.php?workbook=12_04.xlsx&amp;sheet=A0&amp;row=2142&amp;col=7&amp;number=0&amp;sourceID=14","0")</f>
        <v>0</v>
      </c>
    </row>
    <row r="2143" spans="1:7">
      <c r="A2143" s="3">
        <v>12</v>
      </c>
      <c r="B2143" s="3">
        <v>4</v>
      </c>
      <c r="C2143" s="3">
        <v>76</v>
      </c>
      <c r="D2143" s="3">
        <v>27</v>
      </c>
      <c r="E2143" s="3">
        <v>206.352</v>
      </c>
      <c r="F2143" s="4" t="str">
        <f>HYPERLINK("http://141.218.60.56/~jnz1568/getInfo.php?workbook=12_04.xlsx&amp;sheet=A0&amp;row=2143&amp;col=6&amp;number=4520&amp;sourceID=14","4520")</f>
        <v>4520</v>
      </c>
      <c r="G2143" s="4" t="str">
        <f>HYPERLINK("http://141.218.60.56/~jnz1568/getInfo.php?workbook=12_04.xlsx&amp;sheet=A0&amp;row=2143&amp;col=7&amp;number=0&amp;sourceID=14","0")</f>
        <v>0</v>
      </c>
    </row>
    <row r="2144" spans="1:7">
      <c r="A2144" s="3">
        <v>12</v>
      </c>
      <c r="B2144" s="3">
        <v>4</v>
      </c>
      <c r="C2144" s="3">
        <v>77</v>
      </c>
      <c r="D2144" s="3">
        <v>27</v>
      </c>
      <c r="E2144" s="3">
        <v>-205.878</v>
      </c>
      <c r="F2144" s="4" t="str">
        <f>HYPERLINK("http://141.218.60.56/~jnz1568/getInfo.php?workbook=12_04.xlsx&amp;sheet=A0&amp;row=2144&amp;col=6&amp;number=20.5&amp;sourceID=14","20.5")</f>
        <v>20.5</v>
      </c>
      <c r="G2144" s="4" t="str">
        <f>HYPERLINK("http://141.218.60.56/~jnz1568/getInfo.php?workbook=12_04.xlsx&amp;sheet=A0&amp;row=2144&amp;col=7&amp;number=0&amp;sourceID=14","0")</f>
        <v>0</v>
      </c>
    </row>
    <row r="2145" spans="1:7">
      <c r="A2145" s="3">
        <v>12</v>
      </c>
      <c r="B2145" s="3">
        <v>4</v>
      </c>
      <c r="C2145" s="3">
        <v>78</v>
      </c>
      <c r="D2145" s="3">
        <v>27</v>
      </c>
      <c r="E2145" s="3">
        <v>-204.612</v>
      </c>
      <c r="F2145" s="4" t="str">
        <f>HYPERLINK("http://141.218.60.56/~jnz1568/getInfo.php?workbook=12_04.xlsx&amp;sheet=A0&amp;row=2145&amp;col=6&amp;number=1850000000&amp;sourceID=14","1850000000")</f>
        <v>1850000000</v>
      </c>
      <c r="G2145" s="4" t="str">
        <f>HYPERLINK("http://141.218.60.56/~jnz1568/getInfo.php?workbook=12_04.xlsx&amp;sheet=A0&amp;row=2145&amp;col=7&amp;number=0&amp;sourceID=14","0")</f>
        <v>0</v>
      </c>
    </row>
    <row r="2146" spans="1:7">
      <c r="A2146" s="3">
        <v>12</v>
      </c>
      <c r="B2146" s="3">
        <v>4</v>
      </c>
      <c r="C2146" s="3">
        <v>79</v>
      </c>
      <c r="D2146" s="3">
        <v>27</v>
      </c>
      <c r="E2146" s="3">
        <v>-204.353</v>
      </c>
      <c r="F2146" s="4" t="str">
        <f>HYPERLINK("http://141.218.60.56/~jnz1568/getInfo.php?workbook=12_04.xlsx&amp;sheet=A0&amp;row=2146&amp;col=6&amp;number=8930000000&amp;sourceID=14","8930000000")</f>
        <v>8930000000</v>
      </c>
      <c r="G2146" s="4" t="str">
        <f>HYPERLINK("http://141.218.60.56/~jnz1568/getInfo.php?workbook=12_04.xlsx&amp;sheet=A0&amp;row=2146&amp;col=7&amp;number=0&amp;sourceID=14","0")</f>
        <v>0</v>
      </c>
    </row>
    <row r="2147" spans="1:7">
      <c r="A2147" s="3">
        <v>12</v>
      </c>
      <c r="B2147" s="3">
        <v>4</v>
      </c>
      <c r="C2147" s="3">
        <v>80</v>
      </c>
      <c r="D2147" s="3">
        <v>27</v>
      </c>
      <c r="E2147" s="3">
        <v>-203.837</v>
      </c>
      <c r="F2147" s="4" t="str">
        <f>HYPERLINK("http://141.218.60.56/~jnz1568/getInfo.php?workbook=12_04.xlsx&amp;sheet=A0&amp;row=2147&amp;col=6&amp;number=389000&amp;sourceID=14","389000")</f>
        <v>389000</v>
      </c>
      <c r="G2147" s="4" t="str">
        <f>HYPERLINK("http://141.218.60.56/~jnz1568/getInfo.php?workbook=12_04.xlsx&amp;sheet=A0&amp;row=2147&amp;col=7&amp;number=0&amp;sourceID=14","0")</f>
        <v>0</v>
      </c>
    </row>
    <row r="2148" spans="1:7">
      <c r="A2148" s="3">
        <v>12</v>
      </c>
      <c r="B2148" s="3">
        <v>4</v>
      </c>
      <c r="C2148" s="3">
        <v>81</v>
      </c>
      <c r="D2148" s="3">
        <v>27</v>
      </c>
      <c r="E2148" s="3">
        <v>203.343</v>
      </c>
      <c r="F2148" s="4" t="str">
        <f>HYPERLINK("http://141.218.60.56/~jnz1568/getInfo.php?workbook=12_04.xlsx&amp;sheet=A0&amp;row=2148&amp;col=6&amp;number=14200000&amp;sourceID=14","14200000")</f>
        <v>14200000</v>
      </c>
      <c r="G2148" s="4" t="str">
        <f>HYPERLINK("http://141.218.60.56/~jnz1568/getInfo.php?workbook=12_04.xlsx&amp;sheet=A0&amp;row=2148&amp;col=7&amp;number=0&amp;sourceID=14","0")</f>
        <v>0</v>
      </c>
    </row>
    <row r="2149" spans="1:7">
      <c r="A2149" s="3">
        <v>12</v>
      </c>
      <c r="B2149" s="3">
        <v>4</v>
      </c>
      <c r="C2149" s="3">
        <v>82</v>
      </c>
      <c r="D2149" s="3">
        <v>27</v>
      </c>
      <c r="E2149" s="3">
        <v>-203.686</v>
      </c>
      <c r="F2149" s="4" t="str">
        <f>HYPERLINK("http://141.218.60.56/~jnz1568/getInfo.php?workbook=12_04.xlsx&amp;sheet=A0&amp;row=2149&amp;col=6&amp;number=499000&amp;sourceID=14","499000")</f>
        <v>499000</v>
      </c>
      <c r="G2149" s="4" t="str">
        <f>HYPERLINK("http://141.218.60.56/~jnz1568/getInfo.php?workbook=12_04.xlsx&amp;sheet=A0&amp;row=2149&amp;col=7&amp;number=0&amp;sourceID=14","0")</f>
        <v>0</v>
      </c>
    </row>
    <row r="2150" spans="1:7">
      <c r="A2150" s="3">
        <v>12</v>
      </c>
      <c r="B2150" s="3">
        <v>4</v>
      </c>
      <c r="C2150" s="3">
        <v>83</v>
      </c>
      <c r="D2150" s="3">
        <v>27</v>
      </c>
      <c r="E2150" s="3">
        <v>-203.684</v>
      </c>
      <c r="F2150" s="4" t="str">
        <f>HYPERLINK("http://141.218.60.56/~jnz1568/getInfo.php?workbook=12_04.xlsx&amp;sheet=A0&amp;row=2150&amp;col=6&amp;number=102000&amp;sourceID=14","102000")</f>
        <v>102000</v>
      </c>
      <c r="G2150" s="4" t="str">
        <f>HYPERLINK("http://141.218.60.56/~jnz1568/getInfo.php?workbook=12_04.xlsx&amp;sheet=A0&amp;row=2150&amp;col=7&amp;number=0&amp;sourceID=14","0")</f>
        <v>0</v>
      </c>
    </row>
    <row r="2151" spans="1:7">
      <c r="A2151" s="3">
        <v>12</v>
      </c>
      <c r="B2151" s="3">
        <v>4</v>
      </c>
      <c r="C2151" s="3">
        <v>84</v>
      </c>
      <c r="D2151" s="3">
        <v>27</v>
      </c>
      <c r="E2151" s="3">
        <v>-203.549</v>
      </c>
      <c r="F2151" s="4" t="str">
        <f>HYPERLINK("http://141.218.60.56/~jnz1568/getInfo.php?workbook=12_04.xlsx&amp;sheet=A0&amp;row=2151&amp;col=6&amp;number=1830000&amp;sourceID=14","1830000")</f>
        <v>1830000</v>
      </c>
      <c r="G2151" s="4" t="str">
        <f>HYPERLINK("http://141.218.60.56/~jnz1568/getInfo.php?workbook=12_04.xlsx&amp;sheet=A0&amp;row=2151&amp;col=7&amp;number=0&amp;sourceID=14","0")</f>
        <v>0</v>
      </c>
    </row>
    <row r="2152" spans="1:7">
      <c r="A2152" s="3">
        <v>12</v>
      </c>
      <c r="B2152" s="3">
        <v>4</v>
      </c>
      <c r="C2152" s="3">
        <v>85</v>
      </c>
      <c r="D2152" s="3">
        <v>27</v>
      </c>
      <c r="E2152" s="3">
        <v>202.848</v>
      </c>
      <c r="F2152" s="4" t="str">
        <f>HYPERLINK("http://141.218.60.56/~jnz1568/getInfo.php?workbook=12_04.xlsx&amp;sheet=A0&amp;row=2152&amp;col=6&amp;number=635000000&amp;sourceID=14","635000000")</f>
        <v>635000000</v>
      </c>
      <c r="G2152" s="4" t="str">
        <f>HYPERLINK("http://141.218.60.56/~jnz1568/getInfo.php?workbook=12_04.xlsx&amp;sheet=A0&amp;row=2152&amp;col=7&amp;number=0&amp;sourceID=14","0")</f>
        <v>0</v>
      </c>
    </row>
    <row r="2153" spans="1:7">
      <c r="A2153" s="3">
        <v>12</v>
      </c>
      <c r="B2153" s="3">
        <v>4</v>
      </c>
      <c r="C2153" s="3">
        <v>86</v>
      </c>
      <c r="D2153" s="3">
        <v>27</v>
      </c>
      <c r="E2153" s="3">
        <v>202.635</v>
      </c>
      <c r="F2153" s="4" t="str">
        <f>HYPERLINK("http://141.218.60.56/~jnz1568/getInfo.php?workbook=12_04.xlsx&amp;sheet=A0&amp;row=2153&amp;col=6&amp;number=1390000000&amp;sourceID=14","1390000000")</f>
        <v>1390000000</v>
      </c>
      <c r="G2153" s="4" t="str">
        <f>HYPERLINK("http://141.218.60.56/~jnz1568/getInfo.php?workbook=12_04.xlsx&amp;sheet=A0&amp;row=2153&amp;col=7&amp;number=0&amp;sourceID=14","0")</f>
        <v>0</v>
      </c>
    </row>
    <row r="2154" spans="1:7">
      <c r="A2154" s="3">
        <v>12</v>
      </c>
      <c r="B2154" s="3">
        <v>4</v>
      </c>
      <c r="C2154" s="3">
        <v>87</v>
      </c>
      <c r="D2154" s="3">
        <v>27</v>
      </c>
      <c r="E2154" s="3">
        <v>-202.548</v>
      </c>
      <c r="F2154" s="4" t="str">
        <f>HYPERLINK("http://141.218.60.56/~jnz1568/getInfo.php?workbook=12_04.xlsx&amp;sheet=A0&amp;row=2154&amp;col=6&amp;number=1.51&amp;sourceID=14","1.51")</f>
        <v>1.51</v>
      </c>
      <c r="G2154" s="4" t="str">
        <f>HYPERLINK("http://141.218.60.56/~jnz1568/getInfo.php?workbook=12_04.xlsx&amp;sheet=A0&amp;row=2154&amp;col=7&amp;number=0&amp;sourceID=14","0")</f>
        <v>0</v>
      </c>
    </row>
    <row r="2155" spans="1:7">
      <c r="A2155" s="3">
        <v>12</v>
      </c>
      <c r="B2155" s="3">
        <v>4</v>
      </c>
      <c r="C2155" s="3">
        <v>88</v>
      </c>
      <c r="D2155" s="3">
        <v>27</v>
      </c>
      <c r="E2155" s="3">
        <v>-202.227</v>
      </c>
      <c r="F2155" s="4" t="str">
        <f>HYPERLINK("http://141.218.60.56/~jnz1568/getInfo.php?workbook=12_04.xlsx&amp;sheet=A0&amp;row=2155&amp;col=6&amp;number=1280000&amp;sourceID=14","1280000")</f>
        <v>1280000</v>
      </c>
      <c r="G2155" s="4" t="str">
        <f>HYPERLINK("http://141.218.60.56/~jnz1568/getInfo.php?workbook=12_04.xlsx&amp;sheet=A0&amp;row=2155&amp;col=7&amp;number=0&amp;sourceID=14","0")</f>
        <v>0</v>
      </c>
    </row>
    <row r="2156" spans="1:7">
      <c r="A2156" s="3">
        <v>12</v>
      </c>
      <c r="B2156" s="3">
        <v>4</v>
      </c>
      <c r="C2156" s="3">
        <v>89</v>
      </c>
      <c r="D2156" s="3">
        <v>27</v>
      </c>
      <c r="E2156" s="3">
        <v>-202.038</v>
      </c>
      <c r="F2156" s="4" t="str">
        <f>HYPERLINK("http://141.218.60.56/~jnz1568/getInfo.php?workbook=12_04.xlsx&amp;sheet=A0&amp;row=2156&amp;col=6&amp;number=1710000&amp;sourceID=14","1710000")</f>
        <v>1710000</v>
      </c>
      <c r="G2156" s="4" t="str">
        <f>HYPERLINK("http://141.218.60.56/~jnz1568/getInfo.php?workbook=12_04.xlsx&amp;sheet=A0&amp;row=2156&amp;col=7&amp;number=0&amp;sourceID=14","0")</f>
        <v>0</v>
      </c>
    </row>
    <row r="2157" spans="1:7">
      <c r="A2157" s="3">
        <v>12</v>
      </c>
      <c r="B2157" s="3">
        <v>4</v>
      </c>
      <c r="C2157" s="3">
        <v>90</v>
      </c>
      <c r="D2157" s="3">
        <v>27</v>
      </c>
      <c r="E2157" s="3">
        <v>-201.478</v>
      </c>
      <c r="F2157" s="4" t="str">
        <f>HYPERLINK("http://141.218.60.56/~jnz1568/getInfo.php?workbook=12_04.xlsx&amp;sheet=A0&amp;row=2157&amp;col=6&amp;number=0.00268&amp;sourceID=14","0.00268")</f>
        <v>0.00268</v>
      </c>
      <c r="G2157" s="4" t="str">
        <f>HYPERLINK("http://141.218.60.56/~jnz1568/getInfo.php?workbook=12_04.xlsx&amp;sheet=A0&amp;row=2157&amp;col=7&amp;number=0&amp;sourceID=14","0")</f>
        <v>0</v>
      </c>
    </row>
    <row r="2158" spans="1:7">
      <c r="A2158" s="3">
        <v>12</v>
      </c>
      <c r="B2158" s="3">
        <v>4</v>
      </c>
      <c r="C2158" s="3">
        <v>91</v>
      </c>
      <c r="D2158" s="3">
        <v>27</v>
      </c>
      <c r="E2158" s="3">
        <v>-200.985</v>
      </c>
      <c r="F2158" s="4" t="str">
        <f>HYPERLINK("http://141.218.60.56/~jnz1568/getInfo.php?workbook=12_04.xlsx&amp;sheet=A0&amp;row=2158&amp;col=6&amp;number=8570&amp;sourceID=14","8570")</f>
        <v>8570</v>
      </c>
      <c r="G2158" s="4" t="str">
        <f>HYPERLINK("http://141.218.60.56/~jnz1568/getInfo.php?workbook=12_04.xlsx&amp;sheet=A0&amp;row=2158&amp;col=7&amp;number=0&amp;sourceID=14","0")</f>
        <v>0</v>
      </c>
    </row>
    <row r="2159" spans="1:7">
      <c r="A2159" s="3">
        <v>12</v>
      </c>
      <c r="B2159" s="3">
        <v>4</v>
      </c>
      <c r="C2159" s="3">
        <v>92</v>
      </c>
      <c r="D2159" s="3">
        <v>27</v>
      </c>
      <c r="E2159" s="3">
        <v>-200.869</v>
      </c>
      <c r="F2159" s="4" t="str">
        <f>HYPERLINK("http://141.218.60.56/~jnz1568/getInfo.php?workbook=12_04.xlsx&amp;sheet=A0&amp;row=2159&amp;col=6&amp;number=550000&amp;sourceID=14","550000")</f>
        <v>550000</v>
      </c>
      <c r="G2159" s="4" t="str">
        <f>HYPERLINK("http://141.218.60.56/~jnz1568/getInfo.php?workbook=12_04.xlsx&amp;sheet=A0&amp;row=2159&amp;col=7&amp;number=0&amp;sourceID=14","0")</f>
        <v>0</v>
      </c>
    </row>
    <row r="2160" spans="1:7">
      <c r="A2160" s="3">
        <v>12</v>
      </c>
      <c r="B2160" s="3">
        <v>4</v>
      </c>
      <c r="C2160" s="3">
        <v>93</v>
      </c>
      <c r="D2160" s="3">
        <v>27</v>
      </c>
      <c r="E2160" s="3">
        <v>-200.763</v>
      </c>
      <c r="F2160" s="4" t="str">
        <f>HYPERLINK("http://141.218.60.56/~jnz1568/getInfo.php?workbook=12_04.xlsx&amp;sheet=A0&amp;row=2160&amp;col=6&amp;number=146000&amp;sourceID=14","146000")</f>
        <v>146000</v>
      </c>
      <c r="G2160" s="4" t="str">
        <f>HYPERLINK("http://141.218.60.56/~jnz1568/getInfo.php?workbook=12_04.xlsx&amp;sheet=A0&amp;row=2160&amp;col=7&amp;number=0&amp;sourceID=14","0")</f>
        <v>0</v>
      </c>
    </row>
    <row r="2161" spans="1:7">
      <c r="A2161" s="3">
        <v>12</v>
      </c>
      <c r="B2161" s="3">
        <v>4</v>
      </c>
      <c r="C2161" s="3">
        <v>94</v>
      </c>
      <c r="D2161" s="3">
        <v>27</v>
      </c>
      <c r="E2161" s="3">
        <v>-200.374</v>
      </c>
      <c r="F2161" s="4" t="str">
        <f>HYPERLINK("http://141.218.60.56/~jnz1568/getInfo.php?workbook=12_04.xlsx&amp;sheet=A0&amp;row=2161&amp;col=6&amp;number=135000&amp;sourceID=14","135000")</f>
        <v>135000</v>
      </c>
      <c r="G2161" s="4" t="str">
        <f>HYPERLINK("http://141.218.60.56/~jnz1568/getInfo.php?workbook=12_04.xlsx&amp;sheet=A0&amp;row=2161&amp;col=7&amp;number=0&amp;sourceID=14","0")</f>
        <v>0</v>
      </c>
    </row>
    <row r="2162" spans="1:7">
      <c r="A2162" s="3">
        <v>12</v>
      </c>
      <c r="B2162" s="3">
        <v>4</v>
      </c>
      <c r="C2162" s="3">
        <v>95</v>
      </c>
      <c r="D2162" s="3">
        <v>27</v>
      </c>
      <c r="E2162" s="3">
        <v>-200.12</v>
      </c>
      <c r="F2162" s="4" t="str">
        <f>HYPERLINK("http://141.218.60.56/~jnz1568/getInfo.php?workbook=12_04.xlsx&amp;sheet=A0&amp;row=2162&amp;col=6&amp;number=3960&amp;sourceID=14","3960")</f>
        <v>3960</v>
      </c>
      <c r="G2162" s="4" t="str">
        <f>HYPERLINK("http://141.218.60.56/~jnz1568/getInfo.php?workbook=12_04.xlsx&amp;sheet=A0&amp;row=2162&amp;col=7&amp;number=0&amp;sourceID=14","0")</f>
        <v>0</v>
      </c>
    </row>
    <row r="2163" spans="1:7">
      <c r="A2163" s="3">
        <v>12</v>
      </c>
      <c r="B2163" s="3">
        <v>4</v>
      </c>
      <c r="C2163" s="3">
        <v>96</v>
      </c>
      <c r="D2163" s="3">
        <v>27</v>
      </c>
      <c r="E2163" s="3">
        <v>-199.885</v>
      </c>
      <c r="F2163" s="4" t="str">
        <f>HYPERLINK("http://141.218.60.56/~jnz1568/getInfo.php?workbook=12_04.xlsx&amp;sheet=A0&amp;row=2163&amp;col=6&amp;number=865&amp;sourceID=14","865")</f>
        <v>865</v>
      </c>
      <c r="G2163" s="4" t="str">
        <f>HYPERLINK("http://141.218.60.56/~jnz1568/getInfo.php?workbook=12_04.xlsx&amp;sheet=A0&amp;row=2163&amp;col=7&amp;number=0&amp;sourceID=14","0")</f>
        <v>0</v>
      </c>
    </row>
    <row r="2164" spans="1:7">
      <c r="A2164" s="3">
        <v>12</v>
      </c>
      <c r="B2164" s="3">
        <v>4</v>
      </c>
      <c r="C2164" s="3">
        <v>97</v>
      </c>
      <c r="D2164" s="3">
        <v>27</v>
      </c>
      <c r="E2164" s="3">
        <v>199.96</v>
      </c>
      <c r="F2164" s="4" t="str">
        <f>HYPERLINK("http://141.218.60.56/~jnz1568/getInfo.php?workbook=12_04.xlsx&amp;sheet=A0&amp;row=2164&amp;col=6&amp;number=131000000&amp;sourceID=14","131000000")</f>
        <v>131000000</v>
      </c>
      <c r="G2164" s="4" t="str">
        <f>HYPERLINK("http://141.218.60.56/~jnz1568/getInfo.php?workbook=12_04.xlsx&amp;sheet=A0&amp;row=2164&amp;col=7&amp;number=0&amp;sourceID=14","0")</f>
        <v>0</v>
      </c>
    </row>
    <row r="2165" spans="1:7">
      <c r="A2165" s="3">
        <v>12</v>
      </c>
      <c r="B2165" s="3">
        <v>4</v>
      </c>
      <c r="C2165" s="3">
        <v>98</v>
      </c>
      <c r="D2165" s="3">
        <v>27</v>
      </c>
      <c r="E2165" s="3">
        <v>199.267</v>
      </c>
      <c r="F2165" s="4" t="str">
        <f>HYPERLINK("http://141.218.60.56/~jnz1568/getInfo.php?workbook=12_04.xlsx&amp;sheet=A0&amp;row=2165&amp;col=6&amp;number=8640000&amp;sourceID=14","8640000")</f>
        <v>8640000</v>
      </c>
      <c r="G2165" s="4" t="str">
        <f>HYPERLINK("http://141.218.60.56/~jnz1568/getInfo.php?workbook=12_04.xlsx&amp;sheet=A0&amp;row=2165&amp;col=7&amp;number=0&amp;sourceID=14","0")</f>
        <v>0</v>
      </c>
    </row>
    <row r="2166" spans="1:7">
      <c r="A2166" s="3">
        <v>12</v>
      </c>
      <c r="B2166" s="3">
        <v>4</v>
      </c>
      <c r="C2166" s="3">
        <v>29</v>
      </c>
      <c r="D2166" s="3">
        <v>28</v>
      </c>
      <c r="E2166" s="3">
        <v>8764.258</v>
      </c>
      <c r="F2166" s="4" t="str">
        <f>HYPERLINK("http://141.218.60.56/~jnz1568/getInfo.php?workbook=12_04.xlsx&amp;sheet=A0&amp;row=2166&amp;col=6&amp;number=0.0167&amp;sourceID=14","0.0167")</f>
        <v>0.0167</v>
      </c>
      <c r="G2166" s="4" t="str">
        <f>HYPERLINK("http://141.218.60.56/~jnz1568/getInfo.php?workbook=12_04.xlsx&amp;sheet=A0&amp;row=2166&amp;col=7&amp;number=0&amp;sourceID=14","0")</f>
        <v>0</v>
      </c>
    </row>
    <row r="2167" spans="1:7">
      <c r="A2167" s="3">
        <v>12</v>
      </c>
      <c r="B2167" s="3">
        <v>4</v>
      </c>
      <c r="C2167" s="3">
        <v>31</v>
      </c>
      <c r="D2167" s="3">
        <v>28</v>
      </c>
      <c r="E2167" s="3">
        <v>5071.003</v>
      </c>
      <c r="F2167" s="4" t="str">
        <f>HYPERLINK("http://141.218.60.56/~jnz1568/getInfo.php?workbook=12_04.xlsx&amp;sheet=A0&amp;row=2167&amp;col=6&amp;number=0.2&amp;sourceID=14","0.2")</f>
        <v>0.2</v>
      </c>
      <c r="G2167" s="4" t="str">
        <f>HYPERLINK("http://141.218.60.56/~jnz1568/getInfo.php?workbook=12_04.xlsx&amp;sheet=A0&amp;row=2167&amp;col=7&amp;number=0&amp;sourceID=14","0")</f>
        <v>0</v>
      </c>
    </row>
    <row r="2168" spans="1:7">
      <c r="A2168" s="3">
        <v>12</v>
      </c>
      <c r="B2168" s="3">
        <v>4</v>
      </c>
      <c r="C2168" s="3">
        <v>32</v>
      </c>
      <c r="D2168" s="3">
        <v>28</v>
      </c>
      <c r="E2168" s="3">
        <v>4757.383</v>
      </c>
      <c r="F2168" s="4" t="str">
        <f>HYPERLINK("http://141.218.60.56/~jnz1568/getInfo.php?workbook=12_04.xlsx&amp;sheet=A0&amp;row=2168&amp;col=6&amp;number=0.588&amp;sourceID=14","0.588")</f>
        <v>0.588</v>
      </c>
      <c r="G2168" s="4" t="str">
        <f>HYPERLINK("http://141.218.60.56/~jnz1568/getInfo.php?workbook=12_04.xlsx&amp;sheet=A0&amp;row=2168&amp;col=7&amp;number=0&amp;sourceID=14","0")</f>
        <v>0</v>
      </c>
    </row>
    <row r="2169" spans="1:7">
      <c r="A2169" s="3">
        <v>12</v>
      </c>
      <c r="B2169" s="3">
        <v>4</v>
      </c>
      <c r="C2169" s="3">
        <v>33</v>
      </c>
      <c r="D2169" s="3">
        <v>28</v>
      </c>
      <c r="E2169" s="3">
        <v>-3702.888</v>
      </c>
      <c r="F2169" s="4" t="str">
        <f>HYPERLINK("http://141.218.60.56/~jnz1568/getInfo.php?workbook=12_04.xlsx&amp;sheet=A0&amp;row=2169&amp;col=6&amp;number=43500&amp;sourceID=14","43500")</f>
        <v>43500</v>
      </c>
      <c r="G2169" s="4" t="str">
        <f>HYPERLINK("http://141.218.60.56/~jnz1568/getInfo.php?workbook=12_04.xlsx&amp;sheet=A0&amp;row=2169&amp;col=7&amp;number=0&amp;sourceID=14","0")</f>
        <v>0</v>
      </c>
    </row>
    <row r="2170" spans="1:7">
      <c r="A2170" s="3">
        <v>12</v>
      </c>
      <c r="B2170" s="3">
        <v>4</v>
      </c>
      <c r="C2170" s="3">
        <v>34</v>
      </c>
      <c r="D2170" s="3">
        <v>28</v>
      </c>
      <c r="E2170" s="3">
        <v>-3442.11</v>
      </c>
      <c r="F2170" s="4" t="str">
        <f>HYPERLINK("http://141.218.60.56/~jnz1568/getInfo.php?workbook=12_04.xlsx&amp;sheet=A0&amp;row=2170&amp;col=6&amp;number=2510000&amp;sourceID=14","2510000")</f>
        <v>2510000</v>
      </c>
      <c r="G2170" s="4" t="str">
        <f>HYPERLINK("http://141.218.60.56/~jnz1568/getInfo.php?workbook=12_04.xlsx&amp;sheet=A0&amp;row=2170&amp;col=7&amp;number=0&amp;sourceID=14","0")</f>
        <v>0</v>
      </c>
    </row>
    <row r="2171" spans="1:7">
      <c r="A2171" s="3">
        <v>12</v>
      </c>
      <c r="B2171" s="3">
        <v>4</v>
      </c>
      <c r="C2171" s="3">
        <v>35</v>
      </c>
      <c r="D2171" s="3">
        <v>28</v>
      </c>
      <c r="E2171" s="3">
        <v>3260.521</v>
      </c>
      <c r="F2171" s="4" t="str">
        <f>HYPERLINK("http://141.218.60.56/~jnz1568/getInfo.php?workbook=12_04.xlsx&amp;sheet=A0&amp;row=2171&amp;col=6&amp;number=57500&amp;sourceID=14","57500")</f>
        <v>57500</v>
      </c>
      <c r="G2171" s="4" t="str">
        <f>HYPERLINK("http://141.218.60.56/~jnz1568/getInfo.php?workbook=12_04.xlsx&amp;sheet=A0&amp;row=2171&amp;col=7&amp;number=0&amp;sourceID=14","0")</f>
        <v>0</v>
      </c>
    </row>
    <row r="2172" spans="1:7">
      <c r="A2172" s="3">
        <v>12</v>
      </c>
      <c r="B2172" s="3">
        <v>4</v>
      </c>
      <c r="C2172" s="3">
        <v>36</v>
      </c>
      <c r="D2172" s="3">
        <v>28</v>
      </c>
      <c r="E2172" s="3">
        <v>-3218.856</v>
      </c>
      <c r="F2172" s="4" t="str">
        <f>HYPERLINK("http://141.218.60.56/~jnz1568/getInfo.php?workbook=12_04.xlsx&amp;sheet=A0&amp;row=2172&amp;col=6&amp;number=32300000&amp;sourceID=14","32300000")</f>
        <v>32300000</v>
      </c>
      <c r="G2172" s="4" t="str">
        <f>HYPERLINK("http://141.218.60.56/~jnz1568/getInfo.php?workbook=12_04.xlsx&amp;sheet=A0&amp;row=2172&amp;col=7&amp;number=0&amp;sourceID=14","0")</f>
        <v>0</v>
      </c>
    </row>
    <row r="2173" spans="1:7">
      <c r="A2173" s="3">
        <v>12</v>
      </c>
      <c r="B2173" s="3">
        <v>4</v>
      </c>
      <c r="C2173" s="3">
        <v>37</v>
      </c>
      <c r="D2173" s="3">
        <v>28</v>
      </c>
      <c r="E2173" s="3">
        <v>2710.032</v>
      </c>
      <c r="F2173" s="4" t="str">
        <f>HYPERLINK("http://141.218.60.56/~jnz1568/getInfo.php?workbook=12_04.xlsx&amp;sheet=A0&amp;row=2173&amp;col=6&amp;number=0.936&amp;sourceID=14","0.936")</f>
        <v>0.936</v>
      </c>
      <c r="G2173" s="4" t="str">
        <f>HYPERLINK("http://141.218.60.56/~jnz1568/getInfo.php?workbook=12_04.xlsx&amp;sheet=A0&amp;row=2173&amp;col=7&amp;number=0&amp;sourceID=14","0")</f>
        <v>0</v>
      </c>
    </row>
    <row r="2174" spans="1:7">
      <c r="A2174" s="3">
        <v>12</v>
      </c>
      <c r="B2174" s="3">
        <v>4</v>
      </c>
      <c r="C2174" s="3">
        <v>38</v>
      </c>
      <c r="D2174" s="3">
        <v>28</v>
      </c>
      <c r="E2174" s="3">
        <v>2068.256</v>
      </c>
      <c r="F2174" s="4" t="str">
        <f>HYPERLINK("http://141.218.60.56/~jnz1568/getInfo.php?workbook=12_04.xlsx&amp;sheet=A0&amp;row=2174&amp;col=6&amp;number=4.86e-06&amp;sourceID=14","4.86e-06")</f>
        <v>4.86e-06</v>
      </c>
      <c r="G2174" s="4" t="str">
        <f>HYPERLINK("http://141.218.60.56/~jnz1568/getInfo.php?workbook=12_04.xlsx&amp;sheet=A0&amp;row=2174&amp;col=7&amp;number=0&amp;sourceID=14","0")</f>
        <v>0</v>
      </c>
    </row>
    <row r="2175" spans="1:7">
      <c r="A2175" s="3">
        <v>12</v>
      </c>
      <c r="B2175" s="3">
        <v>4</v>
      </c>
      <c r="C2175" s="3">
        <v>39</v>
      </c>
      <c r="D2175" s="3">
        <v>28</v>
      </c>
      <c r="E2175" s="3">
        <v>2045.412</v>
      </c>
      <c r="F2175" s="4" t="str">
        <f>HYPERLINK("http://141.218.60.56/~jnz1568/getInfo.php?workbook=12_04.xlsx&amp;sheet=A0&amp;row=2175&amp;col=6&amp;number=1230000&amp;sourceID=14","1230000")</f>
        <v>1230000</v>
      </c>
      <c r="G2175" s="4" t="str">
        <f>HYPERLINK("http://141.218.60.56/~jnz1568/getInfo.php?workbook=12_04.xlsx&amp;sheet=A0&amp;row=2175&amp;col=7&amp;number=0&amp;sourceID=14","0")</f>
        <v>0</v>
      </c>
    </row>
    <row r="2176" spans="1:7">
      <c r="A2176" s="3">
        <v>12</v>
      </c>
      <c r="B2176" s="3">
        <v>4</v>
      </c>
      <c r="C2176" s="3">
        <v>40</v>
      </c>
      <c r="D2176" s="3">
        <v>28</v>
      </c>
      <c r="E2176" s="3">
        <v>2004.413</v>
      </c>
      <c r="F2176" s="4" t="str">
        <f>HYPERLINK("http://141.218.60.56/~jnz1568/getInfo.php?workbook=12_04.xlsx&amp;sheet=A0&amp;row=2176&amp;col=6&amp;number=24500000&amp;sourceID=14","24500000")</f>
        <v>24500000</v>
      </c>
      <c r="G2176" s="4" t="str">
        <f>HYPERLINK("http://141.218.60.56/~jnz1568/getInfo.php?workbook=12_04.xlsx&amp;sheet=A0&amp;row=2176&amp;col=7&amp;number=0&amp;sourceID=14","0")</f>
        <v>0</v>
      </c>
    </row>
    <row r="2177" spans="1:7">
      <c r="A2177" s="3">
        <v>12</v>
      </c>
      <c r="B2177" s="3">
        <v>4</v>
      </c>
      <c r="C2177" s="3">
        <v>41</v>
      </c>
      <c r="D2177" s="3">
        <v>28</v>
      </c>
      <c r="E2177" s="3">
        <v>1777.781</v>
      </c>
      <c r="F2177" s="4" t="str">
        <f>HYPERLINK("http://141.218.60.56/~jnz1568/getInfo.php?workbook=12_04.xlsx&amp;sheet=A0&amp;row=2177&amp;col=6&amp;number=32500000&amp;sourceID=14","32500000")</f>
        <v>32500000</v>
      </c>
      <c r="G2177" s="4" t="str">
        <f>HYPERLINK("http://141.218.60.56/~jnz1568/getInfo.php?workbook=12_04.xlsx&amp;sheet=A0&amp;row=2177&amp;col=7&amp;number=0&amp;sourceID=14","0")</f>
        <v>0</v>
      </c>
    </row>
    <row r="2178" spans="1:7">
      <c r="A2178" s="3">
        <v>12</v>
      </c>
      <c r="B2178" s="3">
        <v>4</v>
      </c>
      <c r="C2178" s="3">
        <v>42</v>
      </c>
      <c r="D2178" s="3">
        <v>28</v>
      </c>
      <c r="E2178" s="3">
        <v>1747.033</v>
      </c>
      <c r="F2178" s="4" t="str">
        <f>HYPERLINK("http://141.218.60.56/~jnz1568/getInfo.php?workbook=12_04.xlsx&amp;sheet=A0&amp;row=2178&amp;col=6&amp;number=2.38e-05&amp;sourceID=14","2.38e-05")</f>
        <v>2.38e-05</v>
      </c>
      <c r="G2178" s="4" t="str">
        <f>HYPERLINK("http://141.218.60.56/~jnz1568/getInfo.php?workbook=12_04.xlsx&amp;sheet=A0&amp;row=2178&amp;col=7&amp;number=0&amp;sourceID=14","0")</f>
        <v>0</v>
      </c>
    </row>
    <row r="2179" spans="1:7">
      <c r="A2179" s="3">
        <v>12</v>
      </c>
      <c r="B2179" s="3">
        <v>4</v>
      </c>
      <c r="C2179" s="3">
        <v>43</v>
      </c>
      <c r="D2179" s="3">
        <v>28</v>
      </c>
      <c r="E2179" s="3">
        <v>1731.305</v>
      </c>
      <c r="F2179" s="4" t="str">
        <f>HYPERLINK("http://141.218.60.56/~jnz1568/getInfo.php?workbook=12_04.xlsx&amp;sheet=A0&amp;row=2179&amp;col=6&amp;number=1.18e-05&amp;sourceID=14","1.18e-05")</f>
        <v>1.18e-05</v>
      </c>
      <c r="G2179" s="4" t="str">
        <f>HYPERLINK("http://141.218.60.56/~jnz1568/getInfo.php?workbook=12_04.xlsx&amp;sheet=A0&amp;row=2179&amp;col=7&amp;number=0&amp;sourceID=14","0")</f>
        <v>0</v>
      </c>
    </row>
    <row r="2180" spans="1:7">
      <c r="A2180" s="3">
        <v>12</v>
      </c>
      <c r="B2180" s="3">
        <v>4</v>
      </c>
      <c r="C2180" s="3">
        <v>45</v>
      </c>
      <c r="D2180" s="3">
        <v>28</v>
      </c>
      <c r="E2180" s="3">
        <v>1320.658</v>
      </c>
      <c r="F2180" s="4" t="str">
        <f>HYPERLINK("http://141.218.60.56/~jnz1568/getInfo.php?workbook=12_04.xlsx&amp;sheet=A0&amp;row=2180&amp;col=6&amp;number=15900&amp;sourceID=14","15900")</f>
        <v>15900</v>
      </c>
      <c r="G2180" s="4" t="str">
        <f>HYPERLINK("http://141.218.60.56/~jnz1568/getInfo.php?workbook=12_04.xlsx&amp;sheet=A0&amp;row=2180&amp;col=7&amp;number=0&amp;sourceID=14","0")</f>
        <v>0</v>
      </c>
    </row>
    <row r="2181" spans="1:7">
      <c r="A2181" s="3">
        <v>12</v>
      </c>
      <c r="B2181" s="3">
        <v>4</v>
      </c>
      <c r="C2181" s="3">
        <v>46</v>
      </c>
      <c r="D2181" s="3">
        <v>28</v>
      </c>
      <c r="E2181" s="3">
        <v>1210.803</v>
      </c>
      <c r="F2181" s="4" t="str">
        <f>HYPERLINK("http://141.218.60.56/~jnz1568/getInfo.php?workbook=12_04.xlsx&amp;sheet=A0&amp;row=2181&amp;col=6&amp;number=8.27e-05&amp;sourceID=14","8.27e-05")</f>
        <v>8.27e-05</v>
      </c>
      <c r="G2181" s="4" t="str">
        <f>HYPERLINK("http://141.218.60.56/~jnz1568/getInfo.php?workbook=12_04.xlsx&amp;sheet=A0&amp;row=2181&amp;col=7&amp;number=0&amp;sourceID=14","0")</f>
        <v>0</v>
      </c>
    </row>
    <row r="2182" spans="1:7">
      <c r="A2182" s="3">
        <v>12</v>
      </c>
      <c r="B2182" s="3">
        <v>4</v>
      </c>
      <c r="C2182" s="3">
        <v>47</v>
      </c>
      <c r="D2182" s="3">
        <v>28</v>
      </c>
      <c r="E2182" s="3">
        <v>-355.66</v>
      </c>
      <c r="F2182" s="4" t="str">
        <f>HYPERLINK("http://141.218.60.56/~jnz1568/getInfo.php?workbook=12_04.xlsx&amp;sheet=A0&amp;row=2182&amp;col=6&amp;number=212&amp;sourceID=14","212")</f>
        <v>212</v>
      </c>
      <c r="G2182" s="4" t="str">
        <f>HYPERLINK("http://141.218.60.56/~jnz1568/getInfo.php?workbook=12_04.xlsx&amp;sheet=A0&amp;row=2182&amp;col=7&amp;number=0&amp;sourceID=14","0")</f>
        <v>0</v>
      </c>
    </row>
    <row r="2183" spans="1:7">
      <c r="A2183" s="3">
        <v>12</v>
      </c>
      <c r="B2183" s="3">
        <v>4</v>
      </c>
      <c r="C2183" s="3">
        <v>48</v>
      </c>
      <c r="D2183" s="3">
        <v>28</v>
      </c>
      <c r="E2183" s="3">
        <v>-343.362</v>
      </c>
      <c r="F2183" s="4" t="str">
        <f>HYPERLINK("http://141.218.60.56/~jnz1568/getInfo.php?workbook=12_04.xlsx&amp;sheet=A0&amp;row=2183&amp;col=6&amp;number=2.15e-06&amp;sourceID=14","2.15e-06")</f>
        <v>2.15e-06</v>
      </c>
      <c r="G2183" s="4" t="str">
        <f>HYPERLINK("http://141.218.60.56/~jnz1568/getInfo.php?workbook=12_04.xlsx&amp;sheet=A0&amp;row=2183&amp;col=7&amp;number=0&amp;sourceID=14","0")</f>
        <v>0</v>
      </c>
    </row>
    <row r="2184" spans="1:7">
      <c r="A2184" s="3">
        <v>12</v>
      </c>
      <c r="B2184" s="3">
        <v>4</v>
      </c>
      <c r="C2184" s="3">
        <v>49</v>
      </c>
      <c r="D2184" s="3">
        <v>28</v>
      </c>
      <c r="E2184" s="3">
        <v>-327.049</v>
      </c>
      <c r="F2184" s="4" t="str">
        <f>HYPERLINK("http://141.218.60.56/~jnz1568/getInfo.php?workbook=12_04.xlsx&amp;sheet=A0&amp;row=2184&amp;col=6&amp;number=4.44e-05&amp;sourceID=14","4.44e-05")</f>
        <v>4.44e-05</v>
      </c>
      <c r="G2184" s="4" t="str">
        <f>HYPERLINK("http://141.218.60.56/~jnz1568/getInfo.php?workbook=12_04.xlsx&amp;sheet=A0&amp;row=2184&amp;col=7&amp;number=0&amp;sourceID=14","0")</f>
        <v>0</v>
      </c>
    </row>
    <row r="2185" spans="1:7">
      <c r="A2185" s="3">
        <v>12</v>
      </c>
      <c r="B2185" s="3">
        <v>4</v>
      </c>
      <c r="C2185" s="3">
        <v>50</v>
      </c>
      <c r="D2185" s="3">
        <v>28</v>
      </c>
      <c r="E2185" s="3">
        <v>-326.925</v>
      </c>
      <c r="F2185" s="4" t="str">
        <f>HYPERLINK("http://141.218.60.56/~jnz1568/getInfo.php?workbook=12_04.xlsx&amp;sheet=A0&amp;row=2185&amp;col=6&amp;number=0.000264&amp;sourceID=14","0.000264")</f>
        <v>0.000264</v>
      </c>
      <c r="G2185" s="4" t="str">
        <f>HYPERLINK("http://141.218.60.56/~jnz1568/getInfo.php?workbook=12_04.xlsx&amp;sheet=A0&amp;row=2185&amp;col=7&amp;number=0&amp;sourceID=14","0")</f>
        <v>0</v>
      </c>
    </row>
    <row r="2186" spans="1:7">
      <c r="A2186" s="3">
        <v>12</v>
      </c>
      <c r="B2186" s="3">
        <v>4</v>
      </c>
      <c r="C2186" s="3">
        <v>51</v>
      </c>
      <c r="D2186" s="3">
        <v>28</v>
      </c>
      <c r="E2186" s="3">
        <v>-326.645</v>
      </c>
      <c r="F2186" s="4" t="str">
        <f>HYPERLINK("http://141.218.60.56/~jnz1568/getInfo.php?workbook=12_04.xlsx&amp;sheet=A0&amp;row=2186&amp;col=6&amp;number=3840000&amp;sourceID=14","3840000")</f>
        <v>3840000</v>
      </c>
      <c r="G2186" s="4" t="str">
        <f>HYPERLINK("http://141.218.60.56/~jnz1568/getInfo.php?workbook=12_04.xlsx&amp;sheet=A0&amp;row=2186&amp;col=7&amp;number=0&amp;sourceID=14","0")</f>
        <v>0</v>
      </c>
    </row>
    <row r="2187" spans="1:7">
      <c r="A2187" s="3">
        <v>12</v>
      </c>
      <c r="B2187" s="3">
        <v>4</v>
      </c>
      <c r="C2187" s="3">
        <v>52</v>
      </c>
      <c r="D2187" s="3">
        <v>28</v>
      </c>
      <c r="E2187" s="3">
        <v>322.883</v>
      </c>
      <c r="F2187" s="4" t="str">
        <f>HYPERLINK("http://141.218.60.56/~jnz1568/getInfo.php?workbook=12_04.xlsx&amp;sheet=A0&amp;row=2187&amp;col=6&amp;number=0.143&amp;sourceID=14","0.143")</f>
        <v>0.143</v>
      </c>
      <c r="G2187" s="4" t="str">
        <f>HYPERLINK("http://141.218.60.56/~jnz1568/getInfo.php?workbook=12_04.xlsx&amp;sheet=A0&amp;row=2187&amp;col=7&amp;number=0&amp;sourceID=14","0")</f>
        <v>0</v>
      </c>
    </row>
    <row r="2188" spans="1:7">
      <c r="A2188" s="3">
        <v>12</v>
      </c>
      <c r="B2188" s="3">
        <v>4</v>
      </c>
      <c r="C2188" s="3">
        <v>53</v>
      </c>
      <c r="D2188" s="3">
        <v>28</v>
      </c>
      <c r="E2188" s="3">
        <v>311.527</v>
      </c>
      <c r="F2188" s="4" t="str">
        <f>HYPERLINK("http://141.218.60.56/~jnz1568/getInfo.php?workbook=12_04.xlsx&amp;sheet=A0&amp;row=2188&amp;col=6&amp;number=36.9&amp;sourceID=14","36.9")</f>
        <v>36.9</v>
      </c>
      <c r="G2188" s="4" t="str">
        <f>HYPERLINK("http://141.218.60.56/~jnz1568/getInfo.php?workbook=12_04.xlsx&amp;sheet=A0&amp;row=2188&amp;col=7&amp;number=0&amp;sourceID=14","0")</f>
        <v>0</v>
      </c>
    </row>
    <row r="2189" spans="1:7">
      <c r="A2189" s="3">
        <v>12</v>
      </c>
      <c r="B2189" s="3">
        <v>4</v>
      </c>
      <c r="C2189" s="3">
        <v>54</v>
      </c>
      <c r="D2189" s="3">
        <v>28</v>
      </c>
      <c r="E2189" s="3">
        <v>311.527</v>
      </c>
      <c r="F2189" s="4" t="str">
        <f>HYPERLINK("http://141.218.60.56/~jnz1568/getInfo.php?workbook=12_04.xlsx&amp;sheet=A0&amp;row=2189&amp;col=6&amp;number=222&amp;sourceID=14","222")</f>
        <v>222</v>
      </c>
      <c r="G2189" s="4" t="str">
        <f>HYPERLINK("http://141.218.60.56/~jnz1568/getInfo.php?workbook=12_04.xlsx&amp;sheet=A0&amp;row=2189&amp;col=7&amp;number=0&amp;sourceID=14","0")</f>
        <v>0</v>
      </c>
    </row>
    <row r="2190" spans="1:7">
      <c r="A2190" s="3">
        <v>12</v>
      </c>
      <c r="B2190" s="3">
        <v>4</v>
      </c>
      <c r="C2190" s="3">
        <v>55</v>
      </c>
      <c r="D2190" s="3">
        <v>28</v>
      </c>
      <c r="E2190" s="3">
        <v>311.449</v>
      </c>
      <c r="F2190" s="4" t="str">
        <f>HYPERLINK("http://141.218.60.56/~jnz1568/getInfo.php?workbook=12_04.xlsx&amp;sheet=A0&amp;row=2190&amp;col=6&amp;number=384&amp;sourceID=14","384")</f>
        <v>384</v>
      </c>
      <c r="G2190" s="4" t="str">
        <f>HYPERLINK("http://141.218.60.56/~jnz1568/getInfo.php?workbook=12_04.xlsx&amp;sheet=A0&amp;row=2190&amp;col=7&amp;number=0&amp;sourceID=14","0")</f>
        <v>0</v>
      </c>
    </row>
    <row r="2191" spans="1:7">
      <c r="A2191" s="3">
        <v>12</v>
      </c>
      <c r="B2191" s="3">
        <v>4</v>
      </c>
      <c r="C2191" s="3">
        <v>56</v>
      </c>
      <c r="D2191" s="3">
        <v>28</v>
      </c>
      <c r="E2191" s="3">
        <v>304.026</v>
      </c>
      <c r="F2191" s="4" t="str">
        <f>HYPERLINK("http://141.218.60.56/~jnz1568/getInfo.php?workbook=12_04.xlsx&amp;sheet=A0&amp;row=2191&amp;col=6&amp;number=0.049&amp;sourceID=14","0.049")</f>
        <v>0.049</v>
      </c>
      <c r="G2191" s="4" t="str">
        <f>HYPERLINK("http://141.218.60.56/~jnz1568/getInfo.php?workbook=12_04.xlsx&amp;sheet=A0&amp;row=2191&amp;col=7&amp;number=0&amp;sourceID=14","0")</f>
        <v>0</v>
      </c>
    </row>
    <row r="2192" spans="1:7">
      <c r="A2192" s="3">
        <v>12</v>
      </c>
      <c r="B2192" s="3">
        <v>4</v>
      </c>
      <c r="C2192" s="3">
        <v>57</v>
      </c>
      <c r="D2192" s="3">
        <v>28</v>
      </c>
      <c r="E2192" s="3">
        <v>-304.135</v>
      </c>
      <c r="F2192" s="4" t="str">
        <f>HYPERLINK("http://141.218.60.56/~jnz1568/getInfo.php?workbook=12_04.xlsx&amp;sheet=A0&amp;row=2192&amp;col=6&amp;number=4300000&amp;sourceID=14","4300000")</f>
        <v>4300000</v>
      </c>
      <c r="G2192" s="4" t="str">
        <f>HYPERLINK("http://141.218.60.56/~jnz1568/getInfo.php?workbook=12_04.xlsx&amp;sheet=A0&amp;row=2192&amp;col=7&amp;number=0&amp;sourceID=14","0")</f>
        <v>0</v>
      </c>
    </row>
    <row r="2193" spans="1:7">
      <c r="A2193" s="3">
        <v>12</v>
      </c>
      <c r="B2193" s="3">
        <v>4</v>
      </c>
      <c r="C2193" s="3">
        <v>58</v>
      </c>
      <c r="D2193" s="3">
        <v>28</v>
      </c>
      <c r="E2193" s="3">
        <v>-304.108</v>
      </c>
      <c r="F2193" s="4" t="str">
        <f>HYPERLINK("http://141.218.60.56/~jnz1568/getInfo.php?workbook=12_04.xlsx&amp;sheet=A0&amp;row=2193&amp;col=6&amp;number=108000000&amp;sourceID=14","108000000")</f>
        <v>108000000</v>
      </c>
      <c r="G2193" s="4" t="str">
        <f>HYPERLINK("http://141.218.60.56/~jnz1568/getInfo.php?workbook=12_04.xlsx&amp;sheet=A0&amp;row=2193&amp;col=7&amp;number=0&amp;sourceID=14","0")</f>
        <v>0</v>
      </c>
    </row>
    <row r="2194" spans="1:7">
      <c r="A2194" s="3">
        <v>12</v>
      </c>
      <c r="B2194" s="3">
        <v>4</v>
      </c>
      <c r="C2194" s="3">
        <v>59</v>
      </c>
      <c r="D2194" s="3">
        <v>28</v>
      </c>
      <c r="E2194" s="3">
        <v>-304.073</v>
      </c>
      <c r="F2194" s="4" t="str">
        <f>HYPERLINK("http://141.218.60.56/~jnz1568/getInfo.php?workbook=12_04.xlsx&amp;sheet=A0&amp;row=2194&amp;col=6&amp;number=969000000&amp;sourceID=14","969000000")</f>
        <v>969000000</v>
      </c>
      <c r="G2194" s="4" t="str">
        <f>HYPERLINK("http://141.218.60.56/~jnz1568/getInfo.php?workbook=12_04.xlsx&amp;sheet=A0&amp;row=2194&amp;col=7&amp;number=0&amp;sourceID=14","0")</f>
        <v>0</v>
      </c>
    </row>
    <row r="2195" spans="1:7">
      <c r="A2195" s="3">
        <v>12</v>
      </c>
      <c r="B2195" s="3">
        <v>4</v>
      </c>
      <c r="C2195" s="3">
        <v>60</v>
      </c>
      <c r="D2195" s="3">
        <v>28</v>
      </c>
      <c r="E2195" s="3">
        <v>-301.755</v>
      </c>
      <c r="F2195" s="4" t="str">
        <f>HYPERLINK("http://141.218.60.56/~jnz1568/getInfo.php?workbook=12_04.xlsx&amp;sheet=A0&amp;row=2195&amp;col=6&amp;number=9160&amp;sourceID=14","9160")</f>
        <v>9160</v>
      </c>
      <c r="G2195" s="4" t="str">
        <f>HYPERLINK("http://141.218.60.56/~jnz1568/getInfo.php?workbook=12_04.xlsx&amp;sheet=A0&amp;row=2195&amp;col=7&amp;number=0&amp;sourceID=14","0")</f>
        <v>0</v>
      </c>
    </row>
    <row r="2196" spans="1:7">
      <c r="A2196" s="3">
        <v>12</v>
      </c>
      <c r="B2196" s="3">
        <v>4</v>
      </c>
      <c r="C2196" s="3">
        <v>61</v>
      </c>
      <c r="D2196" s="3">
        <v>28</v>
      </c>
      <c r="E2196" s="3">
        <v>-223.662</v>
      </c>
      <c r="F2196" s="4" t="str">
        <f>HYPERLINK("http://141.218.60.56/~jnz1568/getInfo.php?workbook=12_04.xlsx&amp;sheet=A0&amp;row=2196&amp;col=6&amp;number=0.802&amp;sourceID=14","0.802")</f>
        <v>0.802</v>
      </c>
      <c r="G2196" s="4" t="str">
        <f>HYPERLINK("http://141.218.60.56/~jnz1568/getInfo.php?workbook=12_04.xlsx&amp;sheet=A0&amp;row=2196&amp;col=7&amp;number=0&amp;sourceID=14","0")</f>
        <v>0</v>
      </c>
    </row>
    <row r="2197" spans="1:7">
      <c r="A2197" s="3">
        <v>12</v>
      </c>
      <c r="B2197" s="3">
        <v>4</v>
      </c>
      <c r="C2197" s="3">
        <v>62</v>
      </c>
      <c r="D2197" s="3">
        <v>28</v>
      </c>
      <c r="E2197" s="3">
        <v>-223.204</v>
      </c>
      <c r="F2197" s="4" t="str">
        <f>HYPERLINK("http://141.218.60.56/~jnz1568/getInfo.php?workbook=12_04.xlsx&amp;sheet=A0&amp;row=2197&amp;col=6&amp;number=10.7&amp;sourceID=14","10.7")</f>
        <v>10.7</v>
      </c>
      <c r="G2197" s="4" t="str">
        <f>HYPERLINK("http://141.218.60.56/~jnz1568/getInfo.php?workbook=12_04.xlsx&amp;sheet=A0&amp;row=2197&amp;col=7&amp;number=0&amp;sourceID=14","0")</f>
        <v>0</v>
      </c>
    </row>
    <row r="2198" spans="1:7">
      <c r="A2198" s="3">
        <v>12</v>
      </c>
      <c r="B2198" s="3">
        <v>4</v>
      </c>
      <c r="C2198" s="3">
        <v>63</v>
      </c>
      <c r="D2198" s="3">
        <v>28</v>
      </c>
      <c r="E2198" s="3">
        <v>-221.729</v>
      </c>
      <c r="F2198" s="4" t="str">
        <f>HYPERLINK("http://141.218.60.56/~jnz1568/getInfo.php?workbook=12_04.xlsx&amp;sheet=A0&amp;row=2198&amp;col=6&amp;number=8040000000&amp;sourceID=14","8040000000")</f>
        <v>8040000000</v>
      </c>
      <c r="G2198" s="4" t="str">
        <f>HYPERLINK("http://141.218.60.56/~jnz1568/getInfo.php?workbook=12_04.xlsx&amp;sheet=A0&amp;row=2198&amp;col=7&amp;number=0&amp;sourceID=14","0")</f>
        <v>0</v>
      </c>
    </row>
    <row r="2199" spans="1:7">
      <c r="A2199" s="3">
        <v>12</v>
      </c>
      <c r="B2199" s="3">
        <v>4</v>
      </c>
      <c r="C2199" s="3">
        <v>64</v>
      </c>
      <c r="D2199" s="3">
        <v>28</v>
      </c>
      <c r="E2199" s="3">
        <v>-218.703</v>
      </c>
      <c r="F2199" s="4" t="str">
        <f>HYPERLINK("http://141.218.60.56/~jnz1568/getInfo.php?workbook=12_04.xlsx&amp;sheet=A0&amp;row=2199&amp;col=6&amp;number=8.62&amp;sourceID=14","8.62")</f>
        <v>8.62</v>
      </c>
      <c r="G2199" s="4" t="str">
        <f>HYPERLINK("http://141.218.60.56/~jnz1568/getInfo.php?workbook=12_04.xlsx&amp;sheet=A0&amp;row=2199&amp;col=7&amp;number=0&amp;sourceID=14","0")</f>
        <v>0</v>
      </c>
    </row>
    <row r="2200" spans="1:7">
      <c r="A2200" s="3">
        <v>12</v>
      </c>
      <c r="B2200" s="3">
        <v>4</v>
      </c>
      <c r="C2200" s="3">
        <v>65</v>
      </c>
      <c r="D2200" s="3">
        <v>28</v>
      </c>
      <c r="E2200" s="3">
        <v>-215.161</v>
      </c>
      <c r="F2200" s="4" t="str">
        <f>HYPERLINK("http://141.218.60.56/~jnz1568/getInfo.php?workbook=12_04.xlsx&amp;sheet=A0&amp;row=2200&amp;col=6&amp;number=2100&amp;sourceID=14","2100")</f>
        <v>2100</v>
      </c>
      <c r="G2200" s="4" t="str">
        <f>HYPERLINK("http://141.218.60.56/~jnz1568/getInfo.php?workbook=12_04.xlsx&amp;sheet=A0&amp;row=2200&amp;col=7&amp;number=0&amp;sourceID=14","0")</f>
        <v>0</v>
      </c>
    </row>
    <row r="2201" spans="1:7">
      <c r="A2201" s="3">
        <v>12</v>
      </c>
      <c r="B2201" s="3">
        <v>4</v>
      </c>
      <c r="C2201" s="3">
        <v>66</v>
      </c>
      <c r="D2201" s="3">
        <v>28</v>
      </c>
      <c r="E2201" s="3">
        <v>-213.987</v>
      </c>
      <c r="F2201" s="4" t="str">
        <f>HYPERLINK("http://141.218.60.56/~jnz1568/getInfo.php?workbook=12_04.xlsx&amp;sheet=A0&amp;row=2201&amp;col=6&amp;number=15500&amp;sourceID=14","15500")</f>
        <v>15500</v>
      </c>
      <c r="G2201" s="4" t="str">
        <f>HYPERLINK("http://141.218.60.56/~jnz1568/getInfo.php?workbook=12_04.xlsx&amp;sheet=A0&amp;row=2201&amp;col=7&amp;number=0&amp;sourceID=14","0")</f>
        <v>0</v>
      </c>
    </row>
    <row r="2202" spans="1:7">
      <c r="A2202" s="3">
        <v>12</v>
      </c>
      <c r="B2202" s="3">
        <v>4</v>
      </c>
      <c r="C2202" s="3">
        <v>67</v>
      </c>
      <c r="D2202" s="3">
        <v>28</v>
      </c>
      <c r="E2202" s="3">
        <v>-213.78</v>
      </c>
      <c r="F2202" s="4" t="str">
        <f>HYPERLINK("http://141.218.60.56/~jnz1568/getInfo.php?workbook=12_04.xlsx&amp;sheet=A0&amp;row=2202&amp;col=6&amp;number=109000&amp;sourceID=14","109000")</f>
        <v>109000</v>
      </c>
      <c r="G2202" s="4" t="str">
        <f>HYPERLINK("http://141.218.60.56/~jnz1568/getInfo.php?workbook=12_04.xlsx&amp;sheet=A0&amp;row=2202&amp;col=7&amp;number=0&amp;sourceID=14","0")</f>
        <v>0</v>
      </c>
    </row>
    <row r="2203" spans="1:7">
      <c r="A2203" s="3">
        <v>12</v>
      </c>
      <c r="B2203" s="3">
        <v>4</v>
      </c>
      <c r="C2203" s="3">
        <v>68</v>
      </c>
      <c r="D2203" s="3">
        <v>28</v>
      </c>
      <c r="E2203" s="3">
        <v>212.423</v>
      </c>
      <c r="F2203" s="4" t="str">
        <f>HYPERLINK("http://141.218.60.56/~jnz1568/getInfo.php?workbook=12_04.xlsx&amp;sheet=A0&amp;row=2203&amp;col=6&amp;number=341000&amp;sourceID=14","341000")</f>
        <v>341000</v>
      </c>
      <c r="G2203" s="4" t="str">
        <f>HYPERLINK("http://141.218.60.56/~jnz1568/getInfo.php?workbook=12_04.xlsx&amp;sheet=A0&amp;row=2203&amp;col=7&amp;number=0&amp;sourceID=14","0")</f>
        <v>0</v>
      </c>
    </row>
    <row r="2204" spans="1:7">
      <c r="A2204" s="3">
        <v>12</v>
      </c>
      <c r="B2204" s="3">
        <v>4</v>
      </c>
      <c r="C2204" s="3">
        <v>69</v>
      </c>
      <c r="D2204" s="3">
        <v>28</v>
      </c>
      <c r="E2204" s="3">
        <v>-211.369</v>
      </c>
      <c r="F2204" s="4" t="str">
        <f>HYPERLINK("http://141.218.60.56/~jnz1568/getInfo.php?workbook=12_04.xlsx&amp;sheet=A0&amp;row=2204&amp;col=6&amp;number=37500&amp;sourceID=14","37500")</f>
        <v>37500</v>
      </c>
      <c r="G2204" s="4" t="str">
        <f>HYPERLINK("http://141.218.60.56/~jnz1568/getInfo.php?workbook=12_04.xlsx&amp;sheet=A0&amp;row=2204&amp;col=7&amp;number=0&amp;sourceID=14","0")</f>
        <v>0</v>
      </c>
    </row>
    <row r="2205" spans="1:7">
      <c r="A2205" s="3">
        <v>12</v>
      </c>
      <c r="B2205" s="3">
        <v>4</v>
      </c>
      <c r="C2205" s="3">
        <v>70</v>
      </c>
      <c r="D2205" s="3">
        <v>28</v>
      </c>
      <c r="E2205" s="3">
        <v>-211.087</v>
      </c>
      <c r="F2205" s="4" t="str">
        <f>HYPERLINK("http://141.218.60.56/~jnz1568/getInfo.php?workbook=12_04.xlsx&amp;sheet=A0&amp;row=2205&amp;col=6&amp;number=0.000985&amp;sourceID=14","0.000985")</f>
        <v>0.000985</v>
      </c>
      <c r="G2205" s="4" t="str">
        <f>HYPERLINK("http://141.218.60.56/~jnz1568/getInfo.php?workbook=12_04.xlsx&amp;sheet=A0&amp;row=2205&amp;col=7&amp;number=0&amp;sourceID=14","0")</f>
        <v>0</v>
      </c>
    </row>
    <row r="2206" spans="1:7">
      <c r="A2206" s="3">
        <v>12</v>
      </c>
      <c r="B2206" s="3">
        <v>4</v>
      </c>
      <c r="C2206" s="3">
        <v>71</v>
      </c>
      <c r="D2206" s="3">
        <v>28</v>
      </c>
      <c r="E2206" s="3">
        <v>-210.23</v>
      </c>
      <c r="F2206" s="4" t="str">
        <f>HYPERLINK("http://141.218.60.56/~jnz1568/getInfo.php?workbook=12_04.xlsx&amp;sheet=A0&amp;row=2206&amp;col=6&amp;number=1090000&amp;sourceID=14","1090000")</f>
        <v>1090000</v>
      </c>
      <c r="G2206" s="4" t="str">
        <f>HYPERLINK("http://141.218.60.56/~jnz1568/getInfo.php?workbook=12_04.xlsx&amp;sheet=A0&amp;row=2206&amp;col=7&amp;number=0&amp;sourceID=14","0")</f>
        <v>0</v>
      </c>
    </row>
    <row r="2207" spans="1:7">
      <c r="A2207" s="3">
        <v>12</v>
      </c>
      <c r="B2207" s="3">
        <v>4</v>
      </c>
      <c r="C2207" s="3">
        <v>72</v>
      </c>
      <c r="D2207" s="3">
        <v>28</v>
      </c>
      <c r="E2207" s="3">
        <v>209.917</v>
      </c>
      <c r="F2207" s="4" t="str">
        <f>HYPERLINK("http://141.218.60.56/~jnz1568/getInfo.php?workbook=12_04.xlsx&amp;sheet=A0&amp;row=2207&amp;col=6&amp;number=735000&amp;sourceID=14","735000")</f>
        <v>735000</v>
      </c>
      <c r="G2207" s="4" t="str">
        <f>HYPERLINK("http://141.218.60.56/~jnz1568/getInfo.php?workbook=12_04.xlsx&amp;sheet=A0&amp;row=2207&amp;col=7&amp;number=0&amp;sourceID=14","0")</f>
        <v>0</v>
      </c>
    </row>
    <row r="2208" spans="1:7">
      <c r="A2208" s="3">
        <v>12</v>
      </c>
      <c r="B2208" s="3">
        <v>4</v>
      </c>
      <c r="C2208" s="3">
        <v>73</v>
      </c>
      <c r="D2208" s="3">
        <v>28</v>
      </c>
      <c r="E2208" s="3">
        <v>-208.693</v>
      </c>
      <c r="F2208" s="4" t="str">
        <f>HYPERLINK("http://141.218.60.56/~jnz1568/getInfo.php?workbook=12_04.xlsx&amp;sheet=A0&amp;row=2208&amp;col=6&amp;number=52300000&amp;sourceID=14","52300000")</f>
        <v>52300000</v>
      </c>
      <c r="G2208" s="4" t="str">
        <f>HYPERLINK("http://141.218.60.56/~jnz1568/getInfo.php?workbook=12_04.xlsx&amp;sheet=A0&amp;row=2208&amp;col=7&amp;number=0&amp;sourceID=14","0")</f>
        <v>0</v>
      </c>
    </row>
    <row r="2209" spans="1:7">
      <c r="A2209" s="3">
        <v>12</v>
      </c>
      <c r="B2209" s="3">
        <v>4</v>
      </c>
      <c r="C2209" s="3">
        <v>74</v>
      </c>
      <c r="D2209" s="3">
        <v>28</v>
      </c>
      <c r="E2209" s="3">
        <v>-207.865</v>
      </c>
      <c r="F2209" s="4" t="str">
        <f>HYPERLINK("http://141.218.60.56/~jnz1568/getInfo.php?workbook=12_04.xlsx&amp;sheet=A0&amp;row=2209&amp;col=6&amp;number=2490000000&amp;sourceID=14","2490000000")</f>
        <v>2490000000</v>
      </c>
      <c r="G2209" s="4" t="str">
        <f>HYPERLINK("http://141.218.60.56/~jnz1568/getInfo.php?workbook=12_04.xlsx&amp;sheet=A0&amp;row=2209&amp;col=7&amp;number=0&amp;sourceID=14","0")</f>
        <v>0</v>
      </c>
    </row>
    <row r="2210" spans="1:7">
      <c r="A2210" s="3">
        <v>12</v>
      </c>
      <c r="B2210" s="3">
        <v>4</v>
      </c>
      <c r="C2210" s="3">
        <v>75</v>
      </c>
      <c r="D2210" s="3">
        <v>28</v>
      </c>
      <c r="E2210" s="3">
        <v>207.366</v>
      </c>
      <c r="F2210" s="4" t="str">
        <f>HYPERLINK("http://141.218.60.56/~jnz1568/getInfo.php?workbook=12_04.xlsx&amp;sheet=A0&amp;row=2210&amp;col=6&amp;number=15200000&amp;sourceID=14","15200000")</f>
        <v>15200000</v>
      </c>
      <c r="G2210" s="4" t="str">
        <f>HYPERLINK("http://141.218.60.56/~jnz1568/getInfo.php?workbook=12_04.xlsx&amp;sheet=A0&amp;row=2210&amp;col=7&amp;number=0&amp;sourceID=14","0")</f>
        <v>0</v>
      </c>
    </row>
    <row r="2211" spans="1:7">
      <c r="A2211" s="3">
        <v>12</v>
      </c>
      <c r="B2211" s="3">
        <v>4</v>
      </c>
      <c r="C2211" s="3">
        <v>76</v>
      </c>
      <c r="D2211" s="3">
        <v>28</v>
      </c>
      <c r="E2211" s="3">
        <v>207.422</v>
      </c>
      <c r="F2211" s="4" t="str">
        <f>HYPERLINK("http://141.218.60.56/~jnz1568/getInfo.php?workbook=12_04.xlsx&amp;sheet=A0&amp;row=2211&amp;col=6&amp;number=6050&amp;sourceID=14","6050")</f>
        <v>6050</v>
      </c>
      <c r="G2211" s="4" t="str">
        <f>HYPERLINK("http://141.218.60.56/~jnz1568/getInfo.php?workbook=12_04.xlsx&amp;sheet=A0&amp;row=2211&amp;col=7&amp;number=0&amp;sourceID=14","0")</f>
        <v>0</v>
      </c>
    </row>
    <row r="2212" spans="1:7">
      <c r="A2212" s="3">
        <v>12</v>
      </c>
      <c r="B2212" s="3">
        <v>4</v>
      </c>
      <c r="C2212" s="3">
        <v>77</v>
      </c>
      <c r="D2212" s="3">
        <v>28</v>
      </c>
      <c r="E2212" s="3">
        <v>-206.929</v>
      </c>
      <c r="F2212" s="4" t="str">
        <f>HYPERLINK("http://141.218.60.56/~jnz1568/getInfo.php?workbook=12_04.xlsx&amp;sheet=A0&amp;row=2212&amp;col=6&amp;number=44200000000&amp;sourceID=14","44200000000")</f>
        <v>44200000000</v>
      </c>
      <c r="G2212" s="4" t="str">
        <f>HYPERLINK("http://141.218.60.56/~jnz1568/getInfo.php?workbook=12_04.xlsx&amp;sheet=A0&amp;row=2212&amp;col=7&amp;number=0&amp;sourceID=14","0")</f>
        <v>0</v>
      </c>
    </row>
    <row r="2213" spans="1:7">
      <c r="A2213" s="3">
        <v>12</v>
      </c>
      <c r="B2213" s="3">
        <v>4</v>
      </c>
      <c r="C2213" s="3">
        <v>78</v>
      </c>
      <c r="D2213" s="3">
        <v>28</v>
      </c>
      <c r="E2213" s="3">
        <v>-205.651</v>
      </c>
      <c r="F2213" s="4" t="str">
        <f>HYPERLINK("http://141.218.60.56/~jnz1568/getInfo.php?workbook=12_04.xlsx&amp;sheet=A0&amp;row=2213&amp;col=6&amp;number=4.79&amp;sourceID=14","4.79")</f>
        <v>4.79</v>
      </c>
      <c r="G2213" s="4" t="str">
        <f>HYPERLINK("http://141.218.60.56/~jnz1568/getInfo.php?workbook=12_04.xlsx&amp;sheet=A0&amp;row=2213&amp;col=7&amp;number=0&amp;sourceID=14","0")</f>
        <v>0</v>
      </c>
    </row>
    <row r="2214" spans="1:7">
      <c r="A2214" s="3">
        <v>12</v>
      </c>
      <c r="B2214" s="3">
        <v>4</v>
      </c>
      <c r="C2214" s="3">
        <v>79</v>
      </c>
      <c r="D2214" s="3">
        <v>28</v>
      </c>
      <c r="E2214" s="3">
        <v>-205.389</v>
      </c>
      <c r="F2214" s="4" t="str">
        <f>HYPERLINK("http://141.218.60.56/~jnz1568/getInfo.php?workbook=12_04.xlsx&amp;sheet=A0&amp;row=2214&amp;col=6&amp;number=707000000&amp;sourceID=14","707000000")</f>
        <v>707000000</v>
      </c>
      <c r="G2214" s="4" t="str">
        <f>HYPERLINK("http://141.218.60.56/~jnz1568/getInfo.php?workbook=12_04.xlsx&amp;sheet=A0&amp;row=2214&amp;col=7&amp;number=0&amp;sourceID=14","0")</f>
        <v>0</v>
      </c>
    </row>
    <row r="2215" spans="1:7">
      <c r="A2215" s="3">
        <v>12</v>
      </c>
      <c r="B2215" s="3">
        <v>4</v>
      </c>
      <c r="C2215" s="3">
        <v>80</v>
      </c>
      <c r="D2215" s="3">
        <v>28</v>
      </c>
      <c r="E2215" s="3">
        <v>-204.867</v>
      </c>
      <c r="F2215" s="4" t="str">
        <f>HYPERLINK("http://141.218.60.56/~jnz1568/getInfo.php?workbook=12_04.xlsx&amp;sheet=A0&amp;row=2215&amp;col=6&amp;number=21800&amp;sourceID=14","21800")</f>
        <v>21800</v>
      </c>
      <c r="G2215" s="4" t="str">
        <f>HYPERLINK("http://141.218.60.56/~jnz1568/getInfo.php?workbook=12_04.xlsx&amp;sheet=A0&amp;row=2215&amp;col=7&amp;number=0&amp;sourceID=14","0")</f>
        <v>0</v>
      </c>
    </row>
    <row r="2216" spans="1:7">
      <c r="A2216" s="3">
        <v>12</v>
      </c>
      <c r="B2216" s="3">
        <v>4</v>
      </c>
      <c r="C2216" s="3">
        <v>81</v>
      </c>
      <c r="D2216" s="3">
        <v>28</v>
      </c>
      <c r="E2216" s="3">
        <v>204.382</v>
      </c>
      <c r="F2216" s="4" t="str">
        <f>HYPERLINK("http://141.218.60.56/~jnz1568/getInfo.php?workbook=12_04.xlsx&amp;sheet=A0&amp;row=2216&amp;col=6&amp;number=12600000000&amp;sourceID=14","12600000000")</f>
        <v>12600000000</v>
      </c>
      <c r="G2216" s="4" t="str">
        <f>HYPERLINK("http://141.218.60.56/~jnz1568/getInfo.php?workbook=12_04.xlsx&amp;sheet=A0&amp;row=2216&amp;col=7&amp;number=0&amp;sourceID=14","0")</f>
        <v>0</v>
      </c>
    </row>
    <row r="2217" spans="1:7">
      <c r="A2217" s="3">
        <v>12</v>
      </c>
      <c r="B2217" s="3">
        <v>4</v>
      </c>
      <c r="C2217" s="3">
        <v>82</v>
      </c>
      <c r="D2217" s="3">
        <v>28</v>
      </c>
      <c r="E2217" s="3">
        <v>-204.715</v>
      </c>
      <c r="F2217" s="4" t="str">
        <f>HYPERLINK("http://141.218.60.56/~jnz1568/getInfo.php?workbook=12_04.xlsx&amp;sheet=A0&amp;row=2217&amp;col=6&amp;number=30900&amp;sourceID=14","30900")</f>
        <v>30900</v>
      </c>
      <c r="G2217" s="4" t="str">
        <f>HYPERLINK("http://141.218.60.56/~jnz1568/getInfo.php?workbook=12_04.xlsx&amp;sheet=A0&amp;row=2217&amp;col=7&amp;number=0&amp;sourceID=14","0")</f>
        <v>0</v>
      </c>
    </row>
    <row r="2218" spans="1:7">
      <c r="A2218" s="3">
        <v>12</v>
      </c>
      <c r="B2218" s="3">
        <v>4</v>
      </c>
      <c r="C2218" s="3">
        <v>83</v>
      </c>
      <c r="D2218" s="3">
        <v>28</v>
      </c>
      <c r="E2218" s="3">
        <v>-204.713</v>
      </c>
      <c r="F2218" s="4" t="str">
        <f>HYPERLINK("http://141.218.60.56/~jnz1568/getInfo.php?workbook=12_04.xlsx&amp;sheet=A0&amp;row=2218&amp;col=6&amp;number=149000&amp;sourceID=14","149000")</f>
        <v>149000</v>
      </c>
      <c r="G2218" s="4" t="str">
        <f>HYPERLINK("http://141.218.60.56/~jnz1568/getInfo.php?workbook=12_04.xlsx&amp;sheet=A0&amp;row=2218&amp;col=7&amp;number=0&amp;sourceID=14","0")</f>
        <v>0</v>
      </c>
    </row>
    <row r="2219" spans="1:7">
      <c r="A2219" s="3">
        <v>12</v>
      </c>
      <c r="B2219" s="3">
        <v>4</v>
      </c>
      <c r="C2219" s="3">
        <v>84</v>
      </c>
      <c r="D2219" s="3">
        <v>28</v>
      </c>
      <c r="E2219" s="3">
        <v>-204.577</v>
      </c>
      <c r="F2219" s="4" t="str">
        <f>HYPERLINK("http://141.218.60.56/~jnz1568/getInfo.php?workbook=12_04.xlsx&amp;sheet=A0&amp;row=2219&amp;col=6&amp;number=346000&amp;sourceID=14","346000")</f>
        <v>346000</v>
      </c>
      <c r="G2219" s="4" t="str">
        <f>HYPERLINK("http://141.218.60.56/~jnz1568/getInfo.php?workbook=12_04.xlsx&amp;sheet=A0&amp;row=2219&amp;col=7&amp;number=0&amp;sourceID=14","0")</f>
        <v>0</v>
      </c>
    </row>
    <row r="2220" spans="1:7">
      <c r="A2220" s="3">
        <v>12</v>
      </c>
      <c r="B2220" s="3">
        <v>4</v>
      </c>
      <c r="C2220" s="3">
        <v>85</v>
      </c>
      <c r="D2220" s="3">
        <v>28</v>
      </c>
      <c r="E2220" s="3">
        <v>203.882</v>
      </c>
      <c r="F2220" s="4" t="str">
        <f>HYPERLINK("http://141.218.60.56/~jnz1568/getInfo.php?workbook=12_04.xlsx&amp;sheet=A0&amp;row=2220&amp;col=6&amp;number=2030000000&amp;sourceID=14","2030000000")</f>
        <v>2030000000</v>
      </c>
      <c r="G2220" s="4" t="str">
        <f>HYPERLINK("http://141.218.60.56/~jnz1568/getInfo.php?workbook=12_04.xlsx&amp;sheet=A0&amp;row=2220&amp;col=7&amp;number=0&amp;sourceID=14","0")</f>
        <v>0</v>
      </c>
    </row>
    <row r="2221" spans="1:7">
      <c r="A2221" s="3">
        <v>12</v>
      </c>
      <c r="B2221" s="3">
        <v>4</v>
      </c>
      <c r="C2221" s="3">
        <v>86</v>
      </c>
      <c r="D2221" s="3">
        <v>28</v>
      </c>
      <c r="E2221" s="3">
        <v>203.666</v>
      </c>
      <c r="F2221" s="4" t="str">
        <f>HYPERLINK("http://141.218.60.56/~jnz1568/getInfo.php?workbook=12_04.xlsx&amp;sheet=A0&amp;row=2221&amp;col=6&amp;number=62.2&amp;sourceID=14","62.2")</f>
        <v>62.2</v>
      </c>
      <c r="G2221" s="4" t="str">
        <f>HYPERLINK("http://141.218.60.56/~jnz1568/getInfo.php?workbook=12_04.xlsx&amp;sheet=A0&amp;row=2221&amp;col=7&amp;number=0&amp;sourceID=14","0")</f>
        <v>0</v>
      </c>
    </row>
    <row r="2222" spans="1:7">
      <c r="A2222" s="3">
        <v>12</v>
      </c>
      <c r="B2222" s="3">
        <v>4</v>
      </c>
      <c r="C2222" s="3">
        <v>87</v>
      </c>
      <c r="D2222" s="3">
        <v>28</v>
      </c>
      <c r="E2222" s="3">
        <v>-203.565</v>
      </c>
      <c r="F2222" s="4" t="str">
        <f>HYPERLINK("http://141.218.60.56/~jnz1568/getInfo.php?workbook=12_04.xlsx&amp;sheet=A0&amp;row=2222&amp;col=6&amp;number=72.1&amp;sourceID=14","72.1")</f>
        <v>72.1</v>
      </c>
      <c r="G2222" s="4" t="str">
        <f>HYPERLINK("http://141.218.60.56/~jnz1568/getInfo.php?workbook=12_04.xlsx&amp;sheet=A0&amp;row=2222&amp;col=7&amp;number=0&amp;sourceID=14","0")</f>
        <v>0</v>
      </c>
    </row>
    <row r="2223" spans="1:7">
      <c r="A2223" s="3">
        <v>12</v>
      </c>
      <c r="B2223" s="3">
        <v>4</v>
      </c>
      <c r="C2223" s="3">
        <v>88</v>
      </c>
      <c r="D2223" s="3">
        <v>28</v>
      </c>
      <c r="E2223" s="3">
        <v>-203.241</v>
      </c>
      <c r="F2223" s="4" t="str">
        <f>HYPERLINK("http://141.218.60.56/~jnz1568/getInfo.php?workbook=12_04.xlsx&amp;sheet=A0&amp;row=2223&amp;col=6&amp;number=219000&amp;sourceID=14","219000")</f>
        <v>219000</v>
      </c>
      <c r="G2223" s="4" t="str">
        <f>HYPERLINK("http://141.218.60.56/~jnz1568/getInfo.php?workbook=12_04.xlsx&amp;sheet=A0&amp;row=2223&amp;col=7&amp;number=0&amp;sourceID=14","0")</f>
        <v>0</v>
      </c>
    </row>
    <row r="2224" spans="1:7">
      <c r="A2224" s="3">
        <v>12</v>
      </c>
      <c r="B2224" s="3">
        <v>4</v>
      </c>
      <c r="C2224" s="3">
        <v>89</v>
      </c>
      <c r="D2224" s="3">
        <v>28</v>
      </c>
      <c r="E2224" s="3">
        <v>-203.05</v>
      </c>
      <c r="F2224" s="4" t="str">
        <f>HYPERLINK("http://141.218.60.56/~jnz1568/getInfo.php?workbook=12_04.xlsx&amp;sheet=A0&amp;row=2224&amp;col=6&amp;number=1650000&amp;sourceID=14","1650000")</f>
        <v>1650000</v>
      </c>
      <c r="G2224" s="4" t="str">
        <f>HYPERLINK("http://141.218.60.56/~jnz1568/getInfo.php?workbook=12_04.xlsx&amp;sheet=A0&amp;row=2224&amp;col=7&amp;number=0&amp;sourceID=14","0")</f>
        <v>0</v>
      </c>
    </row>
    <row r="2225" spans="1:7">
      <c r="A2225" s="3">
        <v>12</v>
      </c>
      <c r="B2225" s="3">
        <v>4</v>
      </c>
      <c r="C2225" s="3">
        <v>90</v>
      </c>
      <c r="D2225" s="3">
        <v>28</v>
      </c>
      <c r="E2225" s="3">
        <v>-202.485</v>
      </c>
      <c r="F2225" s="4" t="str">
        <f>HYPERLINK("http://141.218.60.56/~jnz1568/getInfo.php?workbook=12_04.xlsx&amp;sheet=A0&amp;row=2225&amp;col=6&amp;number=4520000&amp;sourceID=14","4520000")</f>
        <v>4520000</v>
      </c>
      <c r="G2225" s="4" t="str">
        <f>HYPERLINK("http://141.218.60.56/~jnz1568/getInfo.php?workbook=12_04.xlsx&amp;sheet=A0&amp;row=2225&amp;col=7&amp;number=0&amp;sourceID=14","0")</f>
        <v>0</v>
      </c>
    </row>
    <row r="2226" spans="1:7">
      <c r="A2226" s="3">
        <v>12</v>
      </c>
      <c r="B2226" s="3">
        <v>4</v>
      </c>
      <c r="C2226" s="3">
        <v>91</v>
      </c>
      <c r="D2226" s="3">
        <v>28</v>
      </c>
      <c r="E2226" s="3">
        <v>-201.987</v>
      </c>
      <c r="F2226" s="4" t="str">
        <f>HYPERLINK("http://141.218.60.56/~jnz1568/getInfo.php?workbook=12_04.xlsx&amp;sheet=A0&amp;row=2226&amp;col=6&amp;number=320000&amp;sourceID=14","320000")</f>
        <v>320000</v>
      </c>
      <c r="G2226" s="4" t="str">
        <f>HYPERLINK("http://141.218.60.56/~jnz1568/getInfo.php?workbook=12_04.xlsx&amp;sheet=A0&amp;row=2226&amp;col=7&amp;number=0&amp;sourceID=14","0")</f>
        <v>0</v>
      </c>
    </row>
    <row r="2227" spans="1:7">
      <c r="A2227" s="3">
        <v>12</v>
      </c>
      <c r="B2227" s="3">
        <v>4</v>
      </c>
      <c r="C2227" s="3">
        <v>92</v>
      </c>
      <c r="D2227" s="3">
        <v>28</v>
      </c>
      <c r="E2227" s="3">
        <v>-201.87</v>
      </c>
      <c r="F2227" s="4" t="str">
        <f>HYPERLINK("http://141.218.60.56/~jnz1568/getInfo.php?workbook=12_04.xlsx&amp;sheet=A0&amp;row=2227&amp;col=6&amp;number=43100&amp;sourceID=14","43100")</f>
        <v>43100</v>
      </c>
      <c r="G2227" s="4" t="str">
        <f>HYPERLINK("http://141.218.60.56/~jnz1568/getInfo.php?workbook=12_04.xlsx&amp;sheet=A0&amp;row=2227&amp;col=7&amp;number=0&amp;sourceID=14","0")</f>
        <v>0</v>
      </c>
    </row>
    <row r="2228" spans="1:7">
      <c r="A2228" s="3">
        <v>12</v>
      </c>
      <c r="B2228" s="3">
        <v>4</v>
      </c>
      <c r="C2228" s="3">
        <v>93</v>
      </c>
      <c r="D2228" s="3">
        <v>28</v>
      </c>
      <c r="E2228" s="3">
        <v>-201.763</v>
      </c>
      <c r="F2228" s="4" t="str">
        <f>HYPERLINK("http://141.218.60.56/~jnz1568/getInfo.php?workbook=12_04.xlsx&amp;sheet=A0&amp;row=2228&amp;col=6&amp;number=124000&amp;sourceID=14","124000")</f>
        <v>124000</v>
      </c>
      <c r="G2228" s="4" t="str">
        <f>HYPERLINK("http://141.218.60.56/~jnz1568/getInfo.php?workbook=12_04.xlsx&amp;sheet=A0&amp;row=2228&amp;col=7&amp;number=0&amp;sourceID=14","0")</f>
        <v>0</v>
      </c>
    </row>
    <row r="2229" spans="1:7">
      <c r="A2229" s="3">
        <v>12</v>
      </c>
      <c r="B2229" s="3">
        <v>4</v>
      </c>
      <c r="C2229" s="3">
        <v>94</v>
      </c>
      <c r="D2229" s="3">
        <v>28</v>
      </c>
      <c r="E2229" s="3">
        <v>-201.37</v>
      </c>
      <c r="F2229" s="4" t="str">
        <f>HYPERLINK("http://141.218.60.56/~jnz1568/getInfo.php?workbook=12_04.xlsx&amp;sheet=A0&amp;row=2229&amp;col=6&amp;number=17500&amp;sourceID=14","17500")</f>
        <v>17500</v>
      </c>
      <c r="G2229" s="4" t="str">
        <f>HYPERLINK("http://141.218.60.56/~jnz1568/getInfo.php?workbook=12_04.xlsx&amp;sheet=A0&amp;row=2229&amp;col=7&amp;number=0&amp;sourceID=14","0")</f>
        <v>0</v>
      </c>
    </row>
    <row r="2230" spans="1:7">
      <c r="A2230" s="3">
        <v>12</v>
      </c>
      <c r="B2230" s="3">
        <v>4</v>
      </c>
      <c r="C2230" s="3">
        <v>95</v>
      </c>
      <c r="D2230" s="3">
        <v>28</v>
      </c>
      <c r="E2230" s="3">
        <v>-201.113</v>
      </c>
      <c r="F2230" s="4" t="str">
        <f>HYPERLINK("http://141.218.60.56/~jnz1568/getInfo.php?workbook=12_04.xlsx&amp;sheet=A0&amp;row=2230&amp;col=6&amp;number=0.00264&amp;sourceID=14","0.00264")</f>
        <v>0.00264</v>
      </c>
      <c r="G2230" s="4" t="str">
        <f>HYPERLINK("http://141.218.60.56/~jnz1568/getInfo.php?workbook=12_04.xlsx&amp;sheet=A0&amp;row=2230&amp;col=7&amp;number=0&amp;sourceID=14","0")</f>
        <v>0</v>
      </c>
    </row>
    <row r="2231" spans="1:7">
      <c r="A2231" s="3">
        <v>12</v>
      </c>
      <c r="B2231" s="3">
        <v>4</v>
      </c>
      <c r="C2231" s="3">
        <v>96</v>
      </c>
      <c r="D2231" s="3">
        <v>28</v>
      </c>
      <c r="E2231" s="3">
        <v>-200.876</v>
      </c>
      <c r="F2231" s="4" t="str">
        <f>HYPERLINK("http://141.218.60.56/~jnz1568/getInfo.php?workbook=12_04.xlsx&amp;sheet=A0&amp;row=2231&amp;col=6&amp;number=11800&amp;sourceID=14","11800")</f>
        <v>11800</v>
      </c>
      <c r="G2231" s="4" t="str">
        <f>HYPERLINK("http://141.218.60.56/~jnz1568/getInfo.php?workbook=12_04.xlsx&amp;sheet=A0&amp;row=2231&amp;col=7&amp;number=0&amp;sourceID=14","0")</f>
        <v>0</v>
      </c>
    </row>
    <row r="2232" spans="1:7">
      <c r="A2232" s="3">
        <v>12</v>
      </c>
      <c r="B2232" s="3">
        <v>4</v>
      </c>
      <c r="C2232" s="3">
        <v>97</v>
      </c>
      <c r="D2232" s="3">
        <v>28</v>
      </c>
      <c r="E2232" s="3">
        <v>200.965</v>
      </c>
      <c r="F2232" s="4" t="str">
        <f>HYPERLINK("http://141.218.60.56/~jnz1568/getInfo.php?workbook=12_04.xlsx&amp;sheet=A0&amp;row=2232&amp;col=6&amp;number=9460000&amp;sourceID=14","9460000")</f>
        <v>9460000</v>
      </c>
      <c r="G2232" s="4" t="str">
        <f>HYPERLINK("http://141.218.60.56/~jnz1568/getInfo.php?workbook=12_04.xlsx&amp;sheet=A0&amp;row=2232&amp;col=7&amp;number=0&amp;sourceID=14","0")</f>
        <v>0</v>
      </c>
    </row>
    <row r="2233" spans="1:7">
      <c r="A2233" s="3">
        <v>12</v>
      </c>
      <c r="B2233" s="3">
        <v>4</v>
      </c>
      <c r="C2233" s="3">
        <v>98</v>
      </c>
      <c r="D2233" s="3">
        <v>28</v>
      </c>
      <c r="E2233" s="3">
        <v>200.265</v>
      </c>
      <c r="F2233" s="4" t="str">
        <f>HYPERLINK("http://141.218.60.56/~jnz1568/getInfo.php?workbook=12_04.xlsx&amp;sheet=A0&amp;row=2233&amp;col=6&amp;number=0.899&amp;sourceID=14","0.899")</f>
        <v>0.899</v>
      </c>
      <c r="G2233" s="4" t="str">
        <f>HYPERLINK("http://141.218.60.56/~jnz1568/getInfo.php?workbook=12_04.xlsx&amp;sheet=A0&amp;row=2233&amp;col=7&amp;number=0&amp;sourceID=14","0")</f>
        <v>0</v>
      </c>
    </row>
    <row r="2234" spans="1:7">
      <c r="A2234" s="3">
        <v>12</v>
      </c>
      <c r="B2234" s="3">
        <v>4</v>
      </c>
      <c r="C2234" s="3">
        <v>30</v>
      </c>
      <c r="D2234" s="3">
        <v>29</v>
      </c>
      <c r="E2234" s="3">
        <v>-13666.828</v>
      </c>
      <c r="F2234" s="4" t="str">
        <f>HYPERLINK("http://141.218.60.56/~jnz1568/getInfo.php?workbook=12_04.xlsx&amp;sheet=A0&amp;row=2234&amp;col=6&amp;number=0.372&amp;sourceID=14","0.372")</f>
        <v>0.372</v>
      </c>
      <c r="G2234" s="4" t="str">
        <f>HYPERLINK("http://141.218.60.56/~jnz1568/getInfo.php?workbook=12_04.xlsx&amp;sheet=A0&amp;row=2234&amp;col=7&amp;number=0&amp;sourceID=14","0")</f>
        <v>0</v>
      </c>
    </row>
    <row r="2235" spans="1:7">
      <c r="A2235" s="3">
        <v>12</v>
      </c>
      <c r="B2235" s="3">
        <v>4</v>
      </c>
      <c r="C2235" s="3">
        <v>31</v>
      </c>
      <c r="D2235" s="3">
        <v>29</v>
      </c>
      <c r="E2235" s="3">
        <v>12033.717</v>
      </c>
      <c r="F2235" s="4" t="str">
        <f>HYPERLINK("http://141.218.60.56/~jnz1568/getInfo.php?workbook=12_04.xlsx&amp;sheet=A0&amp;row=2235&amp;col=6&amp;number=0.133&amp;sourceID=14","0.133")</f>
        <v>0.133</v>
      </c>
      <c r="G2235" s="4" t="str">
        <f>HYPERLINK("http://141.218.60.56/~jnz1568/getInfo.php?workbook=12_04.xlsx&amp;sheet=A0&amp;row=2235&amp;col=7&amp;number=0&amp;sourceID=14","0")</f>
        <v>0</v>
      </c>
    </row>
    <row r="2236" spans="1:7">
      <c r="A2236" s="3">
        <v>12</v>
      </c>
      <c r="B2236" s="3">
        <v>4</v>
      </c>
      <c r="C2236" s="3">
        <v>32</v>
      </c>
      <c r="D2236" s="3">
        <v>29</v>
      </c>
      <c r="E2236" s="3">
        <v>10405.847</v>
      </c>
      <c r="F2236" s="4" t="str">
        <f>HYPERLINK("http://141.218.60.56/~jnz1568/getInfo.php?workbook=12_04.xlsx&amp;sheet=A0&amp;row=2236&amp;col=6&amp;number=0.203&amp;sourceID=14","0.203")</f>
        <v>0.203</v>
      </c>
      <c r="G2236" s="4" t="str">
        <f>HYPERLINK("http://141.218.60.56/~jnz1568/getInfo.php?workbook=12_04.xlsx&amp;sheet=A0&amp;row=2236&amp;col=7&amp;number=0&amp;sourceID=14","0")</f>
        <v>0</v>
      </c>
    </row>
    <row r="2237" spans="1:7">
      <c r="A2237" s="3">
        <v>12</v>
      </c>
      <c r="B2237" s="3">
        <v>4</v>
      </c>
      <c r="C2237" s="3">
        <v>33</v>
      </c>
      <c r="D2237" s="3">
        <v>29</v>
      </c>
      <c r="E2237" s="3">
        <v>-6433.776</v>
      </c>
      <c r="F2237" s="4" t="str">
        <f>HYPERLINK("http://141.218.60.56/~jnz1568/getInfo.php?workbook=12_04.xlsx&amp;sheet=A0&amp;row=2237&amp;col=6&amp;number=6.21&amp;sourceID=14","6.21")</f>
        <v>6.21</v>
      </c>
      <c r="G2237" s="4" t="str">
        <f>HYPERLINK("http://141.218.60.56/~jnz1568/getInfo.php?workbook=12_04.xlsx&amp;sheet=A0&amp;row=2237&amp;col=7&amp;number=0&amp;sourceID=14","0")</f>
        <v>0</v>
      </c>
    </row>
    <row r="2238" spans="1:7">
      <c r="A2238" s="3">
        <v>12</v>
      </c>
      <c r="B2238" s="3">
        <v>4</v>
      </c>
      <c r="C2238" s="3">
        <v>34</v>
      </c>
      <c r="D2238" s="3">
        <v>29</v>
      </c>
      <c r="E2238" s="3">
        <v>-5685.382</v>
      </c>
      <c r="F2238" s="4" t="str">
        <f>HYPERLINK("http://141.218.60.56/~jnz1568/getInfo.php?workbook=12_04.xlsx&amp;sheet=A0&amp;row=2238&amp;col=6&amp;number=5.27e-08&amp;sourceID=14","5.27e-08")</f>
        <v>5.27e-08</v>
      </c>
      <c r="G2238" s="4" t="str">
        <f>HYPERLINK("http://141.218.60.56/~jnz1568/getInfo.php?workbook=12_04.xlsx&amp;sheet=A0&amp;row=2238&amp;col=7&amp;number=0&amp;sourceID=14","0")</f>
        <v>0</v>
      </c>
    </row>
    <row r="2239" spans="1:7">
      <c r="A2239" s="3">
        <v>12</v>
      </c>
      <c r="B2239" s="3">
        <v>4</v>
      </c>
      <c r="C2239" s="3">
        <v>35</v>
      </c>
      <c r="D2239" s="3">
        <v>29</v>
      </c>
      <c r="E2239" s="3">
        <v>5192.118</v>
      </c>
      <c r="F2239" s="4" t="str">
        <f>HYPERLINK("http://141.218.60.56/~jnz1568/getInfo.php?workbook=12_04.xlsx&amp;sheet=A0&amp;row=2239&amp;col=6&amp;number=266&amp;sourceID=14","266")</f>
        <v>266</v>
      </c>
      <c r="G2239" s="4" t="str">
        <f>HYPERLINK("http://141.218.60.56/~jnz1568/getInfo.php?workbook=12_04.xlsx&amp;sheet=A0&amp;row=2239&amp;col=7&amp;number=0&amp;sourceID=14","0")</f>
        <v>0</v>
      </c>
    </row>
    <row r="2240" spans="1:7">
      <c r="A2240" s="3">
        <v>12</v>
      </c>
      <c r="B2240" s="3">
        <v>4</v>
      </c>
      <c r="C2240" s="3">
        <v>36</v>
      </c>
      <c r="D2240" s="3">
        <v>29</v>
      </c>
      <c r="E2240" s="3">
        <v>-5101.009</v>
      </c>
      <c r="F2240" s="4" t="str">
        <f>HYPERLINK("http://141.218.60.56/~jnz1568/getInfo.php?workbook=12_04.xlsx&amp;sheet=A0&amp;row=2240&amp;col=6&amp;number=9.91e-10&amp;sourceID=14","9.91e-10")</f>
        <v>9.91e-10</v>
      </c>
      <c r="G2240" s="4" t="str">
        <f>HYPERLINK("http://141.218.60.56/~jnz1568/getInfo.php?workbook=12_04.xlsx&amp;sheet=A0&amp;row=2240&amp;col=7&amp;number=0&amp;sourceID=14","0")</f>
        <v>0</v>
      </c>
    </row>
    <row r="2241" spans="1:7">
      <c r="A2241" s="3">
        <v>12</v>
      </c>
      <c r="B2241" s="3">
        <v>4</v>
      </c>
      <c r="C2241" s="3">
        <v>37</v>
      </c>
      <c r="D2241" s="3">
        <v>29</v>
      </c>
      <c r="E2241" s="3">
        <v>3923.114</v>
      </c>
      <c r="F2241" s="4" t="str">
        <f>HYPERLINK("http://141.218.60.56/~jnz1568/getInfo.php?workbook=12_04.xlsx&amp;sheet=A0&amp;row=2241&amp;col=6&amp;number=0.0179&amp;sourceID=14","0.0179")</f>
        <v>0.0179</v>
      </c>
      <c r="G2241" s="4" t="str">
        <f>HYPERLINK("http://141.218.60.56/~jnz1568/getInfo.php?workbook=12_04.xlsx&amp;sheet=A0&amp;row=2241&amp;col=7&amp;number=0&amp;sourceID=14","0")</f>
        <v>0</v>
      </c>
    </row>
    <row r="2242" spans="1:7">
      <c r="A2242" s="3">
        <v>12</v>
      </c>
      <c r="B2242" s="3">
        <v>4</v>
      </c>
      <c r="C2242" s="3">
        <v>38</v>
      </c>
      <c r="D2242" s="3">
        <v>29</v>
      </c>
      <c r="E2242" s="3">
        <v>2707.098</v>
      </c>
      <c r="F2242" s="4" t="str">
        <f>HYPERLINK("http://141.218.60.56/~jnz1568/getInfo.php?workbook=12_04.xlsx&amp;sheet=A0&amp;row=2242&amp;col=6&amp;number=1540000&amp;sourceID=14","1540000")</f>
        <v>1540000</v>
      </c>
      <c r="G2242" s="4" t="str">
        <f>HYPERLINK("http://141.218.60.56/~jnz1568/getInfo.php?workbook=12_04.xlsx&amp;sheet=A0&amp;row=2242&amp;col=7&amp;number=0&amp;sourceID=14","0")</f>
        <v>0</v>
      </c>
    </row>
    <row r="2243" spans="1:7">
      <c r="A2243" s="3">
        <v>12</v>
      </c>
      <c r="B2243" s="3">
        <v>4</v>
      </c>
      <c r="C2243" s="3">
        <v>39</v>
      </c>
      <c r="D2243" s="3">
        <v>29</v>
      </c>
      <c r="E2243" s="3">
        <v>2668.095</v>
      </c>
      <c r="F2243" s="4" t="str">
        <f>HYPERLINK("http://141.218.60.56/~jnz1568/getInfo.php?workbook=12_04.xlsx&amp;sheet=A0&amp;row=2243&amp;col=6&amp;number=3520000&amp;sourceID=14","3520000")</f>
        <v>3520000</v>
      </c>
      <c r="G2243" s="4" t="str">
        <f>HYPERLINK("http://141.218.60.56/~jnz1568/getInfo.php?workbook=12_04.xlsx&amp;sheet=A0&amp;row=2243&amp;col=7&amp;number=0&amp;sourceID=14","0")</f>
        <v>0</v>
      </c>
    </row>
    <row r="2244" spans="1:7">
      <c r="A2244" s="3">
        <v>12</v>
      </c>
      <c r="B2244" s="3">
        <v>4</v>
      </c>
      <c r="C2244" s="3">
        <v>40</v>
      </c>
      <c r="D2244" s="3">
        <v>29</v>
      </c>
      <c r="E2244" s="3">
        <v>2598.757</v>
      </c>
      <c r="F2244" s="4" t="str">
        <f>HYPERLINK("http://141.218.60.56/~jnz1568/getInfo.php?workbook=12_04.xlsx&amp;sheet=A0&amp;row=2244&amp;col=6&amp;number=7.68e-05&amp;sourceID=14","7.68e-05")</f>
        <v>7.68e-05</v>
      </c>
      <c r="G2244" s="4" t="str">
        <f>HYPERLINK("http://141.218.60.56/~jnz1568/getInfo.php?workbook=12_04.xlsx&amp;sheet=A0&amp;row=2244&amp;col=7&amp;number=0&amp;sourceID=14","0")</f>
        <v>0</v>
      </c>
    </row>
    <row r="2245" spans="1:7">
      <c r="A2245" s="3">
        <v>12</v>
      </c>
      <c r="B2245" s="3">
        <v>4</v>
      </c>
      <c r="C2245" s="3">
        <v>41</v>
      </c>
      <c r="D2245" s="3">
        <v>29</v>
      </c>
      <c r="E2245" s="3">
        <v>2230.156</v>
      </c>
      <c r="F2245" s="4" t="str">
        <f>HYPERLINK("http://141.218.60.56/~jnz1568/getInfo.php?workbook=12_04.xlsx&amp;sheet=A0&amp;row=2245&amp;col=6&amp;number=66500000&amp;sourceID=14","66500000")</f>
        <v>66500000</v>
      </c>
      <c r="G2245" s="4" t="str">
        <f>HYPERLINK("http://141.218.60.56/~jnz1568/getInfo.php?workbook=12_04.xlsx&amp;sheet=A0&amp;row=2245&amp;col=7&amp;number=0&amp;sourceID=14","0")</f>
        <v>0</v>
      </c>
    </row>
    <row r="2246" spans="1:7">
      <c r="A2246" s="3">
        <v>12</v>
      </c>
      <c r="B2246" s="3">
        <v>4</v>
      </c>
      <c r="C2246" s="3">
        <v>42</v>
      </c>
      <c r="D2246" s="3">
        <v>29</v>
      </c>
      <c r="E2246" s="3">
        <v>2181.981</v>
      </c>
      <c r="F2246" s="4" t="str">
        <f>HYPERLINK("http://141.218.60.56/~jnz1568/getInfo.php?workbook=12_04.xlsx&amp;sheet=A0&amp;row=2246&amp;col=6&amp;number=61600000&amp;sourceID=14","61600000")</f>
        <v>61600000</v>
      </c>
      <c r="G2246" s="4" t="str">
        <f>HYPERLINK("http://141.218.60.56/~jnz1568/getInfo.php?workbook=12_04.xlsx&amp;sheet=A0&amp;row=2246&amp;col=7&amp;number=0&amp;sourceID=14","0")</f>
        <v>0</v>
      </c>
    </row>
    <row r="2247" spans="1:7">
      <c r="A2247" s="3">
        <v>12</v>
      </c>
      <c r="B2247" s="3">
        <v>4</v>
      </c>
      <c r="C2247" s="3">
        <v>43</v>
      </c>
      <c r="D2247" s="3">
        <v>29</v>
      </c>
      <c r="E2247" s="3">
        <v>2157.501</v>
      </c>
      <c r="F2247" s="4" t="str">
        <f>HYPERLINK("http://141.218.60.56/~jnz1568/getInfo.php?workbook=12_04.xlsx&amp;sheet=A0&amp;row=2247&amp;col=6&amp;number=59300000&amp;sourceID=14","59300000")</f>
        <v>59300000</v>
      </c>
      <c r="G2247" s="4" t="str">
        <f>HYPERLINK("http://141.218.60.56/~jnz1568/getInfo.php?workbook=12_04.xlsx&amp;sheet=A0&amp;row=2247&amp;col=7&amp;number=0&amp;sourceID=14","0")</f>
        <v>0</v>
      </c>
    </row>
    <row r="2248" spans="1:7">
      <c r="A2248" s="3">
        <v>12</v>
      </c>
      <c r="B2248" s="3">
        <v>4</v>
      </c>
      <c r="C2248" s="3">
        <v>44</v>
      </c>
      <c r="D2248" s="3">
        <v>29</v>
      </c>
      <c r="E2248" s="3">
        <v>-1631.298</v>
      </c>
      <c r="F2248" s="4" t="str">
        <f>HYPERLINK("http://141.218.60.56/~jnz1568/getInfo.php?workbook=12_04.xlsx&amp;sheet=A0&amp;row=2248&amp;col=6&amp;number=0.329&amp;sourceID=14","0.329")</f>
        <v>0.329</v>
      </c>
      <c r="G2248" s="4" t="str">
        <f>HYPERLINK("http://141.218.60.56/~jnz1568/getInfo.php?workbook=12_04.xlsx&amp;sheet=A0&amp;row=2248&amp;col=7&amp;number=0&amp;sourceID=14","0")</f>
        <v>0</v>
      </c>
    </row>
    <row r="2249" spans="1:7">
      <c r="A2249" s="3">
        <v>12</v>
      </c>
      <c r="B2249" s="3">
        <v>4</v>
      </c>
      <c r="C2249" s="3">
        <v>45</v>
      </c>
      <c r="D2249" s="3">
        <v>29</v>
      </c>
      <c r="E2249" s="3">
        <v>1554.971</v>
      </c>
      <c r="F2249" s="4" t="str">
        <f>HYPERLINK("http://141.218.60.56/~jnz1568/getInfo.php?workbook=12_04.xlsx&amp;sheet=A0&amp;row=2249&amp;col=6&amp;number=1.58e-05&amp;sourceID=14","1.58e-05")</f>
        <v>1.58e-05</v>
      </c>
      <c r="G2249" s="4" t="str">
        <f>HYPERLINK("http://141.218.60.56/~jnz1568/getInfo.php?workbook=12_04.xlsx&amp;sheet=A0&amp;row=2249&amp;col=7&amp;number=0&amp;sourceID=14","0")</f>
        <v>0</v>
      </c>
    </row>
    <row r="2250" spans="1:7">
      <c r="A2250" s="3">
        <v>12</v>
      </c>
      <c r="B2250" s="3">
        <v>4</v>
      </c>
      <c r="C2250" s="3">
        <v>46</v>
      </c>
      <c r="D2250" s="3">
        <v>29</v>
      </c>
      <c r="E2250" s="3">
        <v>1404.892</v>
      </c>
      <c r="F2250" s="4" t="str">
        <f>HYPERLINK("http://141.218.60.56/~jnz1568/getInfo.php?workbook=12_04.xlsx&amp;sheet=A0&amp;row=2250&amp;col=6&amp;number=2090000&amp;sourceID=14","2090000")</f>
        <v>2090000</v>
      </c>
      <c r="G2250" s="4" t="str">
        <f>HYPERLINK("http://141.218.60.56/~jnz1568/getInfo.php?workbook=12_04.xlsx&amp;sheet=A0&amp;row=2250&amp;col=7&amp;number=0&amp;sourceID=14","0")</f>
        <v>0</v>
      </c>
    </row>
    <row r="2251" spans="1:7">
      <c r="A2251" s="3">
        <v>12</v>
      </c>
      <c r="B2251" s="3">
        <v>4</v>
      </c>
      <c r="C2251" s="3">
        <v>47</v>
      </c>
      <c r="D2251" s="3">
        <v>29</v>
      </c>
      <c r="E2251" s="3">
        <v>-370.776</v>
      </c>
      <c r="F2251" s="4" t="str">
        <f>HYPERLINK("http://141.218.60.56/~jnz1568/getInfo.php?workbook=12_04.xlsx&amp;sheet=A0&amp;row=2251&amp;col=6&amp;number=0.012&amp;sourceID=14","0.012")</f>
        <v>0.012</v>
      </c>
      <c r="G2251" s="4" t="str">
        <f>HYPERLINK("http://141.218.60.56/~jnz1568/getInfo.php?workbook=12_04.xlsx&amp;sheet=A0&amp;row=2251&amp;col=7&amp;number=0&amp;sourceID=14","0")</f>
        <v>0</v>
      </c>
    </row>
    <row r="2252" spans="1:7">
      <c r="A2252" s="3">
        <v>12</v>
      </c>
      <c r="B2252" s="3">
        <v>4</v>
      </c>
      <c r="C2252" s="3">
        <v>48</v>
      </c>
      <c r="D2252" s="3">
        <v>29</v>
      </c>
      <c r="E2252" s="3">
        <v>-357.431</v>
      </c>
      <c r="F2252" s="4" t="str">
        <f>HYPERLINK("http://141.218.60.56/~jnz1568/getInfo.php?workbook=12_04.xlsx&amp;sheet=A0&amp;row=2252&amp;col=6&amp;number=0.00695&amp;sourceID=14","0.00695")</f>
        <v>0.00695</v>
      </c>
      <c r="G2252" s="4" t="str">
        <f>HYPERLINK("http://141.218.60.56/~jnz1568/getInfo.php?workbook=12_04.xlsx&amp;sheet=A0&amp;row=2252&amp;col=7&amp;number=0&amp;sourceID=14","0")</f>
        <v>0</v>
      </c>
    </row>
    <row r="2253" spans="1:7">
      <c r="A2253" s="3">
        <v>12</v>
      </c>
      <c r="B2253" s="3">
        <v>4</v>
      </c>
      <c r="C2253" s="3">
        <v>49</v>
      </c>
      <c r="D2253" s="3">
        <v>29</v>
      </c>
      <c r="E2253" s="3">
        <v>-339.788</v>
      </c>
      <c r="F2253" s="4" t="str">
        <f>HYPERLINK("http://141.218.60.56/~jnz1568/getInfo.php?workbook=12_04.xlsx&amp;sheet=A0&amp;row=2253&amp;col=6&amp;number=159000000&amp;sourceID=14","159000000")</f>
        <v>159000000</v>
      </c>
      <c r="G2253" s="4" t="str">
        <f>HYPERLINK("http://141.218.60.56/~jnz1568/getInfo.php?workbook=12_04.xlsx&amp;sheet=A0&amp;row=2253&amp;col=7&amp;number=0&amp;sourceID=14","0")</f>
        <v>0</v>
      </c>
    </row>
    <row r="2254" spans="1:7">
      <c r="A2254" s="3">
        <v>12</v>
      </c>
      <c r="B2254" s="3">
        <v>4</v>
      </c>
      <c r="C2254" s="3">
        <v>50</v>
      </c>
      <c r="D2254" s="3">
        <v>29</v>
      </c>
      <c r="E2254" s="3">
        <v>-339.654</v>
      </c>
      <c r="F2254" s="4" t="str">
        <f>HYPERLINK("http://141.218.60.56/~jnz1568/getInfo.php?workbook=12_04.xlsx&amp;sheet=A0&amp;row=2254&amp;col=6&amp;number=151000000&amp;sourceID=14","151000000")</f>
        <v>151000000</v>
      </c>
      <c r="G2254" s="4" t="str">
        <f>HYPERLINK("http://141.218.60.56/~jnz1568/getInfo.php?workbook=12_04.xlsx&amp;sheet=A0&amp;row=2254&amp;col=7&amp;number=0&amp;sourceID=14","0")</f>
        <v>0</v>
      </c>
    </row>
    <row r="2255" spans="1:7">
      <c r="A2255" s="3">
        <v>12</v>
      </c>
      <c r="B2255" s="3">
        <v>4</v>
      </c>
      <c r="C2255" s="3">
        <v>51</v>
      </c>
      <c r="D2255" s="3">
        <v>29</v>
      </c>
      <c r="E2255" s="3">
        <v>-339.352</v>
      </c>
      <c r="F2255" s="4" t="str">
        <f>HYPERLINK("http://141.218.60.56/~jnz1568/getInfo.php?workbook=12_04.xlsx&amp;sheet=A0&amp;row=2255&amp;col=6&amp;number=140000000&amp;sourceID=14","140000000")</f>
        <v>140000000</v>
      </c>
      <c r="G2255" s="4" t="str">
        <f>HYPERLINK("http://141.218.60.56/~jnz1568/getInfo.php?workbook=12_04.xlsx&amp;sheet=A0&amp;row=2255&amp;col=7&amp;number=0&amp;sourceID=14","0")</f>
        <v>0</v>
      </c>
    </row>
    <row r="2256" spans="1:7">
      <c r="A2256" s="3">
        <v>12</v>
      </c>
      <c r="B2256" s="3">
        <v>4</v>
      </c>
      <c r="C2256" s="3">
        <v>52</v>
      </c>
      <c r="D2256" s="3">
        <v>29</v>
      </c>
      <c r="E2256" s="3">
        <v>335.234</v>
      </c>
      <c r="F2256" s="4" t="str">
        <f>HYPERLINK("http://141.218.60.56/~jnz1568/getInfo.php?workbook=12_04.xlsx&amp;sheet=A0&amp;row=2256&amp;col=6&amp;number=886000&amp;sourceID=14","886000")</f>
        <v>886000</v>
      </c>
      <c r="G2256" s="4" t="str">
        <f>HYPERLINK("http://141.218.60.56/~jnz1568/getInfo.php?workbook=12_04.xlsx&amp;sheet=A0&amp;row=2256&amp;col=7&amp;number=0&amp;sourceID=14","0")</f>
        <v>0</v>
      </c>
    </row>
    <row r="2257" spans="1:7">
      <c r="A2257" s="3">
        <v>12</v>
      </c>
      <c r="B2257" s="3">
        <v>4</v>
      </c>
      <c r="C2257" s="3">
        <v>53</v>
      </c>
      <c r="D2257" s="3">
        <v>29</v>
      </c>
      <c r="E2257" s="3">
        <v>323.009</v>
      </c>
      <c r="F2257" s="4" t="str">
        <f>HYPERLINK("http://141.218.60.56/~jnz1568/getInfo.php?workbook=12_04.xlsx&amp;sheet=A0&amp;row=2257&amp;col=6&amp;number=12500&amp;sourceID=14","12500")</f>
        <v>12500</v>
      </c>
      <c r="G2257" s="4" t="str">
        <f>HYPERLINK("http://141.218.60.56/~jnz1568/getInfo.php?workbook=12_04.xlsx&amp;sheet=A0&amp;row=2257&amp;col=7&amp;number=0&amp;sourceID=14","0")</f>
        <v>0</v>
      </c>
    </row>
    <row r="2258" spans="1:7">
      <c r="A2258" s="3">
        <v>12</v>
      </c>
      <c r="B2258" s="3">
        <v>4</v>
      </c>
      <c r="C2258" s="3">
        <v>54</v>
      </c>
      <c r="D2258" s="3">
        <v>29</v>
      </c>
      <c r="E2258" s="3">
        <v>323.009</v>
      </c>
      <c r="F2258" s="4" t="str">
        <f>HYPERLINK("http://141.218.60.56/~jnz1568/getInfo.php?workbook=12_04.xlsx&amp;sheet=A0&amp;row=2258&amp;col=6&amp;number=12600&amp;sourceID=14","12600")</f>
        <v>12600</v>
      </c>
      <c r="G2258" s="4" t="str">
        <f>HYPERLINK("http://141.218.60.56/~jnz1568/getInfo.php?workbook=12_04.xlsx&amp;sheet=A0&amp;row=2258&amp;col=7&amp;number=0&amp;sourceID=14","0")</f>
        <v>0</v>
      </c>
    </row>
    <row r="2259" spans="1:7">
      <c r="A2259" s="3">
        <v>12</v>
      </c>
      <c r="B2259" s="3">
        <v>4</v>
      </c>
      <c r="C2259" s="3">
        <v>55</v>
      </c>
      <c r="D2259" s="3">
        <v>29</v>
      </c>
      <c r="E2259" s="3">
        <v>322.925</v>
      </c>
      <c r="F2259" s="4" t="str">
        <f>HYPERLINK("http://141.218.60.56/~jnz1568/getInfo.php?workbook=12_04.xlsx&amp;sheet=A0&amp;row=2259&amp;col=6&amp;number=12800&amp;sourceID=14","12800")</f>
        <v>12800</v>
      </c>
      <c r="G2259" s="4" t="str">
        <f>HYPERLINK("http://141.218.60.56/~jnz1568/getInfo.php?workbook=12_04.xlsx&amp;sheet=A0&amp;row=2259&amp;col=7&amp;number=0&amp;sourceID=14","0")</f>
        <v>0</v>
      </c>
    </row>
    <row r="2260" spans="1:7">
      <c r="A2260" s="3">
        <v>12</v>
      </c>
      <c r="B2260" s="3">
        <v>4</v>
      </c>
      <c r="C2260" s="3">
        <v>56</v>
      </c>
      <c r="D2260" s="3">
        <v>29</v>
      </c>
      <c r="E2260" s="3">
        <v>314.951</v>
      </c>
      <c r="F2260" s="4" t="str">
        <f>HYPERLINK("http://141.218.60.56/~jnz1568/getInfo.php?workbook=12_04.xlsx&amp;sheet=A0&amp;row=2260&amp;col=6&amp;number=1.99&amp;sourceID=14","1.99")</f>
        <v>1.99</v>
      </c>
      <c r="G2260" s="4" t="str">
        <f>HYPERLINK("http://141.218.60.56/~jnz1568/getInfo.php?workbook=12_04.xlsx&amp;sheet=A0&amp;row=2260&amp;col=7&amp;number=0&amp;sourceID=14","0")</f>
        <v>0</v>
      </c>
    </row>
    <row r="2261" spans="1:7">
      <c r="A2261" s="3">
        <v>12</v>
      </c>
      <c r="B2261" s="3">
        <v>4</v>
      </c>
      <c r="C2261" s="3">
        <v>57</v>
      </c>
      <c r="D2261" s="3">
        <v>29</v>
      </c>
      <c r="E2261" s="3">
        <v>-315.121</v>
      </c>
      <c r="F2261" s="4" t="str">
        <f>HYPERLINK("http://141.218.60.56/~jnz1568/getInfo.php?workbook=12_04.xlsx&amp;sheet=A0&amp;row=2261&amp;col=6&amp;number=84700&amp;sourceID=14","84700")</f>
        <v>84700</v>
      </c>
      <c r="G2261" s="4" t="str">
        <f>HYPERLINK("http://141.218.60.56/~jnz1568/getInfo.php?workbook=12_04.xlsx&amp;sheet=A0&amp;row=2261&amp;col=7&amp;number=0&amp;sourceID=14","0")</f>
        <v>0</v>
      </c>
    </row>
    <row r="2262" spans="1:7">
      <c r="A2262" s="3">
        <v>12</v>
      </c>
      <c r="B2262" s="3">
        <v>4</v>
      </c>
      <c r="C2262" s="3">
        <v>58</v>
      </c>
      <c r="D2262" s="3">
        <v>29</v>
      </c>
      <c r="E2262" s="3">
        <v>-315.092</v>
      </c>
      <c r="F2262" s="4" t="str">
        <f>HYPERLINK("http://141.218.60.56/~jnz1568/getInfo.php?workbook=12_04.xlsx&amp;sheet=A0&amp;row=2262&amp;col=6&amp;number=0.234&amp;sourceID=14","0.234")</f>
        <v>0.234</v>
      </c>
      <c r="G2262" s="4" t="str">
        <f>HYPERLINK("http://141.218.60.56/~jnz1568/getInfo.php?workbook=12_04.xlsx&amp;sheet=A0&amp;row=2262&amp;col=7&amp;number=0&amp;sourceID=14","0")</f>
        <v>0</v>
      </c>
    </row>
    <row r="2263" spans="1:7">
      <c r="A2263" s="3">
        <v>12</v>
      </c>
      <c r="B2263" s="3">
        <v>4</v>
      </c>
      <c r="C2263" s="3">
        <v>59</v>
      </c>
      <c r="D2263" s="3">
        <v>29</v>
      </c>
      <c r="E2263" s="3">
        <v>-315.055</v>
      </c>
      <c r="F2263" s="4" t="str">
        <f>HYPERLINK("http://141.218.60.56/~jnz1568/getInfo.php?workbook=12_04.xlsx&amp;sheet=A0&amp;row=2263&amp;col=6&amp;number=0.232&amp;sourceID=14","0.232")</f>
        <v>0.232</v>
      </c>
      <c r="G2263" s="4" t="str">
        <f>HYPERLINK("http://141.218.60.56/~jnz1568/getInfo.php?workbook=12_04.xlsx&amp;sheet=A0&amp;row=2263&amp;col=7&amp;number=0&amp;sourceID=14","0")</f>
        <v>0</v>
      </c>
    </row>
    <row r="2264" spans="1:7">
      <c r="A2264" s="3">
        <v>12</v>
      </c>
      <c r="B2264" s="3">
        <v>4</v>
      </c>
      <c r="C2264" s="3">
        <v>60</v>
      </c>
      <c r="D2264" s="3">
        <v>29</v>
      </c>
      <c r="E2264" s="3">
        <v>-312.567</v>
      </c>
      <c r="F2264" s="4" t="str">
        <f>HYPERLINK("http://141.218.60.56/~jnz1568/getInfo.php?workbook=12_04.xlsx&amp;sheet=A0&amp;row=2264&amp;col=6&amp;number=0.000366&amp;sourceID=14","0.000366")</f>
        <v>0.000366</v>
      </c>
      <c r="G2264" s="4" t="str">
        <f>HYPERLINK("http://141.218.60.56/~jnz1568/getInfo.php?workbook=12_04.xlsx&amp;sheet=A0&amp;row=2264&amp;col=7&amp;number=0&amp;sourceID=14","0")</f>
        <v>0</v>
      </c>
    </row>
    <row r="2265" spans="1:7">
      <c r="A2265" s="3">
        <v>12</v>
      </c>
      <c r="B2265" s="3">
        <v>4</v>
      </c>
      <c r="C2265" s="3">
        <v>61</v>
      </c>
      <c r="D2265" s="3">
        <v>29</v>
      </c>
      <c r="E2265" s="3">
        <v>-229.547</v>
      </c>
      <c r="F2265" s="4" t="str">
        <f>HYPERLINK("http://141.218.60.56/~jnz1568/getInfo.php?workbook=12_04.xlsx&amp;sheet=A0&amp;row=2265&amp;col=6&amp;number=2480000000&amp;sourceID=14","2480000000")</f>
        <v>2480000000</v>
      </c>
      <c r="G2265" s="4" t="str">
        <f>HYPERLINK("http://141.218.60.56/~jnz1568/getInfo.php?workbook=12_04.xlsx&amp;sheet=A0&amp;row=2265&amp;col=7&amp;number=0&amp;sourceID=14","0")</f>
        <v>0</v>
      </c>
    </row>
    <row r="2266" spans="1:7">
      <c r="A2266" s="3">
        <v>12</v>
      </c>
      <c r="B2266" s="3">
        <v>4</v>
      </c>
      <c r="C2266" s="3">
        <v>62</v>
      </c>
      <c r="D2266" s="3">
        <v>29</v>
      </c>
      <c r="E2266" s="3">
        <v>-229.065</v>
      </c>
      <c r="F2266" s="4" t="str">
        <f>HYPERLINK("http://141.218.60.56/~jnz1568/getInfo.php?workbook=12_04.xlsx&amp;sheet=A0&amp;row=2266&amp;col=6&amp;number=1790000000&amp;sourceID=14","1790000000")</f>
        <v>1790000000</v>
      </c>
      <c r="G2266" s="4" t="str">
        <f>HYPERLINK("http://141.218.60.56/~jnz1568/getInfo.php?workbook=12_04.xlsx&amp;sheet=A0&amp;row=2266&amp;col=7&amp;number=0&amp;sourceID=14","0")</f>
        <v>0</v>
      </c>
    </row>
    <row r="2267" spans="1:7">
      <c r="A2267" s="3">
        <v>12</v>
      </c>
      <c r="B2267" s="3">
        <v>4</v>
      </c>
      <c r="C2267" s="3">
        <v>63</v>
      </c>
      <c r="D2267" s="3">
        <v>29</v>
      </c>
      <c r="E2267" s="3">
        <v>-227.512</v>
      </c>
      <c r="F2267" s="4" t="str">
        <f>HYPERLINK("http://141.218.60.56/~jnz1568/getInfo.php?workbook=12_04.xlsx&amp;sheet=A0&amp;row=2267&amp;col=6&amp;number=802000000&amp;sourceID=14","802000000")</f>
        <v>802000000</v>
      </c>
      <c r="G2267" s="4" t="str">
        <f>HYPERLINK("http://141.218.60.56/~jnz1568/getInfo.php?workbook=12_04.xlsx&amp;sheet=A0&amp;row=2267&amp;col=7&amp;number=0&amp;sourceID=14","0")</f>
        <v>0</v>
      </c>
    </row>
    <row r="2268" spans="1:7">
      <c r="A2268" s="3">
        <v>12</v>
      </c>
      <c r="B2268" s="3">
        <v>4</v>
      </c>
      <c r="C2268" s="3">
        <v>64</v>
      </c>
      <c r="D2268" s="3">
        <v>29</v>
      </c>
      <c r="E2268" s="3">
        <v>-224.327</v>
      </c>
      <c r="F2268" s="4" t="str">
        <f>HYPERLINK("http://141.218.60.56/~jnz1568/getInfo.php?workbook=12_04.xlsx&amp;sheet=A0&amp;row=2268&amp;col=6&amp;number=171000000&amp;sourceID=14","171000000")</f>
        <v>171000000</v>
      </c>
      <c r="G2268" s="4" t="str">
        <f>HYPERLINK("http://141.218.60.56/~jnz1568/getInfo.php?workbook=12_04.xlsx&amp;sheet=A0&amp;row=2268&amp;col=7&amp;number=0&amp;sourceID=14","0")</f>
        <v>0</v>
      </c>
    </row>
    <row r="2269" spans="1:7">
      <c r="A2269" s="3">
        <v>12</v>
      </c>
      <c r="B2269" s="3">
        <v>4</v>
      </c>
      <c r="C2269" s="3">
        <v>65</v>
      </c>
      <c r="D2269" s="3">
        <v>29</v>
      </c>
      <c r="E2269" s="3">
        <v>-220.602</v>
      </c>
      <c r="F2269" s="4" t="str">
        <f>HYPERLINK("http://141.218.60.56/~jnz1568/getInfo.php?workbook=12_04.xlsx&amp;sheet=A0&amp;row=2269&amp;col=6&amp;number=105000&amp;sourceID=14","105000")</f>
        <v>105000</v>
      </c>
      <c r="G2269" s="4" t="str">
        <f>HYPERLINK("http://141.218.60.56/~jnz1568/getInfo.php?workbook=12_04.xlsx&amp;sheet=A0&amp;row=2269&amp;col=7&amp;number=0&amp;sourceID=14","0")</f>
        <v>0</v>
      </c>
    </row>
    <row r="2270" spans="1:7">
      <c r="A2270" s="3">
        <v>12</v>
      </c>
      <c r="B2270" s="3">
        <v>4</v>
      </c>
      <c r="C2270" s="3">
        <v>66</v>
      </c>
      <c r="D2270" s="3">
        <v>29</v>
      </c>
      <c r="E2270" s="3">
        <v>-219.367</v>
      </c>
      <c r="F2270" s="4" t="str">
        <f>HYPERLINK("http://141.218.60.56/~jnz1568/getInfo.php?workbook=12_04.xlsx&amp;sheet=A0&amp;row=2270&amp;col=6&amp;number=302000&amp;sourceID=14","302000")</f>
        <v>302000</v>
      </c>
      <c r="G2270" s="4" t="str">
        <f>HYPERLINK("http://141.218.60.56/~jnz1568/getInfo.php?workbook=12_04.xlsx&amp;sheet=A0&amp;row=2270&amp;col=7&amp;number=0&amp;sourceID=14","0")</f>
        <v>0</v>
      </c>
    </row>
    <row r="2271" spans="1:7">
      <c r="A2271" s="3">
        <v>12</v>
      </c>
      <c r="B2271" s="3">
        <v>4</v>
      </c>
      <c r="C2271" s="3">
        <v>67</v>
      </c>
      <c r="D2271" s="3">
        <v>29</v>
      </c>
      <c r="E2271" s="3">
        <v>-219.151</v>
      </c>
      <c r="F2271" s="4" t="str">
        <f>HYPERLINK("http://141.218.60.56/~jnz1568/getInfo.php?workbook=12_04.xlsx&amp;sheet=A0&amp;row=2271&amp;col=6&amp;number=340000&amp;sourceID=14","340000")</f>
        <v>340000</v>
      </c>
      <c r="G2271" s="4" t="str">
        <f>HYPERLINK("http://141.218.60.56/~jnz1568/getInfo.php?workbook=12_04.xlsx&amp;sheet=A0&amp;row=2271&amp;col=7&amp;number=0&amp;sourceID=14","0")</f>
        <v>0</v>
      </c>
    </row>
    <row r="2272" spans="1:7">
      <c r="A2272" s="3">
        <v>12</v>
      </c>
      <c r="B2272" s="3">
        <v>4</v>
      </c>
      <c r="C2272" s="3">
        <v>68</v>
      </c>
      <c r="D2272" s="3">
        <v>29</v>
      </c>
      <c r="E2272" s="3">
        <v>217.699</v>
      </c>
      <c r="F2272" s="4" t="str">
        <f>HYPERLINK("http://141.218.60.56/~jnz1568/getInfo.php?workbook=12_04.xlsx&amp;sheet=A0&amp;row=2272&amp;col=6&amp;number=247000&amp;sourceID=14","247000")</f>
        <v>247000</v>
      </c>
      <c r="G2272" s="4" t="str">
        <f>HYPERLINK("http://141.218.60.56/~jnz1568/getInfo.php?workbook=12_04.xlsx&amp;sheet=A0&amp;row=2272&amp;col=7&amp;number=0&amp;sourceID=14","0")</f>
        <v>0</v>
      </c>
    </row>
    <row r="2273" spans="1:7">
      <c r="A2273" s="3">
        <v>12</v>
      </c>
      <c r="B2273" s="3">
        <v>4</v>
      </c>
      <c r="C2273" s="3">
        <v>69</v>
      </c>
      <c r="D2273" s="3">
        <v>29</v>
      </c>
      <c r="E2273" s="3">
        <v>-216.618</v>
      </c>
      <c r="F2273" s="4" t="str">
        <f>HYPERLINK("http://141.218.60.56/~jnz1568/getInfo.php?workbook=12_04.xlsx&amp;sheet=A0&amp;row=2273&amp;col=6&amp;number=4100&amp;sourceID=14","4100")</f>
        <v>4100</v>
      </c>
      <c r="G2273" s="4" t="str">
        <f>HYPERLINK("http://141.218.60.56/~jnz1568/getInfo.php?workbook=12_04.xlsx&amp;sheet=A0&amp;row=2273&amp;col=7&amp;number=0&amp;sourceID=14","0")</f>
        <v>0</v>
      </c>
    </row>
    <row r="2274" spans="1:7">
      <c r="A2274" s="3">
        <v>12</v>
      </c>
      <c r="B2274" s="3">
        <v>4</v>
      </c>
      <c r="C2274" s="3">
        <v>70</v>
      </c>
      <c r="D2274" s="3">
        <v>29</v>
      </c>
      <c r="E2274" s="3">
        <v>-216.321</v>
      </c>
      <c r="F2274" s="4" t="str">
        <f>HYPERLINK("http://141.218.60.56/~jnz1568/getInfo.php?workbook=12_04.xlsx&amp;sheet=A0&amp;row=2274&amp;col=6&amp;number=0.908&amp;sourceID=14","0.908")</f>
        <v>0.908</v>
      </c>
      <c r="G2274" s="4" t="str">
        <f>HYPERLINK("http://141.218.60.56/~jnz1568/getInfo.php?workbook=12_04.xlsx&amp;sheet=A0&amp;row=2274&amp;col=7&amp;number=0&amp;sourceID=14","0")</f>
        <v>0</v>
      </c>
    </row>
    <row r="2275" spans="1:7">
      <c r="A2275" s="3">
        <v>12</v>
      </c>
      <c r="B2275" s="3">
        <v>4</v>
      </c>
      <c r="C2275" s="3">
        <v>71</v>
      </c>
      <c r="D2275" s="3">
        <v>29</v>
      </c>
      <c r="E2275" s="3">
        <v>-215.422</v>
      </c>
      <c r="F2275" s="4" t="str">
        <f>HYPERLINK("http://141.218.60.56/~jnz1568/getInfo.php?workbook=12_04.xlsx&amp;sheet=A0&amp;row=2275&amp;col=6&amp;number=278&amp;sourceID=14","278")</f>
        <v>278</v>
      </c>
      <c r="G2275" s="4" t="str">
        <f>HYPERLINK("http://141.218.60.56/~jnz1568/getInfo.php?workbook=12_04.xlsx&amp;sheet=A0&amp;row=2275&amp;col=7&amp;number=0&amp;sourceID=14","0")</f>
        <v>0</v>
      </c>
    </row>
    <row r="2276" spans="1:7">
      <c r="A2276" s="3">
        <v>12</v>
      </c>
      <c r="B2276" s="3">
        <v>4</v>
      </c>
      <c r="C2276" s="3">
        <v>72</v>
      </c>
      <c r="D2276" s="3">
        <v>29</v>
      </c>
      <c r="E2276" s="3">
        <v>215.068</v>
      </c>
      <c r="F2276" s="4" t="str">
        <f>HYPERLINK("http://141.218.60.56/~jnz1568/getInfo.php?workbook=12_04.xlsx&amp;sheet=A0&amp;row=2276&amp;col=6&amp;number=1410&amp;sourceID=14","1410")</f>
        <v>1410</v>
      </c>
      <c r="G2276" s="4" t="str">
        <f>HYPERLINK("http://141.218.60.56/~jnz1568/getInfo.php?workbook=12_04.xlsx&amp;sheet=A0&amp;row=2276&amp;col=7&amp;number=0&amp;sourceID=14","0")</f>
        <v>0</v>
      </c>
    </row>
    <row r="2277" spans="1:7">
      <c r="A2277" s="3">
        <v>12</v>
      </c>
      <c r="B2277" s="3">
        <v>4</v>
      </c>
      <c r="C2277" s="3">
        <v>73</v>
      </c>
      <c r="D2277" s="3">
        <v>29</v>
      </c>
      <c r="E2277" s="3">
        <v>-213.808</v>
      </c>
      <c r="F2277" s="4" t="str">
        <f>HYPERLINK("http://141.218.60.56/~jnz1568/getInfo.php?workbook=12_04.xlsx&amp;sheet=A0&amp;row=2277&amp;col=6&amp;number=14200000&amp;sourceID=14","14200000")</f>
        <v>14200000</v>
      </c>
      <c r="G2277" s="4" t="str">
        <f>HYPERLINK("http://141.218.60.56/~jnz1568/getInfo.php?workbook=12_04.xlsx&amp;sheet=A0&amp;row=2277&amp;col=7&amp;number=0&amp;sourceID=14","0")</f>
        <v>0</v>
      </c>
    </row>
    <row r="2278" spans="1:7">
      <c r="A2278" s="3">
        <v>12</v>
      </c>
      <c r="B2278" s="3">
        <v>4</v>
      </c>
      <c r="C2278" s="3">
        <v>74</v>
      </c>
      <c r="D2278" s="3">
        <v>29</v>
      </c>
      <c r="E2278" s="3">
        <v>-212.939</v>
      </c>
      <c r="F2278" s="4" t="str">
        <f>HYPERLINK("http://141.218.60.56/~jnz1568/getInfo.php?workbook=12_04.xlsx&amp;sheet=A0&amp;row=2278&amp;col=6&amp;number=17.1&amp;sourceID=14","17.1")</f>
        <v>17.1</v>
      </c>
      <c r="G2278" s="4" t="str">
        <f>HYPERLINK("http://141.218.60.56/~jnz1568/getInfo.php?workbook=12_04.xlsx&amp;sheet=A0&amp;row=2278&amp;col=7&amp;number=0&amp;sourceID=14","0")</f>
        <v>0</v>
      </c>
    </row>
    <row r="2279" spans="1:7">
      <c r="A2279" s="3">
        <v>12</v>
      </c>
      <c r="B2279" s="3">
        <v>4</v>
      </c>
      <c r="C2279" s="3">
        <v>75</v>
      </c>
      <c r="D2279" s="3">
        <v>29</v>
      </c>
      <c r="E2279" s="3">
        <v>212.391</v>
      </c>
      <c r="F2279" s="4" t="str">
        <f>HYPERLINK("http://141.218.60.56/~jnz1568/getInfo.php?workbook=12_04.xlsx&amp;sheet=A0&amp;row=2279&amp;col=6&amp;number=500000000&amp;sourceID=14","500000000")</f>
        <v>500000000</v>
      </c>
      <c r="G2279" s="4" t="str">
        <f>HYPERLINK("http://141.218.60.56/~jnz1568/getInfo.php?workbook=12_04.xlsx&amp;sheet=A0&amp;row=2279&amp;col=7&amp;number=0&amp;sourceID=14","0")</f>
        <v>0</v>
      </c>
    </row>
    <row r="2280" spans="1:7">
      <c r="A2280" s="3">
        <v>12</v>
      </c>
      <c r="B2280" s="3">
        <v>4</v>
      </c>
      <c r="C2280" s="3">
        <v>76</v>
      </c>
      <c r="D2280" s="3">
        <v>29</v>
      </c>
      <c r="E2280" s="3">
        <v>212.45</v>
      </c>
      <c r="F2280" s="4" t="str">
        <f>HYPERLINK("http://141.218.60.56/~jnz1568/getInfo.php?workbook=12_04.xlsx&amp;sheet=A0&amp;row=2280&amp;col=6&amp;number=15900&amp;sourceID=14","15900")</f>
        <v>15900</v>
      </c>
      <c r="G2280" s="4" t="str">
        <f>HYPERLINK("http://141.218.60.56/~jnz1568/getInfo.php?workbook=12_04.xlsx&amp;sheet=A0&amp;row=2280&amp;col=7&amp;number=0&amp;sourceID=14","0")</f>
        <v>0</v>
      </c>
    </row>
    <row r="2281" spans="1:7">
      <c r="A2281" s="3">
        <v>12</v>
      </c>
      <c r="B2281" s="3">
        <v>4</v>
      </c>
      <c r="C2281" s="3">
        <v>77</v>
      </c>
      <c r="D2281" s="3">
        <v>29</v>
      </c>
      <c r="E2281" s="3">
        <v>-211.957</v>
      </c>
      <c r="F2281" s="4" t="str">
        <f>HYPERLINK("http://141.218.60.56/~jnz1568/getInfo.php?workbook=12_04.xlsx&amp;sheet=A0&amp;row=2281&amp;col=6&amp;number=11.8&amp;sourceID=14","11.8")</f>
        <v>11.8</v>
      </c>
      <c r="G2281" s="4" t="str">
        <f>HYPERLINK("http://141.218.60.56/~jnz1568/getInfo.php?workbook=12_04.xlsx&amp;sheet=A0&amp;row=2281&amp;col=7&amp;number=0&amp;sourceID=14","0")</f>
        <v>0</v>
      </c>
    </row>
    <row r="2282" spans="1:7">
      <c r="A2282" s="3">
        <v>12</v>
      </c>
      <c r="B2282" s="3">
        <v>4</v>
      </c>
      <c r="C2282" s="3">
        <v>78</v>
      </c>
      <c r="D2282" s="3">
        <v>29</v>
      </c>
      <c r="E2282" s="3">
        <v>-210.616</v>
      </c>
      <c r="F2282" s="4" t="str">
        <f>HYPERLINK("http://141.218.60.56/~jnz1568/getInfo.php?workbook=12_04.xlsx&amp;sheet=A0&amp;row=2282&amp;col=6&amp;number=3000000000&amp;sourceID=14","3000000000")</f>
        <v>3000000000</v>
      </c>
      <c r="G2282" s="4" t="str">
        <f>HYPERLINK("http://141.218.60.56/~jnz1568/getInfo.php?workbook=12_04.xlsx&amp;sheet=A0&amp;row=2282&amp;col=7&amp;number=0&amp;sourceID=14","0")</f>
        <v>0</v>
      </c>
    </row>
    <row r="2283" spans="1:7">
      <c r="A2283" s="3">
        <v>12</v>
      </c>
      <c r="B2283" s="3">
        <v>4</v>
      </c>
      <c r="C2283" s="3">
        <v>79</v>
      </c>
      <c r="D2283" s="3">
        <v>29</v>
      </c>
      <c r="E2283" s="3">
        <v>-210.342</v>
      </c>
      <c r="F2283" s="4" t="str">
        <f>HYPERLINK("http://141.218.60.56/~jnz1568/getInfo.php?workbook=12_04.xlsx&amp;sheet=A0&amp;row=2283&amp;col=6&amp;number=7710000000&amp;sourceID=14","7710000000")</f>
        <v>7710000000</v>
      </c>
      <c r="G2283" s="4" t="str">
        <f>HYPERLINK("http://141.218.60.56/~jnz1568/getInfo.php?workbook=12_04.xlsx&amp;sheet=A0&amp;row=2283&amp;col=7&amp;number=0&amp;sourceID=14","0")</f>
        <v>0</v>
      </c>
    </row>
    <row r="2284" spans="1:7">
      <c r="A2284" s="3">
        <v>12</v>
      </c>
      <c r="B2284" s="3">
        <v>4</v>
      </c>
      <c r="C2284" s="3">
        <v>80</v>
      </c>
      <c r="D2284" s="3">
        <v>29</v>
      </c>
      <c r="E2284" s="3">
        <v>-209.794</v>
      </c>
      <c r="F2284" s="4" t="str">
        <f>HYPERLINK("http://141.218.60.56/~jnz1568/getInfo.php?workbook=12_04.xlsx&amp;sheet=A0&amp;row=2284&amp;col=6&amp;number=91100&amp;sourceID=14","91100")</f>
        <v>91100</v>
      </c>
      <c r="G2284" s="4" t="str">
        <f>HYPERLINK("http://141.218.60.56/~jnz1568/getInfo.php?workbook=12_04.xlsx&amp;sheet=A0&amp;row=2284&amp;col=7&amp;number=0&amp;sourceID=14","0")</f>
        <v>0</v>
      </c>
    </row>
    <row r="2285" spans="1:7">
      <c r="A2285" s="3">
        <v>12</v>
      </c>
      <c r="B2285" s="3">
        <v>4</v>
      </c>
      <c r="C2285" s="3">
        <v>81</v>
      </c>
      <c r="D2285" s="3">
        <v>29</v>
      </c>
      <c r="E2285" s="3">
        <v>209.262</v>
      </c>
      <c r="F2285" s="4" t="str">
        <f>HYPERLINK("http://141.218.60.56/~jnz1568/getInfo.php?workbook=12_04.xlsx&amp;sheet=A0&amp;row=2285&amp;col=6&amp;number=7.61&amp;sourceID=14","7.61")</f>
        <v>7.61</v>
      </c>
      <c r="G2285" s="4" t="str">
        <f>HYPERLINK("http://141.218.60.56/~jnz1568/getInfo.php?workbook=12_04.xlsx&amp;sheet=A0&amp;row=2285&amp;col=7&amp;number=0&amp;sourceID=14","0")</f>
        <v>0</v>
      </c>
    </row>
    <row r="2286" spans="1:7">
      <c r="A2286" s="3">
        <v>12</v>
      </c>
      <c r="B2286" s="3">
        <v>4</v>
      </c>
      <c r="C2286" s="3">
        <v>82</v>
      </c>
      <c r="D2286" s="3">
        <v>29</v>
      </c>
      <c r="E2286" s="3">
        <v>-209.635</v>
      </c>
      <c r="F2286" s="4" t="str">
        <f>HYPERLINK("http://141.218.60.56/~jnz1568/getInfo.php?workbook=12_04.xlsx&amp;sheet=A0&amp;row=2286&amp;col=6&amp;number=145000&amp;sourceID=14","145000")</f>
        <v>145000</v>
      </c>
      <c r="G2286" s="4" t="str">
        <f>HYPERLINK("http://141.218.60.56/~jnz1568/getInfo.php?workbook=12_04.xlsx&amp;sheet=A0&amp;row=2286&amp;col=7&amp;number=0&amp;sourceID=14","0")</f>
        <v>0</v>
      </c>
    </row>
    <row r="2287" spans="1:7">
      <c r="A2287" s="3">
        <v>12</v>
      </c>
      <c r="B2287" s="3">
        <v>4</v>
      </c>
      <c r="C2287" s="3">
        <v>83</v>
      </c>
      <c r="D2287" s="3">
        <v>29</v>
      </c>
      <c r="E2287" s="3">
        <v>-209.633</v>
      </c>
      <c r="F2287" s="4" t="str">
        <f>HYPERLINK("http://141.218.60.56/~jnz1568/getInfo.php?workbook=12_04.xlsx&amp;sheet=A0&amp;row=2287&amp;col=6&amp;number=180000&amp;sourceID=14","180000")</f>
        <v>180000</v>
      </c>
      <c r="G2287" s="4" t="str">
        <f>HYPERLINK("http://141.218.60.56/~jnz1568/getInfo.php?workbook=12_04.xlsx&amp;sheet=A0&amp;row=2287&amp;col=7&amp;number=0&amp;sourceID=14","0")</f>
        <v>0</v>
      </c>
    </row>
    <row r="2288" spans="1:7">
      <c r="A2288" s="3">
        <v>12</v>
      </c>
      <c r="B2288" s="3">
        <v>4</v>
      </c>
      <c r="C2288" s="3">
        <v>84</v>
      </c>
      <c r="D2288" s="3">
        <v>29</v>
      </c>
      <c r="E2288" s="3">
        <v>-209.49</v>
      </c>
      <c r="F2288" s="4" t="str">
        <f>HYPERLINK("http://141.218.60.56/~jnz1568/getInfo.php?workbook=12_04.xlsx&amp;sheet=A0&amp;row=2288&amp;col=6&amp;number=0.000474&amp;sourceID=14","0.000474")</f>
        <v>0.000474</v>
      </c>
      <c r="G2288" s="4" t="str">
        <f>HYPERLINK("http://141.218.60.56/~jnz1568/getInfo.php?workbook=12_04.xlsx&amp;sheet=A0&amp;row=2288&amp;col=7&amp;number=0&amp;sourceID=14","0")</f>
        <v>0</v>
      </c>
    </row>
    <row r="2289" spans="1:7">
      <c r="A2289" s="3">
        <v>12</v>
      </c>
      <c r="B2289" s="3">
        <v>4</v>
      </c>
      <c r="C2289" s="3">
        <v>85</v>
      </c>
      <c r="D2289" s="3">
        <v>29</v>
      </c>
      <c r="E2289" s="3">
        <v>208.738</v>
      </c>
      <c r="F2289" s="4" t="str">
        <f>HYPERLINK("http://141.218.60.56/~jnz1568/getInfo.php?workbook=12_04.xlsx&amp;sheet=A0&amp;row=2289&amp;col=6&amp;number=19300000000&amp;sourceID=14","19300000000")</f>
        <v>19300000000</v>
      </c>
      <c r="G2289" s="4" t="str">
        <f>HYPERLINK("http://141.218.60.56/~jnz1568/getInfo.php?workbook=12_04.xlsx&amp;sheet=A0&amp;row=2289&amp;col=7&amp;number=0&amp;sourceID=14","0")</f>
        <v>0</v>
      </c>
    </row>
    <row r="2290" spans="1:7">
      <c r="A2290" s="3">
        <v>12</v>
      </c>
      <c r="B2290" s="3">
        <v>4</v>
      </c>
      <c r="C2290" s="3">
        <v>86</v>
      </c>
      <c r="D2290" s="3">
        <v>29</v>
      </c>
      <c r="E2290" s="3">
        <v>208.512</v>
      </c>
      <c r="F2290" s="4" t="str">
        <f>HYPERLINK("http://141.218.60.56/~jnz1568/getInfo.php?workbook=12_04.xlsx&amp;sheet=A0&amp;row=2290&amp;col=6&amp;number=18500000000&amp;sourceID=14","18500000000")</f>
        <v>18500000000</v>
      </c>
      <c r="G2290" s="4" t="str">
        <f>HYPERLINK("http://141.218.60.56/~jnz1568/getInfo.php?workbook=12_04.xlsx&amp;sheet=A0&amp;row=2290&amp;col=7&amp;number=0&amp;sourceID=14","0")</f>
        <v>0</v>
      </c>
    </row>
    <row r="2291" spans="1:7">
      <c r="A2291" s="3">
        <v>12</v>
      </c>
      <c r="B2291" s="3">
        <v>4</v>
      </c>
      <c r="C2291" s="3">
        <v>87</v>
      </c>
      <c r="D2291" s="3">
        <v>29</v>
      </c>
      <c r="E2291" s="3">
        <v>-208.429</v>
      </c>
      <c r="F2291" s="4" t="str">
        <f>HYPERLINK("http://141.218.60.56/~jnz1568/getInfo.php?workbook=12_04.xlsx&amp;sheet=A0&amp;row=2291&amp;col=6&amp;number=19000000000&amp;sourceID=14","19000000000")</f>
        <v>19000000000</v>
      </c>
      <c r="G2291" s="4" t="str">
        <f>HYPERLINK("http://141.218.60.56/~jnz1568/getInfo.php?workbook=12_04.xlsx&amp;sheet=A0&amp;row=2291&amp;col=7&amp;number=0&amp;sourceID=14","0")</f>
        <v>0</v>
      </c>
    </row>
    <row r="2292" spans="1:7">
      <c r="A2292" s="3">
        <v>12</v>
      </c>
      <c r="B2292" s="3">
        <v>4</v>
      </c>
      <c r="C2292" s="3">
        <v>88</v>
      </c>
      <c r="D2292" s="3">
        <v>29</v>
      </c>
      <c r="E2292" s="3">
        <v>-208.089</v>
      </c>
      <c r="F2292" s="4" t="str">
        <f>HYPERLINK("http://141.218.60.56/~jnz1568/getInfo.php?workbook=12_04.xlsx&amp;sheet=A0&amp;row=2292&amp;col=6&amp;number=23800&amp;sourceID=14","23800")</f>
        <v>23800</v>
      </c>
      <c r="G2292" s="4" t="str">
        <f>HYPERLINK("http://141.218.60.56/~jnz1568/getInfo.php?workbook=12_04.xlsx&amp;sheet=A0&amp;row=2292&amp;col=7&amp;number=0&amp;sourceID=14","0")</f>
        <v>0</v>
      </c>
    </row>
    <row r="2293" spans="1:7">
      <c r="A2293" s="3">
        <v>12</v>
      </c>
      <c r="B2293" s="3">
        <v>4</v>
      </c>
      <c r="C2293" s="3">
        <v>89</v>
      </c>
      <c r="D2293" s="3">
        <v>29</v>
      </c>
      <c r="E2293" s="3">
        <v>-207.889</v>
      </c>
      <c r="F2293" s="4" t="str">
        <f>HYPERLINK("http://141.218.60.56/~jnz1568/getInfo.php?workbook=12_04.xlsx&amp;sheet=A0&amp;row=2293&amp;col=6&amp;number=0.000273&amp;sourceID=14","0.000273")</f>
        <v>0.000273</v>
      </c>
      <c r="G2293" s="4" t="str">
        <f>HYPERLINK("http://141.218.60.56/~jnz1568/getInfo.php?workbook=12_04.xlsx&amp;sheet=A0&amp;row=2293&amp;col=7&amp;number=0&amp;sourceID=14","0")</f>
        <v>0</v>
      </c>
    </row>
    <row r="2294" spans="1:7">
      <c r="A2294" s="3">
        <v>12</v>
      </c>
      <c r="B2294" s="3">
        <v>4</v>
      </c>
      <c r="C2294" s="3">
        <v>90</v>
      </c>
      <c r="D2294" s="3">
        <v>29</v>
      </c>
      <c r="E2294" s="3">
        <v>-207.297</v>
      </c>
      <c r="F2294" s="4" t="str">
        <f>HYPERLINK("http://141.218.60.56/~jnz1568/getInfo.php?workbook=12_04.xlsx&amp;sheet=A0&amp;row=2294&amp;col=6&amp;number=0.000249&amp;sourceID=14","0.000249")</f>
        <v>0.000249</v>
      </c>
      <c r="G2294" s="4" t="str">
        <f>HYPERLINK("http://141.218.60.56/~jnz1568/getInfo.php?workbook=12_04.xlsx&amp;sheet=A0&amp;row=2294&amp;col=7&amp;number=0&amp;sourceID=14","0")</f>
        <v>0</v>
      </c>
    </row>
    <row r="2295" spans="1:7">
      <c r="A2295" s="3">
        <v>12</v>
      </c>
      <c r="B2295" s="3">
        <v>4</v>
      </c>
      <c r="C2295" s="3">
        <v>91</v>
      </c>
      <c r="D2295" s="3">
        <v>29</v>
      </c>
      <c r="E2295" s="3">
        <v>-206.774</v>
      </c>
      <c r="F2295" s="4" t="str">
        <f>HYPERLINK("http://141.218.60.56/~jnz1568/getInfo.php?workbook=12_04.xlsx&amp;sheet=A0&amp;row=2295&amp;col=6&amp;number=2000000&amp;sourceID=14","2000000")</f>
        <v>2000000</v>
      </c>
      <c r="G2295" s="4" t="str">
        <f>HYPERLINK("http://141.218.60.56/~jnz1568/getInfo.php?workbook=12_04.xlsx&amp;sheet=A0&amp;row=2295&amp;col=7&amp;number=0&amp;sourceID=14","0")</f>
        <v>0</v>
      </c>
    </row>
    <row r="2296" spans="1:7">
      <c r="A2296" s="3">
        <v>12</v>
      </c>
      <c r="B2296" s="3">
        <v>4</v>
      </c>
      <c r="C2296" s="3">
        <v>92</v>
      </c>
      <c r="D2296" s="3">
        <v>29</v>
      </c>
      <c r="E2296" s="3">
        <v>-206.652</v>
      </c>
      <c r="F2296" s="4" t="str">
        <f>HYPERLINK("http://141.218.60.56/~jnz1568/getInfo.php?workbook=12_04.xlsx&amp;sheet=A0&amp;row=2296&amp;col=6&amp;number=0.000112&amp;sourceID=14","0.000112")</f>
        <v>0.000112</v>
      </c>
      <c r="G2296" s="4" t="str">
        <f>HYPERLINK("http://141.218.60.56/~jnz1568/getInfo.php?workbook=12_04.xlsx&amp;sheet=A0&amp;row=2296&amp;col=7&amp;number=0&amp;sourceID=14","0")</f>
        <v>0</v>
      </c>
    </row>
    <row r="2297" spans="1:7">
      <c r="A2297" s="3">
        <v>12</v>
      </c>
      <c r="B2297" s="3">
        <v>4</v>
      </c>
      <c r="C2297" s="3">
        <v>93</v>
      </c>
      <c r="D2297" s="3">
        <v>29</v>
      </c>
      <c r="E2297" s="3">
        <v>-206.539</v>
      </c>
      <c r="F2297" s="4" t="str">
        <f>HYPERLINK("http://141.218.60.56/~jnz1568/getInfo.php?workbook=12_04.xlsx&amp;sheet=A0&amp;row=2297&amp;col=6&amp;number=1260000&amp;sourceID=14","1260000")</f>
        <v>1260000</v>
      </c>
      <c r="G2297" s="4" t="str">
        <f>HYPERLINK("http://141.218.60.56/~jnz1568/getInfo.php?workbook=12_04.xlsx&amp;sheet=A0&amp;row=2297&amp;col=7&amp;number=0&amp;sourceID=14","0")</f>
        <v>0</v>
      </c>
    </row>
    <row r="2298" spans="1:7">
      <c r="A2298" s="3">
        <v>12</v>
      </c>
      <c r="B2298" s="3">
        <v>4</v>
      </c>
      <c r="C2298" s="3">
        <v>94</v>
      </c>
      <c r="D2298" s="3">
        <v>29</v>
      </c>
      <c r="E2298" s="3">
        <v>-206.128</v>
      </c>
      <c r="F2298" s="4" t="str">
        <f>HYPERLINK("http://141.218.60.56/~jnz1568/getInfo.php?workbook=12_04.xlsx&amp;sheet=A0&amp;row=2298&amp;col=6&amp;number=1540000&amp;sourceID=14","1540000")</f>
        <v>1540000</v>
      </c>
      <c r="G2298" s="4" t="str">
        <f>HYPERLINK("http://141.218.60.56/~jnz1568/getInfo.php?workbook=12_04.xlsx&amp;sheet=A0&amp;row=2298&amp;col=7&amp;number=0&amp;sourceID=14","0")</f>
        <v>0</v>
      </c>
    </row>
    <row r="2299" spans="1:7">
      <c r="A2299" s="3">
        <v>12</v>
      </c>
      <c r="B2299" s="3">
        <v>4</v>
      </c>
      <c r="C2299" s="3">
        <v>95</v>
      </c>
      <c r="D2299" s="3">
        <v>29</v>
      </c>
      <c r="E2299" s="3">
        <v>-205.859</v>
      </c>
      <c r="F2299" s="4" t="str">
        <f>HYPERLINK("http://141.218.60.56/~jnz1568/getInfo.php?workbook=12_04.xlsx&amp;sheet=A0&amp;row=2299&amp;col=6&amp;number=0.22&amp;sourceID=14","0.22")</f>
        <v>0.22</v>
      </c>
      <c r="G2299" s="4" t="str">
        <f>HYPERLINK("http://141.218.60.56/~jnz1568/getInfo.php?workbook=12_04.xlsx&amp;sheet=A0&amp;row=2299&amp;col=7&amp;number=0&amp;sourceID=14","0")</f>
        <v>0</v>
      </c>
    </row>
    <row r="2300" spans="1:7">
      <c r="A2300" s="3">
        <v>12</v>
      </c>
      <c r="B2300" s="3">
        <v>4</v>
      </c>
      <c r="C2300" s="3">
        <v>96</v>
      </c>
      <c r="D2300" s="3">
        <v>29</v>
      </c>
      <c r="E2300" s="3">
        <v>-205.61</v>
      </c>
      <c r="F2300" s="4" t="str">
        <f>HYPERLINK("http://141.218.60.56/~jnz1568/getInfo.php?workbook=12_04.xlsx&amp;sheet=A0&amp;row=2300&amp;col=6&amp;number=453000&amp;sourceID=14","453000")</f>
        <v>453000</v>
      </c>
      <c r="G2300" s="4" t="str">
        <f>HYPERLINK("http://141.218.60.56/~jnz1568/getInfo.php?workbook=12_04.xlsx&amp;sheet=A0&amp;row=2300&amp;col=7&amp;number=0&amp;sourceID=14","0")</f>
        <v>0</v>
      </c>
    </row>
    <row r="2301" spans="1:7">
      <c r="A2301" s="3">
        <v>12</v>
      </c>
      <c r="B2301" s="3">
        <v>4</v>
      </c>
      <c r="C2301" s="3">
        <v>97</v>
      </c>
      <c r="D2301" s="3">
        <v>29</v>
      </c>
      <c r="E2301" s="3">
        <v>205.681</v>
      </c>
      <c r="F2301" s="4" t="str">
        <f>HYPERLINK("http://141.218.60.56/~jnz1568/getInfo.php?workbook=12_04.xlsx&amp;sheet=A0&amp;row=2301&amp;col=6&amp;number=0.785&amp;sourceID=14","0.785")</f>
        <v>0.785</v>
      </c>
      <c r="G2301" s="4" t="str">
        <f>HYPERLINK("http://141.218.60.56/~jnz1568/getInfo.php?workbook=12_04.xlsx&amp;sheet=A0&amp;row=2301&amp;col=7&amp;number=0&amp;sourceID=14","0")</f>
        <v>0</v>
      </c>
    </row>
    <row r="2302" spans="1:7">
      <c r="A2302" s="3">
        <v>12</v>
      </c>
      <c r="B2302" s="3">
        <v>4</v>
      </c>
      <c r="C2302" s="3">
        <v>98</v>
      </c>
      <c r="D2302" s="3">
        <v>29</v>
      </c>
      <c r="E2302" s="3">
        <v>204.948</v>
      </c>
      <c r="F2302" s="4" t="str">
        <f>HYPERLINK("http://141.218.60.56/~jnz1568/getInfo.php?workbook=12_04.xlsx&amp;sheet=A0&amp;row=2302&amp;col=6&amp;number=451000000&amp;sourceID=14","451000000")</f>
        <v>451000000</v>
      </c>
      <c r="G2302" s="4" t="str">
        <f>HYPERLINK("http://141.218.60.56/~jnz1568/getInfo.php?workbook=12_04.xlsx&amp;sheet=A0&amp;row=2302&amp;col=7&amp;number=0&amp;sourceID=14","0")</f>
        <v>0</v>
      </c>
    </row>
    <row r="2303" spans="1:7">
      <c r="A2303" s="3">
        <v>12</v>
      </c>
      <c r="B2303" s="3">
        <v>4</v>
      </c>
      <c r="C2303" s="3">
        <v>31</v>
      </c>
      <c r="D2303" s="3">
        <v>30</v>
      </c>
      <c r="E2303" s="3">
        <v>-90497.906</v>
      </c>
      <c r="F2303" s="4" t="str">
        <f>HYPERLINK("http://141.218.60.56/~jnz1568/getInfo.php?workbook=12_04.xlsx&amp;sheet=A0&amp;row=2303&amp;col=6&amp;number=0.0115&amp;sourceID=14","0.0115")</f>
        <v>0.0115</v>
      </c>
      <c r="G2303" s="4" t="str">
        <f>HYPERLINK("http://141.218.60.56/~jnz1568/getInfo.php?workbook=12_04.xlsx&amp;sheet=A0&amp;row=2303&amp;col=7&amp;number=0&amp;sourceID=14","0")</f>
        <v>0</v>
      </c>
    </row>
    <row r="2304" spans="1:7">
      <c r="A2304" s="3">
        <v>12</v>
      </c>
      <c r="B2304" s="3">
        <v>4</v>
      </c>
      <c r="C2304" s="3">
        <v>32</v>
      </c>
      <c r="D2304" s="3">
        <v>30</v>
      </c>
      <c r="E2304" s="3">
        <v>-39292.805</v>
      </c>
      <c r="F2304" s="4" t="str">
        <f>HYPERLINK("http://141.218.60.56/~jnz1568/getInfo.php?workbook=12_04.xlsx&amp;sheet=A0&amp;row=2304&amp;col=6&amp;number=5.32e-07&amp;sourceID=14","5.32e-07")</f>
        <v>5.32e-07</v>
      </c>
      <c r="G2304" s="4" t="str">
        <f>HYPERLINK("http://141.218.60.56/~jnz1568/getInfo.php?workbook=12_04.xlsx&amp;sheet=A0&amp;row=2304&amp;col=7&amp;number=0&amp;sourceID=14","0")</f>
        <v>0</v>
      </c>
    </row>
    <row r="2305" spans="1:7">
      <c r="A2305" s="3">
        <v>12</v>
      </c>
      <c r="B2305" s="3">
        <v>4</v>
      </c>
      <c r="C2305" s="3">
        <v>34</v>
      </c>
      <c r="D2305" s="3">
        <v>30</v>
      </c>
      <c r="E2305" s="3">
        <v>-9735.221</v>
      </c>
      <c r="F2305" s="4" t="str">
        <f>HYPERLINK("http://141.218.60.56/~jnz1568/getInfo.php?workbook=12_04.xlsx&amp;sheet=A0&amp;row=2305&amp;col=6&amp;number=1.12e-11&amp;sourceID=14","1.12e-11")</f>
        <v>1.12e-11</v>
      </c>
      <c r="G2305" s="4" t="str">
        <f>HYPERLINK("http://141.218.60.56/~jnz1568/getInfo.php?workbook=12_04.xlsx&amp;sheet=A0&amp;row=2305&amp;col=7&amp;number=0&amp;sourceID=14","0")</f>
        <v>0</v>
      </c>
    </row>
    <row r="2306" spans="1:7">
      <c r="A2306" s="3">
        <v>12</v>
      </c>
      <c r="B2306" s="3">
        <v>4</v>
      </c>
      <c r="C2306" s="3">
        <v>35</v>
      </c>
      <c r="D2306" s="3">
        <v>30</v>
      </c>
      <c r="E2306" s="3">
        <v>-8777.336</v>
      </c>
      <c r="F2306" s="4" t="str">
        <f>HYPERLINK("http://141.218.60.56/~jnz1568/getInfo.php?workbook=12_04.xlsx&amp;sheet=A0&amp;row=2306&amp;col=6&amp;number=2.97e-07&amp;sourceID=14","2.97e-07")</f>
        <v>2.97e-07</v>
      </c>
      <c r="G2306" s="4" t="str">
        <f>HYPERLINK("http://141.218.60.56/~jnz1568/getInfo.php?workbook=12_04.xlsx&amp;sheet=A0&amp;row=2306&amp;col=7&amp;number=0&amp;sourceID=14","0")</f>
        <v>0</v>
      </c>
    </row>
    <row r="2307" spans="1:7">
      <c r="A2307" s="3">
        <v>12</v>
      </c>
      <c r="B2307" s="3">
        <v>4</v>
      </c>
      <c r="C2307" s="3">
        <v>37</v>
      </c>
      <c r="D2307" s="3">
        <v>30</v>
      </c>
      <c r="E2307" s="3">
        <v>-4687.582</v>
      </c>
      <c r="F2307" s="4" t="str">
        <f>HYPERLINK("http://141.218.60.56/~jnz1568/getInfo.php?workbook=12_04.xlsx&amp;sheet=A0&amp;row=2307&amp;col=6&amp;number=2.03e-06&amp;sourceID=14","2.03e-06")</f>
        <v>2.03e-06</v>
      </c>
      <c r="G2307" s="4" t="str">
        <f>HYPERLINK("http://141.218.60.56/~jnz1568/getInfo.php?workbook=12_04.xlsx&amp;sheet=A0&amp;row=2307&amp;col=7&amp;number=0&amp;sourceID=14","0")</f>
        <v>0</v>
      </c>
    </row>
    <row r="2308" spans="1:7">
      <c r="A2308" s="3">
        <v>12</v>
      </c>
      <c r="B2308" s="3">
        <v>4</v>
      </c>
      <c r="C2308" s="3">
        <v>38</v>
      </c>
      <c r="D2308" s="3">
        <v>30</v>
      </c>
      <c r="E2308" s="3">
        <v>-3415.54</v>
      </c>
      <c r="F2308" s="4" t="str">
        <f>HYPERLINK("http://141.218.60.56/~jnz1568/getInfo.php?workbook=12_04.xlsx&amp;sheet=A0&amp;row=2308&amp;col=6&amp;number=12000000&amp;sourceID=14","12000000")</f>
        <v>12000000</v>
      </c>
      <c r="G2308" s="4" t="str">
        <f>HYPERLINK("http://141.218.60.56/~jnz1568/getInfo.php?workbook=12_04.xlsx&amp;sheet=A0&amp;row=2308&amp;col=7&amp;number=0&amp;sourceID=14","0")</f>
        <v>0</v>
      </c>
    </row>
    <row r="2309" spans="1:7">
      <c r="A2309" s="3">
        <v>12</v>
      </c>
      <c r="B2309" s="3">
        <v>4</v>
      </c>
      <c r="C2309" s="3">
        <v>39</v>
      </c>
      <c r="D2309" s="3">
        <v>30</v>
      </c>
      <c r="E2309" s="3">
        <v>-3353.235</v>
      </c>
      <c r="F2309" s="4" t="str">
        <f>HYPERLINK("http://141.218.60.56/~jnz1568/getInfo.php?workbook=12_04.xlsx&amp;sheet=A0&amp;row=2309&amp;col=6&amp;number=2.83e-05&amp;sourceID=14","2.83e-05")</f>
        <v>2.83e-05</v>
      </c>
      <c r="G2309" s="4" t="str">
        <f>HYPERLINK("http://141.218.60.56/~jnz1568/getInfo.php?workbook=12_04.xlsx&amp;sheet=A0&amp;row=2309&amp;col=7&amp;number=0&amp;sourceID=14","0")</f>
        <v>0</v>
      </c>
    </row>
    <row r="2310" spans="1:7">
      <c r="A2310" s="3">
        <v>12</v>
      </c>
      <c r="B2310" s="3">
        <v>4</v>
      </c>
      <c r="C2310" s="3">
        <v>40</v>
      </c>
      <c r="D2310" s="3">
        <v>30</v>
      </c>
      <c r="E2310" s="3">
        <v>-3240.972</v>
      </c>
      <c r="F2310" s="4" t="str">
        <f>HYPERLINK("http://141.218.60.56/~jnz1568/getInfo.php?workbook=12_04.xlsx&amp;sheet=A0&amp;row=2310&amp;col=6&amp;number=1.1e-08&amp;sourceID=14","1.1e-08")</f>
        <v>1.1e-08</v>
      </c>
      <c r="G2310" s="4" t="str">
        <f>HYPERLINK("http://141.218.60.56/~jnz1568/getInfo.php?workbook=12_04.xlsx&amp;sheet=A0&amp;row=2310&amp;col=7&amp;number=0&amp;sourceID=14","0")</f>
        <v>0</v>
      </c>
    </row>
    <row r="2311" spans="1:7">
      <c r="A2311" s="3">
        <v>12</v>
      </c>
      <c r="B2311" s="3">
        <v>4</v>
      </c>
      <c r="C2311" s="3">
        <v>41</v>
      </c>
      <c r="D2311" s="3">
        <v>30</v>
      </c>
      <c r="E2311" s="3">
        <v>-2650.345</v>
      </c>
      <c r="F2311" s="4" t="str">
        <f>HYPERLINK("http://141.218.60.56/~jnz1568/getInfo.php?workbook=12_04.xlsx&amp;sheet=A0&amp;row=2311&amp;col=6&amp;number=1.32e-07&amp;sourceID=14","1.32e-07")</f>
        <v>1.32e-07</v>
      </c>
      <c r="G2311" s="4" t="str">
        <f>HYPERLINK("http://141.218.60.56/~jnz1568/getInfo.php?workbook=12_04.xlsx&amp;sheet=A0&amp;row=2311&amp;col=7&amp;number=0&amp;sourceID=14","0")</f>
        <v>0</v>
      </c>
    </row>
    <row r="2312" spans="1:7">
      <c r="A2312" s="3">
        <v>12</v>
      </c>
      <c r="B2312" s="3">
        <v>4</v>
      </c>
      <c r="C2312" s="3">
        <v>42</v>
      </c>
      <c r="D2312" s="3">
        <v>30</v>
      </c>
      <c r="E2312" s="3">
        <v>-2591.014</v>
      </c>
      <c r="F2312" s="4" t="str">
        <f>HYPERLINK("http://141.218.60.56/~jnz1568/getInfo.php?workbook=12_04.xlsx&amp;sheet=A0&amp;row=2312&amp;col=6&amp;number=3470000&amp;sourceID=14","3470000")</f>
        <v>3470000</v>
      </c>
      <c r="G2312" s="4" t="str">
        <f>HYPERLINK("http://141.218.60.56/~jnz1568/getInfo.php?workbook=12_04.xlsx&amp;sheet=A0&amp;row=2312&amp;col=7&amp;number=0&amp;sourceID=14","0")</f>
        <v>0</v>
      </c>
    </row>
    <row r="2313" spans="1:7">
      <c r="A2313" s="3">
        <v>12</v>
      </c>
      <c r="B2313" s="3">
        <v>4</v>
      </c>
      <c r="C2313" s="3">
        <v>45</v>
      </c>
      <c r="D2313" s="3">
        <v>30</v>
      </c>
      <c r="E2313" s="3">
        <v>-1628.058</v>
      </c>
      <c r="F2313" s="4" t="str">
        <f>HYPERLINK("http://141.218.60.56/~jnz1568/getInfo.php?workbook=12_04.xlsx&amp;sheet=A0&amp;row=2313&amp;col=6&amp;number=1.43e-13&amp;sourceID=14","1.43e-13")</f>
        <v>1.43e-13</v>
      </c>
      <c r="G2313" s="4" t="str">
        <f>HYPERLINK("http://141.218.60.56/~jnz1568/getInfo.php?workbook=12_04.xlsx&amp;sheet=A0&amp;row=2313&amp;col=7&amp;number=0&amp;sourceID=14","0")</f>
        <v>0</v>
      </c>
    </row>
    <row r="2314" spans="1:7">
      <c r="A2314" s="3">
        <v>12</v>
      </c>
      <c r="B2314" s="3">
        <v>4</v>
      </c>
      <c r="C2314" s="3">
        <v>46</v>
      </c>
      <c r="D2314" s="3">
        <v>30</v>
      </c>
      <c r="E2314" s="3">
        <v>-1502.926</v>
      </c>
      <c r="F2314" s="4" t="str">
        <f>HYPERLINK("http://141.218.60.56/~jnz1568/getInfo.php?workbook=12_04.xlsx&amp;sheet=A0&amp;row=2314&amp;col=6&amp;number=10700&amp;sourceID=14","10700")</f>
        <v>10700</v>
      </c>
      <c r="G2314" s="4" t="str">
        <f>HYPERLINK("http://141.218.60.56/~jnz1568/getInfo.php?workbook=12_04.xlsx&amp;sheet=A0&amp;row=2314&amp;col=7&amp;number=0&amp;sourceID=14","0")</f>
        <v>0</v>
      </c>
    </row>
    <row r="2315" spans="1:7">
      <c r="A2315" s="3">
        <v>12</v>
      </c>
      <c r="B2315" s="3">
        <v>4</v>
      </c>
      <c r="C2315" s="3">
        <v>47</v>
      </c>
      <c r="D2315" s="3">
        <v>30</v>
      </c>
      <c r="E2315" s="3">
        <v>-381.116</v>
      </c>
      <c r="F2315" s="4" t="str">
        <f>HYPERLINK("http://141.218.60.56/~jnz1568/getInfo.php?workbook=12_04.xlsx&amp;sheet=A0&amp;row=2315&amp;col=6&amp;number=0.0285&amp;sourceID=14","0.0285")</f>
        <v>0.0285</v>
      </c>
      <c r="G2315" s="4" t="str">
        <f>HYPERLINK("http://141.218.60.56/~jnz1568/getInfo.php?workbook=12_04.xlsx&amp;sheet=A0&amp;row=2315&amp;col=7&amp;number=0&amp;sourceID=14","0")</f>
        <v>0</v>
      </c>
    </row>
    <row r="2316" spans="1:7">
      <c r="A2316" s="3">
        <v>12</v>
      </c>
      <c r="B2316" s="3">
        <v>4</v>
      </c>
      <c r="C2316" s="3">
        <v>50</v>
      </c>
      <c r="D2316" s="3">
        <v>30</v>
      </c>
      <c r="E2316" s="3">
        <v>-348.31</v>
      </c>
      <c r="F2316" s="4" t="str">
        <f>HYPERLINK("http://141.218.60.56/~jnz1568/getInfo.php?workbook=12_04.xlsx&amp;sheet=A0&amp;row=2316&amp;col=6&amp;number=4230000&amp;sourceID=14","4230000")</f>
        <v>4230000</v>
      </c>
      <c r="G2316" s="4" t="str">
        <f>HYPERLINK("http://141.218.60.56/~jnz1568/getInfo.php?workbook=12_04.xlsx&amp;sheet=A0&amp;row=2316&amp;col=7&amp;number=0&amp;sourceID=14","0")</f>
        <v>0</v>
      </c>
    </row>
    <row r="2317" spans="1:7">
      <c r="A2317" s="3">
        <v>12</v>
      </c>
      <c r="B2317" s="3">
        <v>4</v>
      </c>
      <c r="C2317" s="3">
        <v>51</v>
      </c>
      <c r="D2317" s="3">
        <v>30</v>
      </c>
      <c r="E2317" s="3">
        <v>-347.993</v>
      </c>
      <c r="F2317" s="4" t="str">
        <f>HYPERLINK("http://141.218.60.56/~jnz1568/getInfo.php?workbook=12_04.xlsx&amp;sheet=A0&amp;row=2317&amp;col=6&amp;number=0.00334&amp;sourceID=14","0.00334")</f>
        <v>0.00334</v>
      </c>
      <c r="G2317" s="4" t="str">
        <f>HYPERLINK("http://141.218.60.56/~jnz1568/getInfo.php?workbook=12_04.xlsx&amp;sheet=A0&amp;row=2317&amp;col=7&amp;number=0&amp;sourceID=14","0")</f>
        <v>0</v>
      </c>
    </row>
    <row r="2318" spans="1:7">
      <c r="A2318" s="3">
        <v>12</v>
      </c>
      <c r="B2318" s="3">
        <v>4</v>
      </c>
      <c r="C2318" s="3">
        <v>52</v>
      </c>
      <c r="D2318" s="3">
        <v>30</v>
      </c>
      <c r="E2318" s="3">
        <v>-344.686</v>
      </c>
      <c r="F2318" s="4" t="str">
        <f>HYPERLINK("http://141.218.60.56/~jnz1568/getInfo.php?workbook=12_04.xlsx&amp;sheet=A0&amp;row=2318&amp;col=6&amp;number=1100000&amp;sourceID=14","1100000")</f>
        <v>1100000</v>
      </c>
      <c r="G2318" s="4" t="str">
        <f>HYPERLINK("http://141.218.60.56/~jnz1568/getInfo.php?workbook=12_04.xlsx&amp;sheet=A0&amp;row=2318&amp;col=7&amp;number=0&amp;sourceID=14","0")</f>
        <v>0</v>
      </c>
    </row>
    <row r="2319" spans="1:7">
      <c r="A2319" s="3">
        <v>12</v>
      </c>
      <c r="B2319" s="3">
        <v>4</v>
      </c>
      <c r="C2319" s="3">
        <v>53</v>
      </c>
      <c r="D2319" s="3">
        <v>30</v>
      </c>
      <c r="E2319" s="3">
        <v>-332.21</v>
      </c>
      <c r="F2319" s="4" t="str">
        <f>HYPERLINK("http://141.218.60.56/~jnz1568/getInfo.php?workbook=12_04.xlsx&amp;sheet=A0&amp;row=2319&amp;col=6&amp;number=6.3e-05&amp;sourceID=14","6.3e-05")</f>
        <v>6.3e-05</v>
      </c>
      <c r="G2319" s="4" t="str">
        <f>HYPERLINK("http://141.218.60.56/~jnz1568/getInfo.php?workbook=12_04.xlsx&amp;sheet=A0&amp;row=2319&amp;col=7&amp;number=0&amp;sourceID=14","0")</f>
        <v>0</v>
      </c>
    </row>
    <row r="2320" spans="1:7">
      <c r="A2320" s="3">
        <v>12</v>
      </c>
      <c r="B2320" s="3">
        <v>4</v>
      </c>
      <c r="C2320" s="3">
        <v>54</v>
      </c>
      <c r="D2320" s="3">
        <v>30</v>
      </c>
      <c r="E2320" s="3">
        <v>-332.158</v>
      </c>
      <c r="F2320" s="4" t="str">
        <f>HYPERLINK("http://141.218.60.56/~jnz1568/getInfo.php?workbook=12_04.xlsx&amp;sheet=A0&amp;row=2320&amp;col=6&amp;number=11.5&amp;sourceID=14","11.5")</f>
        <v>11.5</v>
      </c>
      <c r="G2320" s="4" t="str">
        <f>HYPERLINK("http://141.218.60.56/~jnz1568/getInfo.php?workbook=12_04.xlsx&amp;sheet=A0&amp;row=2320&amp;col=7&amp;number=0&amp;sourceID=14","0")</f>
        <v>0</v>
      </c>
    </row>
    <row r="2321" spans="1:7">
      <c r="A2321" s="3">
        <v>12</v>
      </c>
      <c r="B2321" s="3">
        <v>4</v>
      </c>
      <c r="C2321" s="3">
        <v>55</v>
      </c>
      <c r="D2321" s="3">
        <v>30</v>
      </c>
      <c r="E2321" s="3">
        <v>-332.079</v>
      </c>
      <c r="F2321" s="4" t="str">
        <f>HYPERLINK("http://141.218.60.56/~jnz1568/getInfo.php?workbook=12_04.xlsx&amp;sheet=A0&amp;row=2321&amp;col=6&amp;number=1.07e-07&amp;sourceID=14","1.07e-07")</f>
        <v>1.07e-07</v>
      </c>
      <c r="G2321" s="4" t="str">
        <f>HYPERLINK("http://141.218.60.56/~jnz1568/getInfo.php?workbook=12_04.xlsx&amp;sheet=A0&amp;row=2321&amp;col=7&amp;number=0&amp;sourceID=14","0")</f>
        <v>0</v>
      </c>
    </row>
    <row r="2322" spans="1:7">
      <c r="A2322" s="3">
        <v>12</v>
      </c>
      <c r="B2322" s="3">
        <v>4</v>
      </c>
      <c r="C2322" s="3">
        <v>56</v>
      </c>
      <c r="D2322" s="3">
        <v>30</v>
      </c>
      <c r="E2322" s="3">
        <v>-322.865</v>
      </c>
      <c r="F2322" s="4" t="str">
        <f>HYPERLINK("http://141.218.60.56/~jnz1568/getInfo.php?workbook=12_04.xlsx&amp;sheet=A0&amp;row=2322&amp;col=6&amp;number=94.7&amp;sourceID=14","94.7")</f>
        <v>94.7</v>
      </c>
      <c r="G2322" s="4" t="str">
        <f>HYPERLINK("http://141.218.60.56/~jnz1568/getInfo.php?workbook=12_04.xlsx&amp;sheet=A0&amp;row=2322&amp;col=7&amp;number=0&amp;sourceID=14","0")</f>
        <v>0</v>
      </c>
    </row>
    <row r="2323" spans="1:7">
      <c r="A2323" s="3">
        <v>12</v>
      </c>
      <c r="B2323" s="3">
        <v>4</v>
      </c>
      <c r="C2323" s="3">
        <v>57</v>
      </c>
      <c r="D2323" s="3">
        <v>30</v>
      </c>
      <c r="E2323" s="3">
        <v>-322.558</v>
      </c>
      <c r="F2323" s="4" t="str">
        <f>HYPERLINK("http://141.218.60.56/~jnz1568/getInfo.php?workbook=12_04.xlsx&amp;sheet=A0&amp;row=2323&amp;col=6&amp;number=0.00171&amp;sourceID=14","0.00171")</f>
        <v>0.00171</v>
      </c>
      <c r="G2323" s="4" t="str">
        <f>HYPERLINK("http://141.218.60.56/~jnz1568/getInfo.php?workbook=12_04.xlsx&amp;sheet=A0&amp;row=2323&amp;col=7&amp;number=0&amp;sourceID=14","0")</f>
        <v>0</v>
      </c>
    </row>
    <row r="2324" spans="1:7">
      <c r="A2324" s="3">
        <v>12</v>
      </c>
      <c r="B2324" s="3">
        <v>4</v>
      </c>
      <c r="C2324" s="3">
        <v>58</v>
      </c>
      <c r="D2324" s="3">
        <v>30</v>
      </c>
      <c r="E2324" s="3">
        <v>-322.528</v>
      </c>
      <c r="F2324" s="4" t="str">
        <f>HYPERLINK("http://141.218.60.56/~jnz1568/getInfo.php?workbook=12_04.xlsx&amp;sheet=A0&amp;row=2324&amp;col=6&amp;number=3.42e-05&amp;sourceID=14","3.42e-05")</f>
        <v>3.42e-05</v>
      </c>
      <c r="G2324" s="4" t="str">
        <f>HYPERLINK("http://141.218.60.56/~jnz1568/getInfo.php?workbook=12_04.xlsx&amp;sheet=A0&amp;row=2324&amp;col=7&amp;number=0&amp;sourceID=14","0")</f>
        <v>0</v>
      </c>
    </row>
    <row r="2325" spans="1:7">
      <c r="A2325" s="3">
        <v>12</v>
      </c>
      <c r="B2325" s="3">
        <v>4</v>
      </c>
      <c r="C2325" s="3">
        <v>60</v>
      </c>
      <c r="D2325" s="3">
        <v>30</v>
      </c>
      <c r="E2325" s="3">
        <v>-319.883</v>
      </c>
      <c r="F2325" s="4" t="str">
        <f>HYPERLINK("http://141.218.60.56/~jnz1568/getInfo.php?workbook=12_04.xlsx&amp;sheet=A0&amp;row=2325&amp;col=6&amp;number=0.00145&amp;sourceID=14","0.00145")</f>
        <v>0.00145</v>
      </c>
      <c r="G2325" s="4" t="str">
        <f>HYPERLINK("http://141.218.60.56/~jnz1568/getInfo.php?workbook=12_04.xlsx&amp;sheet=A0&amp;row=2325&amp;col=7&amp;number=0&amp;sourceID=14","0")</f>
        <v>0</v>
      </c>
    </row>
    <row r="2326" spans="1:7">
      <c r="A2326" s="3">
        <v>12</v>
      </c>
      <c r="B2326" s="3">
        <v>4</v>
      </c>
      <c r="C2326" s="3">
        <v>62</v>
      </c>
      <c r="D2326" s="3">
        <v>30</v>
      </c>
      <c r="E2326" s="3">
        <v>-232.969</v>
      </c>
      <c r="F2326" s="4" t="str">
        <f>HYPERLINK("http://141.218.60.56/~jnz1568/getInfo.php?workbook=12_04.xlsx&amp;sheet=A0&amp;row=2326&amp;col=6&amp;number=3510000000&amp;sourceID=14","3510000000")</f>
        <v>3510000000</v>
      </c>
      <c r="G2326" s="4" t="str">
        <f>HYPERLINK("http://141.218.60.56/~jnz1568/getInfo.php?workbook=12_04.xlsx&amp;sheet=A0&amp;row=2326&amp;col=7&amp;number=0&amp;sourceID=14","0")</f>
        <v>0</v>
      </c>
    </row>
    <row r="2327" spans="1:7">
      <c r="A2327" s="3">
        <v>12</v>
      </c>
      <c r="B2327" s="3">
        <v>4</v>
      </c>
      <c r="C2327" s="3">
        <v>63</v>
      </c>
      <c r="D2327" s="3">
        <v>30</v>
      </c>
      <c r="E2327" s="3">
        <v>-231.363</v>
      </c>
      <c r="F2327" s="4" t="str">
        <f>HYPERLINK("http://141.218.60.56/~jnz1568/getInfo.php?workbook=12_04.xlsx&amp;sheet=A0&amp;row=2327&amp;col=6&amp;number=0.975&amp;sourceID=14","0.975")</f>
        <v>0.975</v>
      </c>
      <c r="G2327" s="4" t="str">
        <f>HYPERLINK("http://141.218.60.56/~jnz1568/getInfo.php?workbook=12_04.xlsx&amp;sheet=A0&amp;row=2327&amp;col=7&amp;number=0&amp;sourceID=14","0")</f>
        <v>0</v>
      </c>
    </row>
    <row r="2328" spans="1:7">
      <c r="A2328" s="3">
        <v>12</v>
      </c>
      <c r="B2328" s="3">
        <v>4</v>
      </c>
      <c r="C2328" s="3">
        <v>64</v>
      </c>
      <c r="D2328" s="3">
        <v>30</v>
      </c>
      <c r="E2328" s="3">
        <v>-228.071</v>
      </c>
      <c r="F2328" s="4" t="str">
        <f>HYPERLINK("http://141.218.60.56/~jnz1568/getInfo.php?workbook=12_04.xlsx&amp;sheet=A0&amp;row=2328&amp;col=6&amp;number=87700000&amp;sourceID=14","87700000")</f>
        <v>87700000</v>
      </c>
      <c r="G2328" s="4" t="str">
        <f>HYPERLINK("http://141.218.60.56/~jnz1568/getInfo.php?workbook=12_04.xlsx&amp;sheet=A0&amp;row=2328&amp;col=7&amp;number=0&amp;sourceID=14","0")</f>
        <v>0</v>
      </c>
    </row>
    <row r="2329" spans="1:7">
      <c r="A2329" s="3">
        <v>12</v>
      </c>
      <c r="B2329" s="3">
        <v>4</v>
      </c>
      <c r="C2329" s="3">
        <v>65</v>
      </c>
      <c r="D2329" s="3">
        <v>30</v>
      </c>
      <c r="E2329" s="3">
        <v>-224.222</v>
      </c>
      <c r="F2329" s="4" t="str">
        <f>HYPERLINK("http://141.218.60.56/~jnz1568/getInfo.php?workbook=12_04.xlsx&amp;sheet=A0&amp;row=2329&amp;col=6&amp;number=0.0707&amp;sourceID=14","0.0707")</f>
        <v>0.0707</v>
      </c>
      <c r="G2329" s="4" t="str">
        <f>HYPERLINK("http://141.218.60.56/~jnz1568/getInfo.php?workbook=12_04.xlsx&amp;sheet=A0&amp;row=2329&amp;col=7&amp;number=0&amp;sourceID=14","0")</f>
        <v>0</v>
      </c>
    </row>
    <row r="2330" spans="1:7">
      <c r="A2330" s="3">
        <v>12</v>
      </c>
      <c r="B2330" s="3">
        <v>4</v>
      </c>
      <c r="C2330" s="3">
        <v>66</v>
      </c>
      <c r="D2330" s="3">
        <v>30</v>
      </c>
      <c r="E2330" s="3">
        <v>-222.946</v>
      </c>
      <c r="F2330" s="4" t="str">
        <f>HYPERLINK("http://141.218.60.56/~jnz1568/getInfo.php?workbook=12_04.xlsx&amp;sheet=A0&amp;row=2330&amp;col=6&amp;number=0.365&amp;sourceID=14","0.365")</f>
        <v>0.365</v>
      </c>
      <c r="G2330" s="4" t="str">
        <f>HYPERLINK("http://141.218.60.56/~jnz1568/getInfo.php?workbook=12_04.xlsx&amp;sheet=A0&amp;row=2330&amp;col=7&amp;number=0&amp;sourceID=14","0")</f>
        <v>0</v>
      </c>
    </row>
    <row r="2331" spans="1:7">
      <c r="A2331" s="3">
        <v>12</v>
      </c>
      <c r="B2331" s="3">
        <v>4</v>
      </c>
      <c r="C2331" s="3">
        <v>67</v>
      </c>
      <c r="D2331" s="3">
        <v>30</v>
      </c>
      <c r="E2331" s="3">
        <v>-222.722</v>
      </c>
      <c r="F2331" s="4" t="str">
        <f>HYPERLINK("http://141.218.60.56/~jnz1568/getInfo.php?workbook=12_04.xlsx&amp;sheet=A0&amp;row=2331&amp;col=6&amp;number=252000&amp;sourceID=14","252000")</f>
        <v>252000</v>
      </c>
      <c r="G2331" s="4" t="str">
        <f>HYPERLINK("http://141.218.60.56/~jnz1568/getInfo.php?workbook=12_04.xlsx&amp;sheet=A0&amp;row=2331&amp;col=7&amp;number=0&amp;sourceID=14","0")</f>
        <v>0</v>
      </c>
    </row>
    <row r="2332" spans="1:7">
      <c r="A2332" s="3">
        <v>12</v>
      </c>
      <c r="B2332" s="3">
        <v>4</v>
      </c>
      <c r="C2332" s="3">
        <v>68</v>
      </c>
      <c r="D2332" s="3">
        <v>30</v>
      </c>
      <c r="E2332" s="3">
        <v>-221.518</v>
      </c>
      <c r="F2332" s="4" t="str">
        <f>HYPERLINK("http://141.218.60.56/~jnz1568/getInfo.php?workbook=12_04.xlsx&amp;sheet=A0&amp;row=2332&amp;col=6&amp;number=0.000155&amp;sourceID=14","0.000155")</f>
        <v>0.000155</v>
      </c>
      <c r="G2332" s="4" t="str">
        <f>HYPERLINK("http://141.218.60.56/~jnz1568/getInfo.php?workbook=12_04.xlsx&amp;sheet=A0&amp;row=2332&amp;col=7&amp;number=0&amp;sourceID=14","0")</f>
        <v>0</v>
      </c>
    </row>
    <row r="2333" spans="1:7">
      <c r="A2333" s="3">
        <v>12</v>
      </c>
      <c r="B2333" s="3">
        <v>4</v>
      </c>
      <c r="C2333" s="3">
        <v>69</v>
      </c>
      <c r="D2333" s="3">
        <v>30</v>
      </c>
      <c r="E2333" s="3">
        <v>-220.106</v>
      </c>
      <c r="F2333" s="4" t="str">
        <f>HYPERLINK("http://141.218.60.56/~jnz1568/getInfo.php?workbook=12_04.xlsx&amp;sheet=A0&amp;row=2333&amp;col=6&amp;number=0.467&amp;sourceID=14","0.467")</f>
        <v>0.467</v>
      </c>
      <c r="G2333" s="4" t="str">
        <f>HYPERLINK("http://141.218.60.56/~jnz1568/getInfo.php?workbook=12_04.xlsx&amp;sheet=A0&amp;row=2333&amp;col=7&amp;number=0&amp;sourceID=14","0")</f>
        <v>0</v>
      </c>
    </row>
    <row r="2334" spans="1:7">
      <c r="A2334" s="3">
        <v>12</v>
      </c>
      <c r="B2334" s="3">
        <v>4</v>
      </c>
      <c r="C2334" s="3">
        <v>71</v>
      </c>
      <c r="D2334" s="3">
        <v>30</v>
      </c>
      <c r="E2334" s="3">
        <v>-218.871</v>
      </c>
      <c r="F2334" s="4" t="str">
        <f>HYPERLINK("http://141.218.60.56/~jnz1568/getInfo.php?workbook=12_04.xlsx&amp;sheet=A0&amp;row=2334&amp;col=6&amp;number=0.0782&amp;sourceID=14","0.0782")</f>
        <v>0.0782</v>
      </c>
      <c r="G2334" s="4" t="str">
        <f>HYPERLINK("http://141.218.60.56/~jnz1568/getInfo.php?workbook=12_04.xlsx&amp;sheet=A0&amp;row=2334&amp;col=7&amp;number=0&amp;sourceID=14","0")</f>
        <v>0</v>
      </c>
    </row>
    <row r="2335" spans="1:7">
      <c r="A2335" s="3">
        <v>12</v>
      </c>
      <c r="B2335" s="3">
        <v>4</v>
      </c>
      <c r="C2335" s="3">
        <v>72</v>
      </c>
      <c r="D2335" s="3">
        <v>30</v>
      </c>
      <c r="E2335" s="3">
        <v>-218.648</v>
      </c>
      <c r="F2335" s="4" t="str">
        <f>HYPERLINK("http://141.218.60.56/~jnz1568/getInfo.php?workbook=12_04.xlsx&amp;sheet=A0&amp;row=2335&amp;col=6&amp;number=45200&amp;sourceID=14","45200")</f>
        <v>45200</v>
      </c>
      <c r="G2335" s="4" t="str">
        <f>HYPERLINK("http://141.218.60.56/~jnz1568/getInfo.php?workbook=12_04.xlsx&amp;sheet=A0&amp;row=2335&amp;col=7&amp;number=0&amp;sourceID=14","0")</f>
        <v>0</v>
      </c>
    </row>
    <row r="2336" spans="1:7">
      <c r="A2336" s="3">
        <v>12</v>
      </c>
      <c r="B2336" s="3">
        <v>4</v>
      </c>
      <c r="C2336" s="3">
        <v>73</v>
      </c>
      <c r="D2336" s="3">
        <v>30</v>
      </c>
      <c r="E2336" s="3">
        <v>-217.206</v>
      </c>
      <c r="F2336" s="4" t="str">
        <f>HYPERLINK("http://141.218.60.56/~jnz1568/getInfo.php?workbook=12_04.xlsx&amp;sheet=A0&amp;row=2336&amp;col=6&amp;number=0.00821&amp;sourceID=14","0.00821")</f>
        <v>0.00821</v>
      </c>
      <c r="G2336" s="4" t="str">
        <f>HYPERLINK("http://141.218.60.56/~jnz1568/getInfo.php?workbook=12_04.xlsx&amp;sheet=A0&amp;row=2336&amp;col=7&amp;number=0&amp;sourceID=14","0")</f>
        <v>0</v>
      </c>
    </row>
    <row r="2337" spans="1:7">
      <c r="A2337" s="3">
        <v>12</v>
      </c>
      <c r="B2337" s="3">
        <v>4</v>
      </c>
      <c r="C2337" s="3">
        <v>74</v>
      </c>
      <c r="D2337" s="3">
        <v>30</v>
      </c>
      <c r="E2337" s="3">
        <v>-216.309</v>
      </c>
      <c r="F2337" s="4" t="str">
        <f>HYPERLINK("http://141.218.60.56/~jnz1568/getInfo.php?workbook=12_04.xlsx&amp;sheet=A0&amp;row=2337&amp;col=6&amp;number=13.8&amp;sourceID=14","13.8")</f>
        <v>13.8</v>
      </c>
      <c r="G2337" s="4" t="str">
        <f>HYPERLINK("http://141.218.60.56/~jnz1568/getInfo.php?workbook=12_04.xlsx&amp;sheet=A0&amp;row=2337&amp;col=7&amp;number=0&amp;sourceID=14","0")</f>
        <v>0</v>
      </c>
    </row>
    <row r="2338" spans="1:7">
      <c r="A2338" s="3">
        <v>12</v>
      </c>
      <c r="B2338" s="3">
        <v>4</v>
      </c>
      <c r="C2338" s="3">
        <v>75</v>
      </c>
      <c r="D2338" s="3">
        <v>30</v>
      </c>
      <c r="E2338" s="3">
        <v>-216.028</v>
      </c>
      <c r="F2338" s="4" t="str">
        <f>HYPERLINK("http://141.218.60.56/~jnz1568/getInfo.php?workbook=12_04.xlsx&amp;sheet=A0&amp;row=2338&amp;col=6&amp;number=9.23&amp;sourceID=14","9.23")</f>
        <v>9.23</v>
      </c>
      <c r="G2338" s="4" t="str">
        <f>HYPERLINK("http://141.218.60.56/~jnz1568/getInfo.php?workbook=12_04.xlsx&amp;sheet=A0&amp;row=2338&amp;col=7&amp;number=0&amp;sourceID=14","0")</f>
        <v>0</v>
      </c>
    </row>
    <row r="2339" spans="1:7">
      <c r="A2339" s="3">
        <v>12</v>
      </c>
      <c r="B2339" s="3">
        <v>4</v>
      </c>
      <c r="C2339" s="3">
        <v>76</v>
      </c>
      <c r="D2339" s="3">
        <v>30</v>
      </c>
      <c r="E2339" s="3">
        <v>-215.526</v>
      </c>
      <c r="F2339" s="4" t="str">
        <f>HYPERLINK("http://141.218.60.56/~jnz1568/getInfo.php?workbook=12_04.xlsx&amp;sheet=A0&amp;row=2339&amp;col=6&amp;number=145&amp;sourceID=14","145")</f>
        <v>145</v>
      </c>
      <c r="G2339" s="4" t="str">
        <f>HYPERLINK("http://141.218.60.56/~jnz1568/getInfo.php?workbook=12_04.xlsx&amp;sheet=A0&amp;row=2339&amp;col=7&amp;number=0&amp;sourceID=14","0")</f>
        <v>0</v>
      </c>
    </row>
    <row r="2340" spans="1:7">
      <c r="A2340" s="3">
        <v>12</v>
      </c>
      <c r="B2340" s="3">
        <v>4</v>
      </c>
      <c r="C2340" s="3">
        <v>78</v>
      </c>
      <c r="D2340" s="3">
        <v>30</v>
      </c>
      <c r="E2340" s="3">
        <v>-213.912</v>
      </c>
      <c r="F2340" s="4" t="str">
        <f>HYPERLINK("http://141.218.60.56/~jnz1568/getInfo.php?workbook=12_04.xlsx&amp;sheet=A0&amp;row=2340&amp;col=6&amp;number=23300000000&amp;sourceID=14","23300000000")</f>
        <v>23300000000</v>
      </c>
      <c r="G2340" s="4" t="str">
        <f>HYPERLINK("http://141.218.60.56/~jnz1568/getInfo.php?workbook=12_04.xlsx&amp;sheet=A0&amp;row=2340&amp;col=7&amp;number=0&amp;sourceID=14","0")</f>
        <v>0</v>
      </c>
    </row>
    <row r="2341" spans="1:7">
      <c r="A2341" s="3">
        <v>12</v>
      </c>
      <c r="B2341" s="3">
        <v>4</v>
      </c>
      <c r="C2341" s="3">
        <v>79</v>
      </c>
      <c r="D2341" s="3">
        <v>30</v>
      </c>
      <c r="E2341" s="3">
        <v>-213.63</v>
      </c>
      <c r="F2341" s="4" t="str">
        <f>HYPERLINK("http://141.218.60.56/~jnz1568/getInfo.php?workbook=12_04.xlsx&amp;sheet=A0&amp;row=2341&amp;col=6&amp;number=15.3&amp;sourceID=14","15.3")</f>
        <v>15.3</v>
      </c>
      <c r="G2341" s="4" t="str">
        <f>HYPERLINK("http://141.218.60.56/~jnz1568/getInfo.php?workbook=12_04.xlsx&amp;sheet=A0&amp;row=2341&amp;col=7&amp;number=0&amp;sourceID=14","0")</f>
        <v>0</v>
      </c>
    </row>
    <row r="2342" spans="1:7">
      <c r="A2342" s="3">
        <v>12</v>
      </c>
      <c r="B2342" s="3">
        <v>4</v>
      </c>
      <c r="C2342" s="3">
        <v>80</v>
      </c>
      <c r="D2342" s="3">
        <v>30</v>
      </c>
      <c r="E2342" s="3">
        <v>-213.065</v>
      </c>
      <c r="F2342" s="4" t="str">
        <f>HYPERLINK("http://141.218.60.56/~jnz1568/getInfo.php?workbook=12_04.xlsx&amp;sheet=A0&amp;row=2342&amp;col=6&amp;number=0.000292&amp;sourceID=14","0.000292")</f>
        <v>0.000292</v>
      </c>
      <c r="G2342" s="4" t="str">
        <f>HYPERLINK("http://141.218.60.56/~jnz1568/getInfo.php?workbook=12_04.xlsx&amp;sheet=A0&amp;row=2342&amp;col=7&amp;number=0&amp;sourceID=14","0")</f>
        <v>0</v>
      </c>
    </row>
    <row r="2343" spans="1:7">
      <c r="A2343" s="3">
        <v>12</v>
      </c>
      <c r="B2343" s="3">
        <v>4</v>
      </c>
      <c r="C2343" s="3">
        <v>81</v>
      </c>
      <c r="D2343" s="3">
        <v>30</v>
      </c>
      <c r="E2343" s="3">
        <v>-213.052</v>
      </c>
      <c r="F2343" s="4" t="str">
        <f>HYPERLINK("http://141.218.60.56/~jnz1568/getInfo.php?workbook=12_04.xlsx&amp;sheet=A0&amp;row=2343&amp;col=6&amp;number=3.04&amp;sourceID=14","3.04")</f>
        <v>3.04</v>
      </c>
      <c r="G2343" s="4" t="str">
        <f>HYPERLINK("http://141.218.60.56/~jnz1568/getInfo.php?workbook=12_04.xlsx&amp;sheet=A0&amp;row=2343&amp;col=7&amp;number=0&amp;sourceID=14","0")</f>
        <v>0</v>
      </c>
    </row>
    <row r="2344" spans="1:7">
      <c r="A2344" s="3">
        <v>12</v>
      </c>
      <c r="B2344" s="3">
        <v>4</v>
      </c>
      <c r="C2344" s="3">
        <v>82</v>
      </c>
      <c r="D2344" s="3">
        <v>30</v>
      </c>
      <c r="E2344" s="3">
        <v>-212.9</v>
      </c>
      <c r="F2344" s="4" t="str">
        <f>HYPERLINK("http://141.218.60.56/~jnz1568/getInfo.php?workbook=12_04.xlsx&amp;sheet=A0&amp;row=2344&amp;col=6&amp;number=1540000&amp;sourceID=14","1540000")</f>
        <v>1540000</v>
      </c>
      <c r="G2344" s="4" t="str">
        <f>HYPERLINK("http://141.218.60.56/~jnz1568/getInfo.php?workbook=12_04.xlsx&amp;sheet=A0&amp;row=2344&amp;col=7&amp;number=0&amp;sourceID=14","0")</f>
        <v>0</v>
      </c>
    </row>
    <row r="2345" spans="1:7">
      <c r="A2345" s="3">
        <v>12</v>
      </c>
      <c r="B2345" s="3">
        <v>4</v>
      </c>
      <c r="C2345" s="3">
        <v>83</v>
      </c>
      <c r="D2345" s="3">
        <v>30</v>
      </c>
      <c r="E2345" s="3">
        <v>-212.898</v>
      </c>
      <c r="F2345" s="4" t="str">
        <f>HYPERLINK("http://141.218.60.56/~jnz1568/getInfo.php?workbook=12_04.xlsx&amp;sheet=A0&amp;row=2345&amp;col=6&amp;number=0.000533&amp;sourceID=14","0.000533")</f>
        <v>0.000533</v>
      </c>
      <c r="G2345" s="4" t="str">
        <f>HYPERLINK("http://141.218.60.56/~jnz1568/getInfo.php?workbook=12_04.xlsx&amp;sheet=A0&amp;row=2345&amp;col=7&amp;number=0&amp;sourceID=14","0")</f>
        <v>0</v>
      </c>
    </row>
    <row r="2346" spans="1:7">
      <c r="A2346" s="3">
        <v>12</v>
      </c>
      <c r="B2346" s="3">
        <v>4</v>
      </c>
      <c r="C2346" s="3">
        <v>84</v>
      </c>
      <c r="D2346" s="3">
        <v>30</v>
      </c>
      <c r="E2346" s="3">
        <v>-212.751</v>
      </c>
      <c r="F2346" s="4" t="str">
        <f>HYPERLINK("http://141.218.60.56/~jnz1568/getInfo.php?workbook=12_04.xlsx&amp;sheet=A0&amp;row=2346&amp;col=6&amp;number=0.000251&amp;sourceID=14","0.000251")</f>
        <v>0.000251</v>
      </c>
      <c r="G2346" s="4" t="str">
        <f>HYPERLINK("http://141.218.60.56/~jnz1568/getInfo.php?workbook=12_04.xlsx&amp;sheet=A0&amp;row=2346&amp;col=7&amp;number=0&amp;sourceID=14","0")</f>
        <v>0</v>
      </c>
    </row>
    <row r="2347" spans="1:7">
      <c r="A2347" s="3">
        <v>12</v>
      </c>
      <c r="B2347" s="3">
        <v>4</v>
      </c>
      <c r="C2347" s="3">
        <v>85</v>
      </c>
      <c r="D2347" s="3">
        <v>30</v>
      </c>
      <c r="E2347" s="3">
        <v>-212.084</v>
      </c>
      <c r="F2347" s="4" t="str">
        <f>HYPERLINK("http://141.218.60.56/~jnz1568/getInfo.php?workbook=12_04.xlsx&amp;sheet=A0&amp;row=2347&amp;col=6&amp;number=0.939&amp;sourceID=14","0.939")</f>
        <v>0.939</v>
      </c>
      <c r="G2347" s="4" t="str">
        <f>HYPERLINK("http://141.218.60.56/~jnz1568/getInfo.php?workbook=12_04.xlsx&amp;sheet=A0&amp;row=2347&amp;col=7&amp;number=0&amp;sourceID=14","0")</f>
        <v>0</v>
      </c>
    </row>
    <row r="2348" spans="1:7">
      <c r="A2348" s="3">
        <v>12</v>
      </c>
      <c r="B2348" s="3">
        <v>4</v>
      </c>
      <c r="C2348" s="3">
        <v>86</v>
      </c>
      <c r="D2348" s="3">
        <v>30</v>
      </c>
      <c r="E2348" s="3">
        <v>-211.806</v>
      </c>
      <c r="F2348" s="4" t="str">
        <f>HYPERLINK("http://141.218.60.56/~jnz1568/getInfo.php?workbook=12_04.xlsx&amp;sheet=A0&amp;row=2348&amp;col=6&amp;number=1200000000&amp;sourceID=14","1200000000")</f>
        <v>1200000000</v>
      </c>
      <c r="G2348" s="4" t="str">
        <f>HYPERLINK("http://141.218.60.56/~jnz1568/getInfo.php?workbook=12_04.xlsx&amp;sheet=A0&amp;row=2348&amp;col=7&amp;number=0&amp;sourceID=14","0")</f>
        <v>0</v>
      </c>
    </row>
    <row r="2349" spans="1:7">
      <c r="A2349" s="3">
        <v>12</v>
      </c>
      <c r="B2349" s="3">
        <v>4</v>
      </c>
      <c r="C2349" s="3">
        <v>88</v>
      </c>
      <c r="D2349" s="3">
        <v>30</v>
      </c>
      <c r="E2349" s="3">
        <v>-211.306</v>
      </c>
      <c r="F2349" s="4" t="str">
        <f>HYPERLINK("http://141.218.60.56/~jnz1568/getInfo.php?workbook=12_04.xlsx&amp;sheet=A0&amp;row=2349&amp;col=6&amp;number=0.00165&amp;sourceID=14","0.00165")</f>
        <v>0.00165</v>
      </c>
      <c r="G2349" s="4" t="str">
        <f>HYPERLINK("http://141.218.60.56/~jnz1568/getInfo.php?workbook=12_04.xlsx&amp;sheet=A0&amp;row=2349&amp;col=7&amp;number=0&amp;sourceID=14","0")</f>
        <v>0</v>
      </c>
    </row>
    <row r="2350" spans="1:7">
      <c r="A2350" s="3">
        <v>12</v>
      </c>
      <c r="B2350" s="3">
        <v>4</v>
      </c>
      <c r="C2350" s="3">
        <v>89</v>
      </c>
      <c r="D2350" s="3">
        <v>30</v>
      </c>
      <c r="E2350" s="3">
        <v>-211.1</v>
      </c>
      <c r="F2350" s="4" t="str">
        <f>HYPERLINK("http://141.218.60.56/~jnz1568/getInfo.php?workbook=12_04.xlsx&amp;sheet=A0&amp;row=2350&amp;col=6&amp;number=4.11e-05&amp;sourceID=14","4.11e-05")</f>
        <v>4.11e-05</v>
      </c>
      <c r="G2350" s="4" t="str">
        <f>HYPERLINK("http://141.218.60.56/~jnz1568/getInfo.php?workbook=12_04.xlsx&amp;sheet=A0&amp;row=2350&amp;col=7&amp;number=0&amp;sourceID=14","0")</f>
        <v>0</v>
      </c>
    </row>
    <row r="2351" spans="1:7">
      <c r="A2351" s="3">
        <v>12</v>
      </c>
      <c r="B2351" s="3">
        <v>4</v>
      </c>
      <c r="C2351" s="3">
        <v>91</v>
      </c>
      <c r="D2351" s="3">
        <v>30</v>
      </c>
      <c r="E2351" s="3">
        <v>-209.951</v>
      </c>
      <c r="F2351" s="4" t="str">
        <f>HYPERLINK("http://141.218.60.56/~jnz1568/getInfo.php?workbook=12_04.xlsx&amp;sheet=A0&amp;row=2351&amp;col=6&amp;number=0.000115&amp;sourceID=14","0.000115")</f>
        <v>0.000115</v>
      </c>
      <c r="G2351" s="4" t="str">
        <f>HYPERLINK("http://141.218.60.56/~jnz1568/getInfo.php?workbook=12_04.xlsx&amp;sheet=A0&amp;row=2351&amp;col=7&amp;number=0&amp;sourceID=14","0")</f>
        <v>0</v>
      </c>
    </row>
    <row r="2352" spans="1:7">
      <c r="A2352" s="3">
        <v>12</v>
      </c>
      <c r="B2352" s="3">
        <v>4</v>
      </c>
      <c r="C2352" s="3">
        <v>92</v>
      </c>
      <c r="D2352" s="3">
        <v>30</v>
      </c>
      <c r="E2352" s="3">
        <v>-209.824</v>
      </c>
      <c r="F2352" s="4" t="str">
        <f>HYPERLINK("http://141.218.60.56/~jnz1568/getInfo.php?workbook=12_04.xlsx&amp;sheet=A0&amp;row=2352&amp;col=6&amp;number=3.68e-05&amp;sourceID=14","3.68e-05")</f>
        <v>3.68e-05</v>
      </c>
      <c r="G2352" s="4" t="str">
        <f>HYPERLINK("http://141.218.60.56/~jnz1568/getInfo.php?workbook=12_04.xlsx&amp;sheet=A0&amp;row=2352&amp;col=7&amp;number=0&amp;sourceID=14","0")</f>
        <v>0</v>
      </c>
    </row>
    <row r="2353" spans="1:7">
      <c r="A2353" s="3">
        <v>12</v>
      </c>
      <c r="B2353" s="3">
        <v>4</v>
      </c>
      <c r="C2353" s="3">
        <v>93</v>
      </c>
      <c r="D2353" s="3">
        <v>30</v>
      </c>
      <c r="E2353" s="3">
        <v>-209.709</v>
      </c>
      <c r="F2353" s="4" t="str">
        <f>HYPERLINK("http://141.218.60.56/~jnz1568/getInfo.php?workbook=12_04.xlsx&amp;sheet=A0&amp;row=2353&amp;col=6&amp;number=215000&amp;sourceID=14","215000")</f>
        <v>215000</v>
      </c>
      <c r="G2353" s="4" t="str">
        <f>HYPERLINK("http://141.218.60.56/~jnz1568/getInfo.php?workbook=12_04.xlsx&amp;sheet=A0&amp;row=2353&amp;col=7&amp;number=0&amp;sourceID=14","0")</f>
        <v>0</v>
      </c>
    </row>
    <row r="2354" spans="1:7">
      <c r="A2354" s="3">
        <v>12</v>
      </c>
      <c r="B2354" s="3">
        <v>4</v>
      </c>
      <c r="C2354" s="3">
        <v>94</v>
      </c>
      <c r="D2354" s="3">
        <v>30</v>
      </c>
      <c r="E2354" s="3">
        <v>-209.284</v>
      </c>
      <c r="F2354" s="4" t="str">
        <f>HYPERLINK("http://141.218.60.56/~jnz1568/getInfo.php?workbook=12_04.xlsx&amp;sheet=A0&amp;row=2354&amp;col=6&amp;number=0.000342&amp;sourceID=14","0.000342")</f>
        <v>0.000342</v>
      </c>
      <c r="G2354" s="4" t="str">
        <f>HYPERLINK("http://141.218.60.56/~jnz1568/getInfo.php?workbook=12_04.xlsx&amp;sheet=A0&amp;row=2354&amp;col=7&amp;number=0&amp;sourceID=14","0")</f>
        <v>0</v>
      </c>
    </row>
    <row r="2355" spans="1:7">
      <c r="A2355" s="3">
        <v>12</v>
      </c>
      <c r="B2355" s="3">
        <v>4</v>
      </c>
      <c r="C2355" s="3">
        <v>96</v>
      </c>
      <c r="D2355" s="3">
        <v>30</v>
      </c>
      <c r="E2355" s="3">
        <v>-208.751</v>
      </c>
      <c r="F2355" s="4" t="str">
        <f>HYPERLINK("http://141.218.60.56/~jnz1568/getInfo.php?workbook=12_04.xlsx&amp;sheet=A0&amp;row=2355&amp;col=6&amp;number=160000&amp;sourceID=14","160000")</f>
        <v>160000</v>
      </c>
      <c r="G2355" s="4" t="str">
        <f>HYPERLINK("http://141.218.60.56/~jnz1568/getInfo.php?workbook=12_04.xlsx&amp;sheet=A0&amp;row=2355&amp;col=7&amp;number=0&amp;sourceID=14","0")</f>
        <v>0</v>
      </c>
    </row>
    <row r="2356" spans="1:7">
      <c r="A2356" s="3">
        <v>12</v>
      </c>
      <c r="B2356" s="3">
        <v>4</v>
      </c>
      <c r="C2356" s="3">
        <v>97</v>
      </c>
      <c r="D2356" s="3">
        <v>30</v>
      </c>
      <c r="E2356" s="3">
        <v>-207.668</v>
      </c>
      <c r="F2356" s="4" t="str">
        <f>HYPERLINK("http://141.218.60.56/~jnz1568/getInfo.php?workbook=12_04.xlsx&amp;sheet=A0&amp;row=2356&amp;col=6&amp;number=0.0736&amp;sourceID=14","0.0736")</f>
        <v>0.0736</v>
      </c>
      <c r="G2356" s="4" t="str">
        <f>HYPERLINK("http://141.218.60.56/~jnz1568/getInfo.php?workbook=12_04.xlsx&amp;sheet=A0&amp;row=2356&amp;col=7&amp;number=0&amp;sourceID=14","0")</f>
        <v>0</v>
      </c>
    </row>
    <row r="2357" spans="1:7">
      <c r="A2357" s="3">
        <v>12</v>
      </c>
      <c r="B2357" s="3">
        <v>4</v>
      </c>
      <c r="C2357" s="3">
        <v>98</v>
      </c>
      <c r="D2357" s="3">
        <v>30</v>
      </c>
      <c r="E2357" s="3">
        <v>-207.154</v>
      </c>
      <c r="F2357" s="4" t="str">
        <f>HYPERLINK("http://141.218.60.56/~jnz1568/getInfo.php?workbook=12_04.xlsx&amp;sheet=A0&amp;row=2357&amp;col=6&amp;number=187000000&amp;sourceID=14","187000000")</f>
        <v>187000000</v>
      </c>
      <c r="G2357" s="4" t="str">
        <f>HYPERLINK("http://141.218.60.56/~jnz1568/getInfo.php?workbook=12_04.xlsx&amp;sheet=A0&amp;row=2357&amp;col=7&amp;number=0&amp;sourceID=14","0")</f>
        <v>0</v>
      </c>
    </row>
    <row r="2358" spans="1:7">
      <c r="A2358" s="3">
        <v>12</v>
      </c>
      <c r="B2358" s="3">
        <v>4</v>
      </c>
      <c r="C2358" s="3">
        <v>32</v>
      </c>
      <c r="D2358" s="3">
        <v>31</v>
      </c>
      <c r="E2358" s="3">
        <v>76923.219</v>
      </c>
      <c r="F2358" s="4" t="str">
        <f>HYPERLINK("http://141.218.60.56/~jnz1568/getInfo.php?workbook=12_04.xlsx&amp;sheet=A0&amp;row=2358&amp;col=6&amp;number=0.029&amp;sourceID=14","0.029")</f>
        <v>0.029</v>
      </c>
      <c r="G2358" s="4" t="str">
        <f>HYPERLINK("http://141.218.60.56/~jnz1568/getInfo.php?workbook=12_04.xlsx&amp;sheet=A0&amp;row=2358&amp;col=7&amp;number=0&amp;sourceID=14","0")</f>
        <v>0</v>
      </c>
    </row>
    <row r="2359" spans="1:7">
      <c r="A2359" s="3">
        <v>12</v>
      </c>
      <c r="B2359" s="3">
        <v>4</v>
      </c>
      <c r="C2359" s="3">
        <v>33</v>
      </c>
      <c r="D2359" s="3">
        <v>31</v>
      </c>
      <c r="E2359" s="3">
        <v>-14042.997</v>
      </c>
      <c r="F2359" s="4" t="str">
        <f>HYPERLINK("http://141.218.60.56/~jnz1568/getInfo.php?workbook=12_04.xlsx&amp;sheet=A0&amp;row=2359&amp;col=6&amp;number=6.84&amp;sourceID=14","6.84")</f>
        <v>6.84</v>
      </c>
      <c r="G2359" s="4" t="str">
        <f>HYPERLINK("http://141.218.60.56/~jnz1568/getInfo.php?workbook=12_04.xlsx&amp;sheet=A0&amp;row=2359&amp;col=7&amp;number=0&amp;sourceID=14","0")</f>
        <v>0</v>
      </c>
    </row>
    <row r="2360" spans="1:7">
      <c r="A2360" s="3">
        <v>12</v>
      </c>
      <c r="B2360" s="3">
        <v>4</v>
      </c>
      <c r="C2360" s="3">
        <v>34</v>
      </c>
      <c r="D2360" s="3">
        <v>31</v>
      </c>
      <c r="E2360" s="3">
        <v>-10908.714</v>
      </c>
      <c r="F2360" s="4" t="str">
        <f>HYPERLINK("http://141.218.60.56/~jnz1568/getInfo.php?workbook=12_04.xlsx&amp;sheet=A0&amp;row=2360&amp;col=6&amp;number=4.22e-08&amp;sourceID=14","4.22e-08")</f>
        <v>4.22e-08</v>
      </c>
      <c r="G2360" s="4" t="str">
        <f>HYPERLINK("http://141.218.60.56/~jnz1568/getInfo.php?workbook=12_04.xlsx&amp;sheet=A0&amp;row=2360&amp;col=7&amp;number=0&amp;sourceID=14","0")</f>
        <v>0</v>
      </c>
    </row>
    <row r="2361" spans="1:7">
      <c r="A2361" s="3">
        <v>12</v>
      </c>
      <c r="B2361" s="3">
        <v>4</v>
      </c>
      <c r="C2361" s="3">
        <v>35</v>
      </c>
      <c r="D2361" s="3">
        <v>31</v>
      </c>
      <c r="E2361" s="3">
        <v>9132.436</v>
      </c>
      <c r="F2361" s="4" t="str">
        <f>HYPERLINK("http://141.218.60.56/~jnz1568/getInfo.php?workbook=12_04.xlsx&amp;sheet=A0&amp;row=2361&amp;col=6&amp;number=362&amp;sourceID=14","362")</f>
        <v>362</v>
      </c>
      <c r="G2361" s="4" t="str">
        <f>HYPERLINK("http://141.218.60.56/~jnz1568/getInfo.php?workbook=12_04.xlsx&amp;sheet=A0&amp;row=2361&amp;col=7&amp;number=0&amp;sourceID=14","0")</f>
        <v>0</v>
      </c>
    </row>
    <row r="2362" spans="1:7">
      <c r="A2362" s="3">
        <v>12</v>
      </c>
      <c r="B2362" s="3">
        <v>4</v>
      </c>
      <c r="C2362" s="3">
        <v>36</v>
      </c>
      <c r="D2362" s="3">
        <v>31</v>
      </c>
      <c r="E2362" s="3">
        <v>-8942.961</v>
      </c>
      <c r="F2362" s="4" t="str">
        <f>HYPERLINK("http://141.218.60.56/~jnz1568/getInfo.php?workbook=12_04.xlsx&amp;sheet=A0&amp;row=2362&amp;col=6&amp;number=3.17e-11&amp;sourceID=14","3.17e-11")</f>
        <v>3.17e-11</v>
      </c>
      <c r="G2362" s="4" t="str">
        <f>HYPERLINK("http://141.218.60.56/~jnz1568/getInfo.php?workbook=12_04.xlsx&amp;sheet=A0&amp;row=2362&amp;col=7&amp;number=0&amp;sourceID=14","0")</f>
        <v>0</v>
      </c>
    </row>
    <row r="2363" spans="1:7">
      <c r="A2363" s="3">
        <v>12</v>
      </c>
      <c r="B2363" s="3">
        <v>4</v>
      </c>
      <c r="C2363" s="3">
        <v>37</v>
      </c>
      <c r="D2363" s="3">
        <v>31</v>
      </c>
      <c r="E2363" s="3">
        <v>5820.732</v>
      </c>
      <c r="F2363" s="4" t="str">
        <f>HYPERLINK("http://141.218.60.56/~jnz1568/getInfo.php?workbook=12_04.xlsx&amp;sheet=A0&amp;row=2363&amp;col=6&amp;number=0.236&amp;sourceID=14","0.236")</f>
        <v>0.236</v>
      </c>
      <c r="G2363" s="4" t="str">
        <f>HYPERLINK("http://141.218.60.56/~jnz1568/getInfo.php?workbook=12_04.xlsx&amp;sheet=A0&amp;row=2363&amp;col=7&amp;number=0&amp;sourceID=14","0")</f>
        <v>0</v>
      </c>
    </row>
    <row r="2364" spans="1:7">
      <c r="A2364" s="3">
        <v>12</v>
      </c>
      <c r="B2364" s="3">
        <v>4</v>
      </c>
      <c r="C2364" s="3">
        <v>38</v>
      </c>
      <c r="D2364" s="3">
        <v>31</v>
      </c>
      <c r="E2364" s="3">
        <v>3492.846</v>
      </c>
      <c r="F2364" s="4" t="str">
        <f>HYPERLINK("http://141.218.60.56/~jnz1568/getInfo.php?workbook=12_04.xlsx&amp;sheet=A0&amp;row=2364&amp;col=6&amp;number=6230000&amp;sourceID=14","6230000")</f>
        <v>6230000</v>
      </c>
      <c r="G2364" s="4" t="str">
        <f>HYPERLINK("http://141.218.60.56/~jnz1568/getInfo.php?workbook=12_04.xlsx&amp;sheet=A0&amp;row=2364&amp;col=7&amp;number=0&amp;sourceID=14","0")</f>
        <v>0</v>
      </c>
    </row>
    <row r="2365" spans="1:7">
      <c r="A2365" s="3">
        <v>12</v>
      </c>
      <c r="B2365" s="3">
        <v>4</v>
      </c>
      <c r="C2365" s="3">
        <v>39</v>
      </c>
      <c r="D2365" s="3">
        <v>31</v>
      </c>
      <c r="E2365" s="3">
        <v>3428.186</v>
      </c>
      <c r="F2365" s="4" t="str">
        <f>HYPERLINK("http://141.218.60.56/~jnz1568/getInfo.php?workbook=12_04.xlsx&amp;sheet=A0&amp;row=2365&amp;col=6&amp;number=14300000&amp;sourceID=14","14300000")</f>
        <v>14300000</v>
      </c>
      <c r="G2365" s="4" t="str">
        <f>HYPERLINK("http://141.218.60.56/~jnz1568/getInfo.php?workbook=12_04.xlsx&amp;sheet=A0&amp;row=2365&amp;col=7&amp;number=0&amp;sourceID=14","0")</f>
        <v>0</v>
      </c>
    </row>
    <row r="2366" spans="1:7">
      <c r="A2366" s="3">
        <v>12</v>
      </c>
      <c r="B2366" s="3">
        <v>4</v>
      </c>
      <c r="C2366" s="3">
        <v>40</v>
      </c>
      <c r="D2366" s="3">
        <v>31</v>
      </c>
      <c r="E2366" s="3">
        <v>3314.557</v>
      </c>
      <c r="F2366" s="4" t="str">
        <f>HYPERLINK("http://141.218.60.56/~jnz1568/getInfo.php?workbook=12_04.xlsx&amp;sheet=A0&amp;row=2366&amp;col=6&amp;number=3.28e-05&amp;sourceID=14","3.28e-05")</f>
        <v>3.28e-05</v>
      </c>
      <c r="G2366" s="4" t="str">
        <f>HYPERLINK("http://141.218.60.56/~jnz1568/getInfo.php?workbook=12_04.xlsx&amp;sheet=A0&amp;row=2366&amp;col=7&amp;number=0&amp;sourceID=14","0")</f>
        <v>0</v>
      </c>
    </row>
    <row r="2367" spans="1:7">
      <c r="A2367" s="3">
        <v>12</v>
      </c>
      <c r="B2367" s="3">
        <v>4</v>
      </c>
      <c r="C2367" s="3">
        <v>41</v>
      </c>
      <c r="D2367" s="3">
        <v>31</v>
      </c>
      <c r="E2367" s="3">
        <v>2737.481</v>
      </c>
      <c r="F2367" s="4" t="str">
        <f>HYPERLINK("http://141.218.60.56/~jnz1568/getInfo.php?workbook=12_04.xlsx&amp;sheet=A0&amp;row=2367&amp;col=6&amp;number=39200&amp;sourceID=14","39200")</f>
        <v>39200</v>
      </c>
      <c r="G2367" s="4" t="str">
        <f>HYPERLINK("http://141.218.60.56/~jnz1568/getInfo.php?workbook=12_04.xlsx&amp;sheet=A0&amp;row=2367&amp;col=7&amp;number=0&amp;sourceID=14","0")</f>
        <v>0</v>
      </c>
    </row>
    <row r="2368" spans="1:7">
      <c r="A2368" s="3">
        <v>12</v>
      </c>
      <c r="B2368" s="3">
        <v>4</v>
      </c>
      <c r="C2368" s="3">
        <v>42</v>
      </c>
      <c r="D2368" s="3">
        <v>31</v>
      </c>
      <c r="E2368" s="3">
        <v>2665.25</v>
      </c>
      <c r="F2368" s="4" t="str">
        <f>HYPERLINK("http://141.218.60.56/~jnz1568/getInfo.php?workbook=12_04.xlsx&amp;sheet=A0&amp;row=2368&amp;col=6&amp;number=11000000&amp;sourceID=14","11000000")</f>
        <v>11000000</v>
      </c>
      <c r="G2368" s="4" t="str">
        <f>HYPERLINK("http://141.218.60.56/~jnz1568/getInfo.php?workbook=12_04.xlsx&amp;sheet=A0&amp;row=2368&amp;col=7&amp;number=0&amp;sourceID=14","0")</f>
        <v>0</v>
      </c>
    </row>
    <row r="2369" spans="1:7">
      <c r="A2369" s="3">
        <v>12</v>
      </c>
      <c r="B2369" s="3">
        <v>4</v>
      </c>
      <c r="C2369" s="3">
        <v>43</v>
      </c>
      <c r="D2369" s="3">
        <v>31</v>
      </c>
      <c r="E2369" s="3">
        <v>2628.817</v>
      </c>
      <c r="F2369" s="4" t="str">
        <f>HYPERLINK("http://141.218.60.56/~jnz1568/getInfo.php?workbook=12_04.xlsx&amp;sheet=A0&amp;row=2369&amp;col=6&amp;number=26300000&amp;sourceID=14","26300000")</f>
        <v>26300000</v>
      </c>
      <c r="G2369" s="4" t="str">
        <f>HYPERLINK("http://141.218.60.56/~jnz1568/getInfo.php?workbook=12_04.xlsx&amp;sheet=A0&amp;row=2369&amp;col=7&amp;number=0&amp;sourceID=14","0")</f>
        <v>0</v>
      </c>
    </row>
    <row r="2370" spans="1:7">
      <c r="A2370" s="3">
        <v>12</v>
      </c>
      <c r="B2370" s="3">
        <v>4</v>
      </c>
      <c r="C2370" s="3">
        <v>44</v>
      </c>
      <c r="D2370" s="3">
        <v>31</v>
      </c>
      <c r="E2370" s="3">
        <v>-1891.113</v>
      </c>
      <c r="F2370" s="4" t="str">
        <f>HYPERLINK("http://141.218.60.56/~jnz1568/getInfo.php?workbook=12_04.xlsx&amp;sheet=A0&amp;row=2370&amp;col=6&amp;number=14.5&amp;sourceID=14","14.5")</f>
        <v>14.5</v>
      </c>
      <c r="G2370" s="4" t="str">
        <f>HYPERLINK("http://141.218.60.56/~jnz1568/getInfo.php?workbook=12_04.xlsx&amp;sheet=A0&amp;row=2370&amp;col=7&amp;number=0&amp;sourceID=14","0")</f>
        <v>0</v>
      </c>
    </row>
    <row r="2371" spans="1:7">
      <c r="A2371" s="3">
        <v>12</v>
      </c>
      <c r="B2371" s="3">
        <v>4</v>
      </c>
      <c r="C2371" s="3">
        <v>45</v>
      </c>
      <c r="D2371" s="3">
        <v>31</v>
      </c>
      <c r="E2371" s="3">
        <v>1785.717</v>
      </c>
      <c r="F2371" s="4" t="str">
        <f>HYPERLINK("http://141.218.60.56/~jnz1568/getInfo.php?workbook=12_04.xlsx&amp;sheet=A0&amp;row=2371&amp;col=6&amp;number=1.07e-06&amp;sourceID=14","1.07e-06")</f>
        <v>1.07e-06</v>
      </c>
      <c r="G2371" s="4" t="str">
        <f>HYPERLINK("http://141.218.60.56/~jnz1568/getInfo.php?workbook=12_04.xlsx&amp;sheet=A0&amp;row=2371&amp;col=7&amp;number=0&amp;sourceID=14","0")</f>
        <v>0</v>
      </c>
    </row>
    <row r="2372" spans="1:7">
      <c r="A2372" s="3">
        <v>12</v>
      </c>
      <c r="B2372" s="3">
        <v>4</v>
      </c>
      <c r="C2372" s="3">
        <v>46</v>
      </c>
      <c r="D2372" s="3">
        <v>31</v>
      </c>
      <c r="E2372" s="3">
        <v>1590.587</v>
      </c>
      <c r="F2372" s="4" t="str">
        <f>HYPERLINK("http://141.218.60.56/~jnz1568/getInfo.php?workbook=12_04.xlsx&amp;sheet=A0&amp;row=2372&amp;col=6&amp;number=142000&amp;sourceID=14","142000")</f>
        <v>142000</v>
      </c>
      <c r="G2372" s="4" t="str">
        <f>HYPERLINK("http://141.218.60.56/~jnz1568/getInfo.php?workbook=12_04.xlsx&amp;sheet=A0&amp;row=2372&amp;col=7&amp;number=0&amp;sourceID=14","0")</f>
        <v>0</v>
      </c>
    </row>
    <row r="2373" spans="1:7">
      <c r="A2373" s="3">
        <v>12</v>
      </c>
      <c r="B2373" s="3">
        <v>4</v>
      </c>
      <c r="C2373" s="3">
        <v>47</v>
      </c>
      <c r="D2373" s="3">
        <v>31</v>
      </c>
      <c r="E2373" s="3">
        <v>-382.728</v>
      </c>
      <c r="F2373" s="4" t="str">
        <f>HYPERLINK("http://141.218.60.56/~jnz1568/getInfo.php?workbook=12_04.xlsx&amp;sheet=A0&amp;row=2373&amp;col=6&amp;number=0.0935&amp;sourceID=14","0.0935")</f>
        <v>0.0935</v>
      </c>
      <c r="G2373" s="4" t="str">
        <f>HYPERLINK("http://141.218.60.56/~jnz1568/getInfo.php?workbook=12_04.xlsx&amp;sheet=A0&amp;row=2373&amp;col=7&amp;number=0&amp;sourceID=14","0")</f>
        <v>0</v>
      </c>
    </row>
    <row r="2374" spans="1:7">
      <c r="A2374" s="3">
        <v>12</v>
      </c>
      <c r="B2374" s="3">
        <v>4</v>
      </c>
      <c r="C2374" s="3">
        <v>48</v>
      </c>
      <c r="D2374" s="3">
        <v>31</v>
      </c>
      <c r="E2374" s="3">
        <v>-368.524</v>
      </c>
      <c r="F2374" s="4" t="str">
        <f>HYPERLINK("http://141.218.60.56/~jnz1568/getInfo.php?workbook=12_04.xlsx&amp;sheet=A0&amp;row=2374&amp;col=6&amp;number=0.537&amp;sourceID=14","0.537")</f>
        <v>0.537</v>
      </c>
      <c r="G2374" s="4" t="str">
        <f>HYPERLINK("http://141.218.60.56/~jnz1568/getInfo.php?workbook=12_04.xlsx&amp;sheet=A0&amp;row=2374&amp;col=7&amp;number=0&amp;sourceID=14","0")</f>
        <v>0</v>
      </c>
    </row>
    <row r="2375" spans="1:7">
      <c r="A2375" s="3">
        <v>12</v>
      </c>
      <c r="B2375" s="3">
        <v>4</v>
      </c>
      <c r="C2375" s="3">
        <v>49</v>
      </c>
      <c r="D2375" s="3">
        <v>31</v>
      </c>
      <c r="E2375" s="3">
        <v>-349.798</v>
      </c>
      <c r="F2375" s="4" t="str">
        <f>HYPERLINK("http://141.218.60.56/~jnz1568/getInfo.php?workbook=12_04.xlsx&amp;sheet=A0&amp;row=2375&amp;col=6&amp;number=4270000&amp;sourceID=14","4270000")</f>
        <v>4270000</v>
      </c>
      <c r="G2375" s="4" t="str">
        <f>HYPERLINK("http://141.218.60.56/~jnz1568/getInfo.php?workbook=12_04.xlsx&amp;sheet=A0&amp;row=2375&amp;col=7&amp;number=0&amp;sourceID=14","0")</f>
        <v>0</v>
      </c>
    </row>
    <row r="2376" spans="1:7">
      <c r="A2376" s="3">
        <v>12</v>
      </c>
      <c r="B2376" s="3">
        <v>4</v>
      </c>
      <c r="C2376" s="3">
        <v>50</v>
      </c>
      <c r="D2376" s="3">
        <v>31</v>
      </c>
      <c r="E2376" s="3">
        <v>-349.656</v>
      </c>
      <c r="F2376" s="4" t="str">
        <f>HYPERLINK("http://141.218.60.56/~jnz1568/getInfo.php?workbook=12_04.xlsx&amp;sheet=A0&amp;row=2376&amp;col=6&amp;number=32900&amp;sourceID=14","32900")</f>
        <v>32900</v>
      </c>
      <c r="G2376" s="4" t="str">
        <f>HYPERLINK("http://141.218.60.56/~jnz1568/getInfo.php?workbook=12_04.xlsx&amp;sheet=A0&amp;row=2376&amp;col=7&amp;number=0&amp;sourceID=14","0")</f>
        <v>0</v>
      </c>
    </row>
    <row r="2377" spans="1:7">
      <c r="A2377" s="3">
        <v>12</v>
      </c>
      <c r="B2377" s="3">
        <v>4</v>
      </c>
      <c r="C2377" s="3">
        <v>51</v>
      </c>
      <c r="D2377" s="3">
        <v>31</v>
      </c>
      <c r="E2377" s="3">
        <v>-349.336</v>
      </c>
      <c r="F2377" s="4" t="str">
        <f>HYPERLINK("http://141.218.60.56/~jnz1568/getInfo.php?workbook=12_04.xlsx&amp;sheet=A0&amp;row=2377&amp;col=6&amp;number=11600000&amp;sourceID=14","11600000")</f>
        <v>11600000</v>
      </c>
      <c r="G2377" s="4" t="str">
        <f>HYPERLINK("http://141.218.60.56/~jnz1568/getInfo.php?workbook=12_04.xlsx&amp;sheet=A0&amp;row=2377&amp;col=7&amp;number=0&amp;sourceID=14","0")</f>
        <v>0</v>
      </c>
    </row>
    <row r="2378" spans="1:7">
      <c r="A2378" s="3">
        <v>12</v>
      </c>
      <c r="B2378" s="3">
        <v>4</v>
      </c>
      <c r="C2378" s="3">
        <v>52</v>
      </c>
      <c r="D2378" s="3">
        <v>31</v>
      </c>
      <c r="E2378" s="3">
        <v>344.84</v>
      </c>
      <c r="F2378" s="4" t="str">
        <f>HYPERLINK("http://141.218.60.56/~jnz1568/getInfo.php?workbook=12_04.xlsx&amp;sheet=A0&amp;row=2378&amp;col=6&amp;number=1950&amp;sourceID=14","1950")</f>
        <v>1950</v>
      </c>
      <c r="G2378" s="4" t="str">
        <f>HYPERLINK("http://141.218.60.56/~jnz1568/getInfo.php?workbook=12_04.xlsx&amp;sheet=A0&amp;row=2378&amp;col=7&amp;number=0&amp;sourceID=14","0")</f>
        <v>0</v>
      </c>
    </row>
    <row r="2379" spans="1:7">
      <c r="A2379" s="3">
        <v>12</v>
      </c>
      <c r="B2379" s="3">
        <v>4</v>
      </c>
      <c r="C2379" s="3">
        <v>53</v>
      </c>
      <c r="D2379" s="3">
        <v>31</v>
      </c>
      <c r="E2379" s="3">
        <v>331.918</v>
      </c>
      <c r="F2379" s="4" t="str">
        <f>HYPERLINK("http://141.218.60.56/~jnz1568/getInfo.php?workbook=12_04.xlsx&amp;sheet=A0&amp;row=2379&amp;col=6&amp;number=378&amp;sourceID=14","378")</f>
        <v>378</v>
      </c>
      <c r="G2379" s="4" t="str">
        <f>HYPERLINK("http://141.218.60.56/~jnz1568/getInfo.php?workbook=12_04.xlsx&amp;sheet=A0&amp;row=2379&amp;col=7&amp;number=0&amp;sourceID=14","0")</f>
        <v>0</v>
      </c>
    </row>
    <row r="2380" spans="1:7">
      <c r="A2380" s="3">
        <v>12</v>
      </c>
      <c r="B2380" s="3">
        <v>4</v>
      </c>
      <c r="C2380" s="3">
        <v>54</v>
      </c>
      <c r="D2380" s="3">
        <v>31</v>
      </c>
      <c r="E2380" s="3">
        <v>331.918</v>
      </c>
      <c r="F2380" s="4" t="str">
        <f>HYPERLINK("http://141.218.60.56/~jnz1568/getInfo.php?workbook=12_04.xlsx&amp;sheet=A0&amp;row=2380&amp;col=6&amp;number=242&amp;sourceID=14","242")</f>
        <v>242</v>
      </c>
      <c r="G2380" s="4" t="str">
        <f>HYPERLINK("http://141.218.60.56/~jnz1568/getInfo.php?workbook=12_04.xlsx&amp;sheet=A0&amp;row=2380&amp;col=7&amp;number=0&amp;sourceID=14","0")</f>
        <v>0</v>
      </c>
    </row>
    <row r="2381" spans="1:7">
      <c r="A2381" s="3">
        <v>12</v>
      </c>
      <c r="B2381" s="3">
        <v>4</v>
      </c>
      <c r="C2381" s="3">
        <v>55</v>
      </c>
      <c r="D2381" s="3">
        <v>31</v>
      </c>
      <c r="E2381" s="3">
        <v>331.83</v>
      </c>
      <c r="F2381" s="4" t="str">
        <f>HYPERLINK("http://141.218.60.56/~jnz1568/getInfo.php?workbook=12_04.xlsx&amp;sheet=A0&amp;row=2381&amp;col=6&amp;number=123&amp;sourceID=14","123")</f>
        <v>123</v>
      </c>
      <c r="G2381" s="4" t="str">
        <f>HYPERLINK("http://141.218.60.56/~jnz1568/getInfo.php?workbook=12_04.xlsx&amp;sheet=A0&amp;row=2381&amp;col=7&amp;number=0&amp;sourceID=14","0")</f>
        <v>0</v>
      </c>
    </row>
    <row r="2382" spans="1:7">
      <c r="A2382" s="3">
        <v>12</v>
      </c>
      <c r="B2382" s="3">
        <v>4</v>
      </c>
      <c r="C2382" s="3">
        <v>56</v>
      </c>
      <c r="D2382" s="3">
        <v>31</v>
      </c>
      <c r="E2382" s="3">
        <v>323.416</v>
      </c>
      <c r="F2382" s="4" t="str">
        <f>HYPERLINK("http://141.218.60.56/~jnz1568/getInfo.php?workbook=12_04.xlsx&amp;sheet=A0&amp;row=2382&amp;col=6&amp;number=0.00834&amp;sourceID=14","0.00834")</f>
        <v>0.00834</v>
      </c>
      <c r="G2382" s="4" t="str">
        <f>HYPERLINK("http://141.218.60.56/~jnz1568/getInfo.php?workbook=12_04.xlsx&amp;sheet=A0&amp;row=2382&amp;col=7&amp;number=0&amp;sourceID=14","0")</f>
        <v>0</v>
      </c>
    </row>
    <row r="2383" spans="1:7">
      <c r="A2383" s="3">
        <v>12</v>
      </c>
      <c r="B2383" s="3">
        <v>4</v>
      </c>
      <c r="C2383" s="3">
        <v>57</v>
      </c>
      <c r="D2383" s="3">
        <v>31</v>
      </c>
      <c r="E2383" s="3">
        <v>-323.712</v>
      </c>
      <c r="F2383" s="4" t="str">
        <f>HYPERLINK("http://141.218.60.56/~jnz1568/getInfo.php?workbook=12_04.xlsx&amp;sheet=A0&amp;row=2383&amp;col=6&amp;number=446000&amp;sourceID=14","446000")</f>
        <v>446000</v>
      </c>
      <c r="G2383" s="4" t="str">
        <f>HYPERLINK("http://141.218.60.56/~jnz1568/getInfo.php?workbook=12_04.xlsx&amp;sheet=A0&amp;row=2383&amp;col=7&amp;number=0&amp;sourceID=14","0")</f>
        <v>0</v>
      </c>
    </row>
    <row r="2384" spans="1:7">
      <c r="A2384" s="3">
        <v>12</v>
      </c>
      <c r="B2384" s="3">
        <v>4</v>
      </c>
      <c r="C2384" s="3">
        <v>58</v>
      </c>
      <c r="D2384" s="3">
        <v>31</v>
      </c>
      <c r="E2384" s="3">
        <v>-323.682</v>
      </c>
      <c r="F2384" s="4" t="str">
        <f>HYPERLINK("http://141.218.60.56/~jnz1568/getInfo.php?workbook=12_04.xlsx&amp;sheet=A0&amp;row=2384&amp;col=6&amp;number=0.00579&amp;sourceID=14","0.00579")</f>
        <v>0.00579</v>
      </c>
      <c r="G2384" s="4" t="str">
        <f>HYPERLINK("http://141.218.60.56/~jnz1568/getInfo.php?workbook=12_04.xlsx&amp;sheet=A0&amp;row=2384&amp;col=7&amp;number=0&amp;sourceID=14","0")</f>
        <v>0</v>
      </c>
    </row>
    <row r="2385" spans="1:7">
      <c r="A2385" s="3">
        <v>12</v>
      </c>
      <c r="B2385" s="3">
        <v>4</v>
      </c>
      <c r="C2385" s="3">
        <v>59</v>
      </c>
      <c r="D2385" s="3">
        <v>31</v>
      </c>
      <c r="E2385" s="3">
        <v>-323.642</v>
      </c>
      <c r="F2385" s="4" t="str">
        <f>HYPERLINK("http://141.218.60.56/~jnz1568/getInfo.php?workbook=12_04.xlsx&amp;sheet=A0&amp;row=2385&amp;col=6&amp;number=0.00438&amp;sourceID=14","0.00438")</f>
        <v>0.00438</v>
      </c>
      <c r="G2385" s="4" t="str">
        <f>HYPERLINK("http://141.218.60.56/~jnz1568/getInfo.php?workbook=12_04.xlsx&amp;sheet=A0&amp;row=2385&amp;col=7&amp;number=0&amp;sourceID=14","0")</f>
        <v>0</v>
      </c>
    </row>
    <row r="2386" spans="1:7">
      <c r="A2386" s="3">
        <v>12</v>
      </c>
      <c r="B2386" s="3">
        <v>4</v>
      </c>
      <c r="C2386" s="3">
        <v>60</v>
      </c>
      <c r="D2386" s="3">
        <v>31</v>
      </c>
      <c r="E2386" s="3">
        <v>-321.018</v>
      </c>
      <c r="F2386" s="4" t="str">
        <f>HYPERLINK("http://141.218.60.56/~jnz1568/getInfo.php?workbook=12_04.xlsx&amp;sheet=A0&amp;row=2386&amp;col=6&amp;number=0.00034&amp;sourceID=14","0.00034")</f>
        <v>0.00034</v>
      </c>
      <c r="G2386" s="4" t="str">
        <f>HYPERLINK("http://141.218.60.56/~jnz1568/getInfo.php?workbook=12_04.xlsx&amp;sheet=A0&amp;row=2386&amp;col=7&amp;number=0&amp;sourceID=14","0")</f>
        <v>0</v>
      </c>
    </row>
    <row r="2387" spans="1:7">
      <c r="A2387" s="3">
        <v>12</v>
      </c>
      <c r="B2387" s="3">
        <v>4</v>
      </c>
      <c r="C2387" s="3">
        <v>61</v>
      </c>
      <c r="D2387" s="3">
        <v>31</v>
      </c>
      <c r="E2387" s="3">
        <v>-234.072</v>
      </c>
      <c r="F2387" s="4" t="str">
        <f>HYPERLINK("http://141.218.60.56/~jnz1568/getInfo.php?workbook=12_04.xlsx&amp;sheet=A0&amp;row=2387&amp;col=6&amp;number=8940000000&amp;sourceID=14","8940000000")</f>
        <v>8940000000</v>
      </c>
      <c r="G2387" s="4" t="str">
        <f>HYPERLINK("http://141.218.60.56/~jnz1568/getInfo.php?workbook=12_04.xlsx&amp;sheet=A0&amp;row=2387&amp;col=7&amp;number=0&amp;sourceID=14","0")</f>
        <v>0</v>
      </c>
    </row>
    <row r="2388" spans="1:7">
      <c r="A2388" s="3">
        <v>12</v>
      </c>
      <c r="B2388" s="3">
        <v>4</v>
      </c>
      <c r="C2388" s="3">
        <v>62</v>
      </c>
      <c r="D2388" s="3">
        <v>31</v>
      </c>
      <c r="E2388" s="3">
        <v>-233.571</v>
      </c>
      <c r="F2388" s="4" t="str">
        <f>HYPERLINK("http://141.218.60.56/~jnz1568/getInfo.php?workbook=12_04.xlsx&amp;sheet=A0&amp;row=2388&amp;col=6&amp;number=2120000000&amp;sourceID=14","2120000000")</f>
        <v>2120000000</v>
      </c>
      <c r="G2388" s="4" t="str">
        <f>HYPERLINK("http://141.218.60.56/~jnz1568/getInfo.php?workbook=12_04.xlsx&amp;sheet=A0&amp;row=2388&amp;col=7&amp;number=0&amp;sourceID=14","0")</f>
        <v>0</v>
      </c>
    </row>
    <row r="2389" spans="1:7">
      <c r="A2389" s="3">
        <v>12</v>
      </c>
      <c r="B2389" s="3">
        <v>4</v>
      </c>
      <c r="C2389" s="3">
        <v>63</v>
      </c>
      <c r="D2389" s="3">
        <v>31</v>
      </c>
      <c r="E2389" s="3">
        <v>-231.956</v>
      </c>
      <c r="F2389" s="4" t="str">
        <f>HYPERLINK("http://141.218.60.56/~jnz1568/getInfo.php?workbook=12_04.xlsx&amp;sheet=A0&amp;row=2389&amp;col=6&amp;number=3280000000&amp;sourceID=14","3280000000")</f>
        <v>3280000000</v>
      </c>
      <c r="G2389" s="4" t="str">
        <f>HYPERLINK("http://141.218.60.56/~jnz1568/getInfo.php?workbook=12_04.xlsx&amp;sheet=A0&amp;row=2389&amp;col=7&amp;number=0&amp;sourceID=14","0")</f>
        <v>0</v>
      </c>
    </row>
    <row r="2390" spans="1:7">
      <c r="A2390" s="3">
        <v>12</v>
      </c>
      <c r="B2390" s="3">
        <v>4</v>
      </c>
      <c r="C2390" s="3">
        <v>64</v>
      </c>
      <c r="D2390" s="3">
        <v>31</v>
      </c>
      <c r="E2390" s="3">
        <v>-228.647</v>
      </c>
      <c r="F2390" s="4" t="str">
        <f>HYPERLINK("http://141.218.60.56/~jnz1568/getInfo.php?workbook=12_04.xlsx&amp;sheet=A0&amp;row=2390&amp;col=6&amp;number=128000000&amp;sourceID=14","128000000")</f>
        <v>128000000</v>
      </c>
      <c r="G2390" s="4" t="str">
        <f>HYPERLINK("http://141.218.60.56/~jnz1568/getInfo.php?workbook=12_04.xlsx&amp;sheet=A0&amp;row=2390&amp;col=7&amp;number=0&amp;sourceID=14","0")</f>
        <v>0</v>
      </c>
    </row>
    <row r="2391" spans="1:7">
      <c r="A2391" s="3">
        <v>12</v>
      </c>
      <c r="B2391" s="3">
        <v>4</v>
      </c>
      <c r="C2391" s="3">
        <v>65</v>
      </c>
      <c r="D2391" s="3">
        <v>31</v>
      </c>
      <c r="E2391" s="3">
        <v>-224.779</v>
      </c>
      <c r="F2391" s="4" t="str">
        <f>HYPERLINK("http://141.218.60.56/~jnz1568/getInfo.php?workbook=12_04.xlsx&amp;sheet=A0&amp;row=2391&amp;col=6&amp;number=106000&amp;sourceID=14","106000")</f>
        <v>106000</v>
      </c>
      <c r="G2391" s="4" t="str">
        <f>HYPERLINK("http://141.218.60.56/~jnz1568/getInfo.php?workbook=12_04.xlsx&amp;sheet=A0&amp;row=2391&amp;col=7&amp;number=0&amp;sourceID=14","0")</f>
        <v>0</v>
      </c>
    </row>
    <row r="2392" spans="1:7">
      <c r="A2392" s="3">
        <v>12</v>
      </c>
      <c r="B2392" s="3">
        <v>4</v>
      </c>
      <c r="C2392" s="3">
        <v>66</v>
      </c>
      <c r="D2392" s="3">
        <v>31</v>
      </c>
      <c r="E2392" s="3">
        <v>-223.497</v>
      </c>
      <c r="F2392" s="4" t="str">
        <f>HYPERLINK("http://141.218.60.56/~jnz1568/getInfo.php?workbook=12_04.xlsx&amp;sheet=A0&amp;row=2392&amp;col=6&amp;number=311000&amp;sourceID=14","311000")</f>
        <v>311000</v>
      </c>
      <c r="G2392" s="4" t="str">
        <f>HYPERLINK("http://141.218.60.56/~jnz1568/getInfo.php?workbook=12_04.xlsx&amp;sheet=A0&amp;row=2392&amp;col=7&amp;number=0&amp;sourceID=14","0")</f>
        <v>0</v>
      </c>
    </row>
    <row r="2393" spans="1:7">
      <c r="A2393" s="3">
        <v>12</v>
      </c>
      <c r="B2393" s="3">
        <v>4</v>
      </c>
      <c r="C2393" s="3">
        <v>67</v>
      </c>
      <c r="D2393" s="3">
        <v>31</v>
      </c>
      <c r="E2393" s="3">
        <v>-223.272</v>
      </c>
      <c r="F2393" s="4" t="str">
        <f>HYPERLINK("http://141.218.60.56/~jnz1568/getInfo.php?workbook=12_04.xlsx&amp;sheet=A0&amp;row=2393&amp;col=6&amp;number=50700&amp;sourceID=14","50700")</f>
        <v>50700</v>
      </c>
      <c r="G2393" s="4" t="str">
        <f>HYPERLINK("http://141.218.60.56/~jnz1568/getInfo.php?workbook=12_04.xlsx&amp;sheet=A0&amp;row=2393&amp;col=7&amp;number=0&amp;sourceID=14","0")</f>
        <v>0</v>
      </c>
    </row>
    <row r="2394" spans="1:7">
      <c r="A2394" s="3">
        <v>12</v>
      </c>
      <c r="B2394" s="3">
        <v>4</v>
      </c>
      <c r="C2394" s="3">
        <v>68</v>
      </c>
      <c r="D2394" s="3">
        <v>31</v>
      </c>
      <c r="E2394" s="3">
        <v>221.71</v>
      </c>
      <c r="F2394" s="4" t="str">
        <f>HYPERLINK("http://141.218.60.56/~jnz1568/getInfo.php?workbook=12_04.xlsx&amp;sheet=A0&amp;row=2394&amp;col=6&amp;number=292000&amp;sourceID=14","292000")</f>
        <v>292000</v>
      </c>
      <c r="G2394" s="4" t="str">
        <f>HYPERLINK("http://141.218.60.56/~jnz1568/getInfo.php?workbook=12_04.xlsx&amp;sheet=A0&amp;row=2394&amp;col=7&amp;number=0&amp;sourceID=14","0")</f>
        <v>0</v>
      </c>
    </row>
    <row r="2395" spans="1:7">
      <c r="A2395" s="3">
        <v>12</v>
      </c>
      <c r="B2395" s="3">
        <v>4</v>
      </c>
      <c r="C2395" s="3">
        <v>69</v>
      </c>
      <c r="D2395" s="3">
        <v>31</v>
      </c>
      <c r="E2395" s="3">
        <v>-220.643</v>
      </c>
      <c r="F2395" s="4" t="str">
        <f>HYPERLINK("http://141.218.60.56/~jnz1568/getInfo.php?workbook=12_04.xlsx&amp;sheet=A0&amp;row=2395&amp;col=6&amp;number=6230&amp;sourceID=14","6230")</f>
        <v>6230</v>
      </c>
      <c r="G2395" s="4" t="str">
        <f>HYPERLINK("http://141.218.60.56/~jnz1568/getInfo.php?workbook=12_04.xlsx&amp;sheet=A0&amp;row=2395&amp;col=7&amp;number=0&amp;sourceID=14","0")</f>
        <v>0</v>
      </c>
    </row>
    <row r="2396" spans="1:7">
      <c r="A2396" s="3">
        <v>12</v>
      </c>
      <c r="B2396" s="3">
        <v>4</v>
      </c>
      <c r="C2396" s="3">
        <v>70</v>
      </c>
      <c r="D2396" s="3">
        <v>31</v>
      </c>
      <c r="E2396" s="3">
        <v>-220.336</v>
      </c>
      <c r="F2396" s="4" t="str">
        <f>HYPERLINK("http://141.218.60.56/~jnz1568/getInfo.php?workbook=12_04.xlsx&amp;sheet=A0&amp;row=2396&amp;col=6&amp;number=0.527&amp;sourceID=14","0.527")</f>
        <v>0.527</v>
      </c>
      <c r="G2396" s="4" t="str">
        <f>HYPERLINK("http://141.218.60.56/~jnz1568/getInfo.php?workbook=12_04.xlsx&amp;sheet=A0&amp;row=2396&amp;col=7&amp;number=0&amp;sourceID=14","0")</f>
        <v>0</v>
      </c>
    </row>
    <row r="2397" spans="1:7">
      <c r="A2397" s="3">
        <v>12</v>
      </c>
      <c r="B2397" s="3">
        <v>4</v>
      </c>
      <c r="C2397" s="3">
        <v>71</v>
      </c>
      <c r="D2397" s="3">
        <v>31</v>
      </c>
      <c r="E2397" s="3">
        <v>-219.402</v>
      </c>
      <c r="F2397" s="4" t="str">
        <f>HYPERLINK("http://141.218.60.56/~jnz1568/getInfo.php?workbook=12_04.xlsx&amp;sheet=A0&amp;row=2397&amp;col=6&amp;number=41100&amp;sourceID=14","41100")</f>
        <v>41100</v>
      </c>
      <c r="G2397" s="4" t="str">
        <f>HYPERLINK("http://141.218.60.56/~jnz1568/getInfo.php?workbook=12_04.xlsx&amp;sheet=A0&amp;row=2397&amp;col=7&amp;number=0&amp;sourceID=14","0")</f>
        <v>0</v>
      </c>
    </row>
    <row r="2398" spans="1:7">
      <c r="A2398" s="3">
        <v>12</v>
      </c>
      <c r="B2398" s="3">
        <v>4</v>
      </c>
      <c r="C2398" s="3">
        <v>72</v>
      </c>
      <c r="D2398" s="3">
        <v>31</v>
      </c>
      <c r="E2398" s="3">
        <v>218.982</v>
      </c>
      <c r="F2398" s="4" t="str">
        <f>HYPERLINK("http://141.218.60.56/~jnz1568/getInfo.php?workbook=12_04.xlsx&amp;sheet=A0&amp;row=2398&amp;col=6&amp;number=151000&amp;sourceID=14","151000")</f>
        <v>151000</v>
      </c>
      <c r="G2398" s="4" t="str">
        <f>HYPERLINK("http://141.218.60.56/~jnz1568/getInfo.php?workbook=12_04.xlsx&amp;sheet=A0&amp;row=2398&amp;col=7&amp;number=0&amp;sourceID=14","0")</f>
        <v>0</v>
      </c>
    </row>
    <row r="2399" spans="1:7">
      <c r="A2399" s="3">
        <v>12</v>
      </c>
      <c r="B2399" s="3">
        <v>4</v>
      </c>
      <c r="C2399" s="3">
        <v>73</v>
      </c>
      <c r="D2399" s="3">
        <v>31</v>
      </c>
      <c r="E2399" s="3">
        <v>-217.729</v>
      </c>
      <c r="F2399" s="4" t="str">
        <f>HYPERLINK("http://141.218.60.56/~jnz1568/getInfo.php?workbook=12_04.xlsx&amp;sheet=A0&amp;row=2399&amp;col=6&amp;number=23000000&amp;sourceID=14","23000000")</f>
        <v>23000000</v>
      </c>
      <c r="G2399" s="4" t="str">
        <f>HYPERLINK("http://141.218.60.56/~jnz1568/getInfo.php?workbook=12_04.xlsx&amp;sheet=A0&amp;row=2399&amp;col=7&amp;number=0&amp;sourceID=14","0")</f>
        <v>0</v>
      </c>
    </row>
    <row r="2400" spans="1:7">
      <c r="A2400" s="3">
        <v>12</v>
      </c>
      <c r="B2400" s="3">
        <v>4</v>
      </c>
      <c r="C2400" s="3">
        <v>74</v>
      </c>
      <c r="D2400" s="3">
        <v>31</v>
      </c>
      <c r="E2400" s="3">
        <v>-216.827</v>
      </c>
      <c r="F2400" s="4" t="str">
        <f>HYPERLINK("http://141.218.60.56/~jnz1568/getInfo.php?workbook=12_04.xlsx&amp;sheet=A0&amp;row=2400&amp;col=6&amp;number=5.65&amp;sourceID=14","5.65")</f>
        <v>5.65</v>
      </c>
      <c r="G2400" s="4" t="str">
        <f>HYPERLINK("http://141.218.60.56/~jnz1568/getInfo.php?workbook=12_04.xlsx&amp;sheet=A0&amp;row=2400&amp;col=7&amp;number=0&amp;sourceID=14","0")</f>
        <v>0</v>
      </c>
    </row>
    <row r="2401" spans="1:7">
      <c r="A2401" s="3">
        <v>12</v>
      </c>
      <c r="B2401" s="3">
        <v>4</v>
      </c>
      <c r="C2401" s="3">
        <v>75</v>
      </c>
      <c r="D2401" s="3">
        <v>31</v>
      </c>
      <c r="E2401" s="3">
        <v>216.207</v>
      </c>
      <c r="F2401" s="4" t="str">
        <f>HYPERLINK("http://141.218.60.56/~jnz1568/getInfo.php?workbook=12_04.xlsx&amp;sheet=A0&amp;row=2401&amp;col=6&amp;number=1260000000&amp;sourceID=14","1260000000")</f>
        <v>1260000000</v>
      </c>
      <c r="G2401" s="4" t="str">
        <f>HYPERLINK("http://141.218.60.56/~jnz1568/getInfo.php?workbook=12_04.xlsx&amp;sheet=A0&amp;row=2401&amp;col=7&amp;number=0&amp;sourceID=14","0")</f>
        <v>0</v>
      </c>
    </row>
    <row r="2402" spans="1:7">
      <c r="A2402" s="3">
        <v>12</v>
      </c>
      <c r="B2402" s="3">
        <v>4</v>
      </c>
      <c r="C2402" s="3">
        <v>76</v>
      </c>
      <c r="D2402" s="3">
        <v>31</v>
      </c>
      <c r="E2402" s="3">
        <v>216.268</v>
      </c>
      <c r="F2402" s="4" t="str">
        <f>HYPERLINK("http://141.218.60.56/~jnz1568/getInfo.php?workbook=12_04.xlsx&amp;sheet=A0&amp;row=2402&amp;col=6&amp;number=14100&amp;sourceID=14","14100")</f>
        <v>14100</v>
      </c>
      <c r="G2402" s="4" t="str">
        <f>HYPERLINK("http://141.218.60.56/~jnz1568/getInfo.php?workbook=12_04.xlsx&amp;sheet=A0&amp;row=2402&amp;col=7&amp;number=0&amp;sourceID=14","0")</f>
        <v>0</v>
      </c>
    </row>
    <row r="2403" spans="1:7">
      <c r="A2403" s="3">
        <v>12</v>
      </c>
      <c r="B2403" s="3">
        <v>4</v>
      </c>
      <c r="C2403" s="3">
        <v>77</v>
      </c>
      <c r="D2403" s="3">
        <v>31</v>
      </c>
      <c r="E2403" s="3">
        <v>-215.809</v>
      </c>
      <c r="F2403" s="4" t="str">
        <f>HYPERLINK("http://141.218.60.56/~jnz1568/getInfo.php?workbook=12_04.xlsx&amp;sheet=A0&amp;row=2403&amp;col=6&amp;number=16.4&amp;sourceID=14","16.4")</f>
        <v>16.4</v>
      </c>
      <c r="G2403" s="4" t="str">
        <f>HYPERLINK("http://141.218.60.56/~jnz1568/getInfo.php?workbook=12_04.xlsx&amp;sheet=A0&amp;row=2403&amp;col=7&amp;number=0&amp;sourceID=14","0")</f>
        <v>0</v>
      </c>
    </row>
    <row r="2404" spans="1:7">
      <c r="A2404" s="3">
        <v>12</v>
      </c>
      <c r="B2404" s="3">
        <v>4</v>
      </c>
      <c r="C2404" s="3">
        <v>78</v>
      </c>
      <c r="D2404" s="3">
        <v>31</v>
      </c>
      <c r="E2404" s="3">
        <v>-214.419</v>
      </c>
      <c r="F2404" s="4" t="str">
        <f>HYPERLINK("http://141.218.60.56/~jnz1568/getInfo.php?workbook=12_04.xlsx&amp;sheet=A0&amp;row=2404&amp;col=6&amp;number=8510000000&amp;sourceID=14","8510000000")</f>
        <v>8510000000</v>
      </c>
      <c r="G2404" s="4" t="str">
        <f>HYPERLINK("http://141.218.60.56/~jnz1568/getInfo.php?workbook=12_04.xlsx&amp;sheet=A0&amp;row=2404&amp;col=7&amp;number=0&amp;sourceID=14","0")</f>
        <v>0</v>
      </c>
    </row>
    <row r="2405" spans="1:7">
      <c r="A2405" s="3">
        <v>12</v>
      </c>
      <c r="B2405" s="3">
        <v>4</v>
      </c>
      <c r="C2405" s="3">
        <v>79</v>
      </c>
      <c r="D2405" s="3">
        <v>31</v>
      </c>
      <c r="E2405" s="3">
        <v>-214.135</v>
      </c>
      <c r="F2405" s="4" t="str">
        <f>HYPERLINK("http://141.218.60.56/~jnz1568/getInfo.php?workbook=12_04.xlsx&amp;sheet=A0&amp;row=2405&amp;col=6&amp;number=24600000000&amp;sourceID=14","24600000000")</f>
        <v>24600000000</v>
      </c>
      <c r="G2405" s="4" t="str">
        <f>HYPERLINK("http://141.218.60.56/~jnz1568/getInfo.php?workbook=12_04.xlsx&amp;sheet=A0&amp;row=2405&amp;col=7&amp;number=0&amp;sourceID=14","0")</f>
        <v>0</v>
      </c>
    </row>
    <row r="2406" spans="1:7">
      <c r="A2406" s="3">
        <v>12</v>
      </c>
      <c r="B2406" s="3">
        <v>4</v>
      </c>
      <c r="C2406" s="3">
        <v>80</v>
      </c>
      <c r="D2406" s="3">
        <v>31</v>
      </c>
      <c r="E2406" s="3">
        <v>-213.567</v>
      </c>
      <c r="F2406" s="4" t="str">
        <f>HYPERLINK("http://141.218.60.56/~jnz1568/getInfo.php?workbook=12_04.xlsx&amp;sheet=A0&amp;row=2406&amp;col=6&amp;number=203000&amp;sourceID=14","203000")</f>
        <v>203000</v>
      </c>
      <c r="G2406" s="4" t="str">
        <f>HYPERLINK("http://141.218.60.56/~jnz1568/getInfo.php?workbook=12_04.xlsx&amp;sheet=A0&amp;row=2406&amp;col=7&amp;number=0&amp;sourceID=14","0")</f>
        <v>0</v>
      </c>
    </row>
    <row r="2407" spans="1:7">
      <c r="A2407" s="3">
        <v>12</v>
      </c>
      <c r="B2407" s="3">
        <v>4</v>
      </c>
      <c r="C2407" s="3">
        <v>81</v>
      </c>
      <c r="D2407" s="3">
        <v>31</v>
      </c>
      <c r="E2407" s="3">
        <v>212.966</v>
      </c>
      <c r="F2407" s="4" t="str">
        <f>HYPERLINK("http://141.218.60.56/~jnz1568/getInfo.php?workbook=12_04.xlsx&amp;sheet=A0&amp;row=2407&amp;col=6&amp;number=26.2&amp;sourceID=14","26.2")</f>
        <v>26.2</v>
      </c>
      <c r="G2407" s="4" t="str">
        <f>HYPERLINK("http://141.218.60.56/~jnz1568/getInfo.php?workbook=12_04.xlsx&amp;sheet=A0&amp;row=2407&amp;col=7&amp;number=0&amp;sourceID=14","0")</f>
        <v>0</v>
      </c>
    </row>
    <row r="2408" spans="1:7">
      <c r="A2408" s="3">
        <v>12</v>
      </c>
      <c r="B2408" s="3">
        <v>4</v>
      </c>
      <c r="C2408" s="3">
        <v>82</v>
      </c>
      <c r="D2408" s="3">
        <v>31</v>
      </c>
      <c r="E2408" s="3">
        <v>-213.403</v>
      </c>
      <c r="F2408" s="4" t="str">
        <f>HYPERLINK("http://141.218.60.56/~jnz1568/getInfo.php?workbook=12_04.xlsx&amp;sheet=A0&amp;row=2408&amp;col=6&amp;number=937000&amp;sourceID=14","937000")</f>
        <v>937000</v>
      </c>
      <c r="G2408" s="4" t="str">
        <f>HYPERLINK("http://141.218.60.56/~jnz1568/getInfo.php?workbook=12_04.xlsx&amp;sheet=A0&amp;row=2408&amp;col=7&amp;number=0&amp;sourceID=14","0")</f>
        <v>0</v>
      </c>
    </row>
    <row r="2409" spans="1:7">
      <c r="A2409" s="3">
        <v>12</v>
      </c>
      <c r="B2409" s="3">
        <v>4</v>
      </c>
      <c r="C2409" s="3">
        <v>83</v>
      </c>
      <c r="D2409" s="3">
        <v>31</v>
      </c>
      <c r="E2409" s="3">
        <v>-213.4</v>
      </c>
      <c r="F2409" s="4" t="str">
        <f>HYPERLINK("http://141.218.60.56/~jnz1568/getInfo.php?workbook=12_04.xlsx&amp;sheet=A0&amp;row=2409&amp;col=6&amp;number=1480000&amp;sourceID=14","1480000")</f>
        <v>1480000</v>
      </c>
      <c r="G2409" s="4" t="str">
        <f>HYPERLINK("http://141.218.60.56/~jnz1568/getInfo.php?workbook=12_04.xlsx&amp;sheet=A0&amp;row=2409&amp;col=7&amp;number=0&amp;sourceID=14","0")</f>
        <v>0</v>
      </c>
    </row>
    <row r="2410" spans="1:7">
      <c r="A2410" s="3">
        <v>12</v>
      </c>
      <c r="B2410" s="3">
        <v>4</v>
      </c>
      <c r="C2410" s="3">
        <v>84</v>
      </c>
      <c r="D2410" s="3">
        <v>31</v>
      </c>
      <c r="E2410" s="3">
        <v>-213.252</v>
      </c>
      <c r="F2410" s="4" t="str">
        <f>HYPERLINK("http://141.218.60.56/~jnz1568/getInfo.php?workbook=12_04.xlsx&amp;sheet=A0&amp;row=2410&amp;col=6&amp;number=0.00073&amp;sourceID=14","0.00073")</f>
        <v>0.00073</v>
      </c>
      <c r="G2410" s="4" t="str">
        <f>HYPERLINK("http://141.218.60.56/~jnz1568/getInfo.php?workbook=12_04.xlsx&amp;sheet=A0&amp;row=2410&amp;col=7&amp;number=0&amp;sourceID=14","0")</f>
        <v>0</v>
      </c>
    </row>
    <row r="2411" spans="1:7">
      <c r="A2411" s="3">
        <v>12</v>
      </c>
      <c r="B2411" s="3">
        <v>4</v>
      </c>
      <c r="C2411" s="3">
        <v>85</v>
      </c>
      <c r="D2411" s="3">
        <v>31</v>
      </c>
      <c r="E2411" s="3">
        <v>212.423</v>
      </c>
      <c r="F2411" s="4" t="str">
        <f>HYPERLINK("http://141.218.60.56/~jnz1568/getInfo.php?workbook=12_04.xlsx&amp;sheet=A0&amp;row=2411&amp;col=6&amp;number=860000000&amp;sourceID=14","860000000")</f>
        <v>860000000</v>
      </c>
      <c r="G2411" s="4" t="str">
        <f>HYPERLINK("http://141.218.60.56/~jnz1568/getInfo.php?workbook=12_04.xlsx&amp;sheet=A0&amp;row=2411&amp;col=7&amp;number=0&amp;sourceID=14","0")</f>
        <v>0</v>
      </c>
    </row>
    <row r="2412" spans="1:7">
      <c r="A2412" s="3">
        <v>12</v>
      </c>
      <c r="B2412" s="3">
        <v>4</v>
      </c>
      <c r="C2412" s="3">
        <v>86</v>
      </c>
      <c r="D2412" s="3">
        <v>31</v>
      </c>
      <c r="E2412" s="3">
        <v>212.189</v>
      </c>
      <c r="F2412" s="4" t="str">
        <f>HYPERLINK("http://141.218.60.56/~jnz1568/getInfo.php?workbook=12_04.xlsx&amp;sheet=A0&amp;row=2412&amp;col=6&amp;number=13300000000&amp;sourceID=14","13300000000")</f>
        <v>13300000000</v>
      </c>
      <c r="G2412" s="4" t="str">
        <f>HYPERLINK("http://141.218.60.56/~jnz1568/getInfo.php?workbook=12_04.xlsx&amp;sheet=A0&amp;row=2412&amp;col=7&amp;number=0&amp;sourceID=14","0")</f>
        <v>0</v>
      </c>
    </row>
    <row r="2413" spans="1:7">
      <c r="A2413" s="3">
        <v>12</v>
      </c>
      <c r="B2413" s="3">
        <v>4</v>
      </c>
      <c r="C2413" s="3">
        <v>87</v>
      </c>
      <c r="D2413" s="3">
        <v>31</v>
      </c>
      <c r="E2413" s="3">
        <v>-212.153</v>
      </c>
      <c r="F2413" s="4" t="str">
        <f>HYPERLINK("http://141.218.60.56/~jnz1568/getInfo.php?workbook=12_04.xlsx&amp;sheet=A0&amp;row=2413&amp;col=6&amp;number=23000000000&amp;sourceID=14","23000000000")</f>
        <v>23000000000</v>
      </c>
      <c r="G2413" s="4" t="str">
        <f>HYPERLINK("http://141.218.60.56/~jnz1568/getInfo.php?workbook=12_04.xlsx&amp;sheet=A0&amp;row=2413&amp;col=7&amp;number=0&amp;sourceID=14","0")</f>
        <v>0</v>
      </c>
    </row>
    <row r="2414" spans="1:7">
      <c r="A2414" s="3">
        <v>12</v>
      </c>
      <c r="B2414" s="3">
        <v>4</v>
      </c>
      <c r="C2414" s="3">
        <v>88</v>
      </c>
      <c r="D2414" s="3">
        <v>31</v>
      </c>
      <c r="E2414" s="3">
        <v>-211.801</v>
      </c>
      <c r="F2414" s="4" t="str">
        <f>HYPERLINK("http://141.218.60.56/~jnz1568/getInfo.php?workbook=12_04.xlsx&amp;sheet=A0&amp;row=2414&amp;col=6&amp;number=334000&amp;sourceID=14","334000")</f>
        <v>334000</v>
      </c>
      <c r="G2414" s="4" t="str">
        <f>HYPERLINK("http://141.218.60.56/~jnz1568/getInfo.php?workbook=12_04.xlsx&amp;sheet=A0&amp;row=2414&amp;col=7&amp;number=0&amp;sourceID=14","0")</f>
        <v>0</v>
      </c>
    </row>
    <row r="2415" spans="1:7">
      <c r="A2415" s="3">
        <v>12</v>
      </c>
      <c r="B2415" s="3">
        <v>4</v>
      </c>
      <c r="C2415" s="3">
        <v>89</v>
      </c>
      <c r="D2415" s="3">
        <v>31</v>
      </c>
      <c r="E2415" s="3">
        <v>-211.594</v>
      </c>
      <c r="F2415" s="4" t="str">
        <f>HYPERLINK("http://141.218.60.56/~jnz1568/getInfo.php?workbook=12_04.xlsx&amp;sheet=A0&amp;row=2415&amp;col=6&amp;number=0.00136&amp;sourceID=14","0.00136")</f>
        <v>0.00136</v>
      </c>
      <c r="G2415" s="4" t="str">
        <f>HYPERLINK("http://141.218.60.56/~jnz1568/getInfo.php?workbook=12_04.xlsx&amp;sheet=A0&amp;row=2415&amp;col=7&amp;number=0&amp;sourceID=14","0")</f>
        <v>0</v>
      </c>
    </row>
    <row r="2416" spans="1:7">
      <c r="A2416" s="3">
        <v>12</v>
      </c>
      <c r="B2416" s="3">
        <v>4</v>
      </c>
      <c r="C2416" s="3">
        <v>90</v>
      </c>
      <c r="D2416" s="3">
        <v>31</v>
      </c>
      <c r="E2416" s="3">
        <v>-210.98</v>
      </c>
      <c r="F2416" s="4" t="str">
        <f>HYPERLINK("http://141.218.60.56/~jnz1568/getInfo.php?workbook=12_04.xlsx&amp;sheet=A0&amp;row=2416&amp;col=6&amp;number=0.000335&amp;sourceID=14","0.000335")</f>
        <v>0.000335</v>
      </c>
      <c r="G2416" s="4" t="str">
        <f>HYPERLINK("http://141.218.60.56/~jnz1568/getInfo.php?workbook=12_04.xlsx&amp;sheet=A0&amp;row=2416&amp;col=7&amp;number=0&amp;sourceID=14","0")</f>
        <v>0</v>
      </c>
    </row>
    <row r="2417" spans="1:7">
      <c r="A2417" s="3">
        <v>12</v>
      </c>
      <c r="B2417" s="3">
        <v>4</v>
      </c>
      <c r="C2417" s="3">
        <v>91</v>
      </c>
      <c r="D2417" s="3">
        <v>31</v>
      </c>
      <c r="E2417" s="3">
        <v>-210.439</v>
      </c>
      <c r="F2417" s="4" t="str">
        <f>HYPERLINK("http://141.218.60.56/~jnz1568/getInfo.php?workbook=12_04.xlsx&amp;sheet=A0&amp;row=2417&amp;col=6&amp;number=85000&amp;sourceID=14","85000")</f>
        <v>85000</v>
      </c>
      <c r="G2417" s="4" t="str">
        <f>HYPERLINK("http://141.218.60.56/~jnz1568/getInfo.php?workbook=12_04.xlsx&amp;sheet=A0&amp;row=2417&amp;col=7&amp;number=0&amp;sourceID=14","0")</f>
        <v>0</v>
      </c>
    </row>
    <row r="2418" spans="1:7">
      <c r="A2418" s="3">
        <v>12</v>
      </c>
      <c r="B2418" s="3">
        <v>4</v>
      </c>
      <c r="C2418" s="3">
        <v>92</v>
      </c>
      <c r="D2418" s="3">
        <v>31</v>
      </c>
      <c r="E2418" s="3">
        <v>-210.312</v>
      </c>
      <c r="F2418" s="4" t="str">
        <f>HYPERLINK("http://141.218.60.56/~jnz1568/getInfo.php?workbook=12_04.xlsx&amp;sheet=A0&amp;row=2418&amp;col=6&amp;number=4.09e-05&amp;sourceID=14","4.09e-05")</f>
        <v>4.09e-05</v>
      </c>
      <c r="G2418" s="4" t="str">
        <f>HYPERLINK("http://141.218.60.56/~jnz1568/getInfo.php?workbook=12_04.xlsx&amp;sheet=A0&amp;row=2418&amp;col=7&amp;number=0&amp;sourceID=14","0")</f>
        <v>0</v>
      </c>
    </row>
    <row r="2419" spans="1:7">
      <c r="A2419" s="3">
        <v>12</v>
      </c>
      <c r="B2419" s="3">
        <v>4</v>
      </c>
      <c r="C2419" s="3">
        <v>93</v>
      </c>
      <c r="D2419" s="3">
        <v>31</v>
      </c>
      <c r="E2419" s="3">
        <v>-210.196</v>
      </c>
      <c r="F2419" s="4" t="str">
        <f>HYPERLINK("http://141.218.60.56/~jnz1568/getInfo.php?workbook=12_04.xlsx&amp;sheet=A0&amp;row=2419&amp;col=6&amp;number=670000&amp;sourceID=14","670000")</f>
        <v>670000</v>
      </c>
      <c r="G2419" s="4" t="str">
        <f>HYPERLINK("http://141.218.60.56/~jnz1568/getInfo.php?workbook=12_04.xlsx&amp;sheet=A0&amp;row=2419&amp;col=7&amp;number=0&amp;sourceID=14","0")</f>
        <v>0</v>
      </c>
    </row>
    <row r="2420" spans="1:7">
      <c r="A2420" s="3">
        <v>12</v>
      </c>
      <c r="B2420" s="3">
        <v>4</v>
      </c>
      <c r="C2420" s="3">
        <v>94</v>
      </c>
      <c r="D2420" s="3">
        <v>31</v>
      </c>
      <c r="E2420" s="3">
        <v>-209.769</v>
      </c>
      <c r="F2420" s="4" t="str">
        <f>HYPERLINK("http://141.218.60.56/~jnz1568/getInfo.php?workbook=12_04.xlsx&amp;sheet=A0&amp;row=2420&amp;col=6&amp;number=1990000&amp;sourceID=14","1990000")</f>
        <v>1990000</v>
      </c>
      <c r="G2420" s="4" t="str">
        <f>HYPERLINK("http://141.218.60.56/~jnz1568/getInfo.php?workbook=12_04.xlsx&amp;sheet=A0&amp;row=2420&amp;col=7&amp;number=0&amp;sourceID=14","0")</f>
        <v>0</v>
      </c>
    </row>
    <row r="2421" spans="1:7">
      <c r="A2421" s="3">
        <v>12</v>
      </c>
      <c r="B2421" s="3">
        <v>4</v>
      </c>
      <c r="C2421" s="3">
        <v>95</v>
      </c>
      <c r="D2421" s="3">
        <v>31</v>
      </c>
      <c r="E2421" s="3">
        <v>-209.491</v>
      </c>
      <c r="F2421" s="4" t="str">
        <f>HYPERLINK("http://141.218.60.56/~jnz1568/getInfo.php?workbook=12_04.xlsx&amp;sheet=A0&amp;row=2421&amp;col=6&amp;number=5.36&amp;sourceID=14","5.36")</f>
        <v>5.36</v>
      </c>
      <c r="G2421" s="4" t="str">
        <f>HYPERLINK("http://141.218.60.56/~jnz1568/getInfo.php?workbook=12_04.xlsx&amp;sheet=A0&amp;row=2421&amp;col=7&amp;number=0&amp;sourceID=14","0")</f>
        <v>0</v>
      </c>
    </row>
    <row r="2422" spans="1:7">
      <c r="A2422" s="3">
        <v>12</v>
      </c>
      <c r="B2422" s="3">
        <v>4</v>
      </c>
      <c r="C2422" s="3">
        <v>96</v>
      </c>
      <c r="D2422" s="3">
        <v>31</v>
      </c>
      <c r="E2422" s="3">
        <v>-209.233</v>
      </c>
      <c r="F2422" s="4" t="str">
        <f>HYPERLINK("http://141.218.60.56/~jnz1568/getInfo.php?workbook=12_04.xlsx&amp;sheet=A0&amp;row=2422&amp;col=6&amp;number=10100&amp;sourceID=14","10100")</f>
        <v>10100</v>
      </c>
      <c r="G2422" s="4" t="str">
        <f>HYPERLINK("http://141.218.60.56/~jnz1568/getInfo.php?workbook=12_04.xlsx&amp;sheet=A0&amp;row=2422&amp;col=7&amp;number=0&amp;sourceID=14","0")</f>
        <v>0</v>
      </c>
    </row>
    <row r="2423" spans="1:7">
      <c r="A2423" s="3">
        <v>12</v>
      </c>
      <c r="B2423" s="3">
        <v>4</v>
      </c>
      <c r="C2423" s="3">
        <v>97</v>
      </c>
      <c r="D2423" s="3">
        <v>31</v>
      </c>
      <c r="E2423" s="3">
        <v>209.258</v>
      </c>
      <c r="F2423" s="4" t="str">
        <f>HYPERLINK("http://141.218.60.56/~jnz1568/getInfo.php?workbook=12_04.xlsx&amp;sheet=A0&amp;row=2423&amp;col=6&amp;number=0.204&amp;sourceID=14","0.204")</f>
        <v>0.204</v>
      </c>
      <c r="G2423" s="4" t="str">
        <f>HYPERLINK("http://141.218.60.56/~jnz1568/getInfo.php?workbook=12_04.xlsx&amp;sheet=A0&amp;row=2423&amp;col=7&amp;number=0&amp;sourceID=14","0")</f>
        <v>0</v>
      </c>
    </row>
    <row r="2424" spans="1:7">
      <c r="A2424" s="3">
        <v>12</v>
      </c>
      <c r="B2424" s="3">
        <v>4</v>
      </c>
      <c r="C2424" s="3">
        <v>98</v>
      </c>
      <c r="D2424" s="3">
        <v>31</v>
      </c>
      <c r="E2424" s="3">
        <v>208.499</v>
      </c>
      <c r="F2424" s="4" t="str">
        <f>HYPERLINK("http://141.218.60.56/~jnz1568/getInfo.php?workbook=12_04.xlsx&amp;sheet=A0&amp;row=2424&amp;col=6&amp;number=65900000&amp;sourceID=14","65900000")</f>
        <v>65900000</v>
      </c>
      <c r="G2424" s="4" t="str">
        <f>HYPERLINK("http://141.218.60.56/~jnz1568/getInfo.php?workbook=12_04.xlsx&amp;sheet=A0&amp;row=2424&amp;col=7&amp;number=0&amp;sourceID=14","0")</f>
        <v>0</v>
      </c>
    </row>
    <row r="2425" spans="1:7">
      <c r="A2425" s="3">
        <v>12</v>
      </c>
      <c r="B2425" s="3">
        <v>4</v>
      </c>
      <c r="C2425" s="3">
        <v>33</v>
      </c>
      <c r="D2425" s="3">
        <v>32</v>
      </c>
      <c r="E2425" s="3">
        <v>-17602.566</v>
      </c>
      <c r="F2425" s="4" t="str">
        <f>HYPERLINK("http://141.218.60.56/~jnz1568/getInfo.php?workbook=12_04.xlsx&amp;sheet=A0&amp;row=2425&amp;col=6&amp;number=88.7&amp;sourceID=14","88.7")</f>
        <v>88.7</v>
      </c>
      <c r="G2425" s="4" t="str">
        <f>HYPERLINK("http://141.218.60.56/~jnz1568/getInfo.php?workbook=12_04.xlsx&amp;sheet=A0&amp;row=2425&amp;col=7&amp;number=0&amp;sourceID=14","0")</f>
        <v>0</v>
      </c>
    </row>
    <row r="2426" spans="1:7">
      <c r="A2426" s="3">
        <v>12</v>
      </c>
      <c r="B2426" s="3">
        <v>4</v>
      </c>
      <c r="C2426" s="3">
        <v>34</v>
      </c>
      <c r="D2426" s="3">
        <v>32</v>
      </c>
      <c r="E2426" s="3">
        <v>-12941.657</v>
      </c>
      <c r="F2426" s="4" t="str">
        <f>HYPERLINK("http://141.218.60.56/~jnz1568/getInfo.php?workbook=12_04.xlsx&amp;sheet=A0&amp;row=2426&amp;col=6&amp;number=126&amp;sourceID=14","126")</f>
        <v>126</v>
      </c>
      <c r="G2426" s="4" t="str">
        <f>HYPERLINK("http://141.218.60.56/~jnz1568/getInfo.php?workbook=12_04.xlsx&amp;sheet=A0&amp;row=2426&amp;col=7&amp;number=0&amp;sourceID=14","0")</f>
        <v>0</v>
      </c>
    </row>
    <row r="2427" spans="1:7">
      <c r="A2427" s="3">
        <v>12</v>
      </c>
      <c r="B2427" s="3">
        <v>4</v>
      </c>
      <c r="C2427" s="3">
        <v>35</v>
      </c>
      <c r="D2427" s="3">
        <v>32</v>
      </c>
      <c r="E2427" s="3">
        <v>10362.713</v>
      </c>
      <c r="F2427" s="4" t="str">
        <f>HYPERLINK("http://141.218.60.56/~jnz1568/getInfo.php?workbook=12_04.xlsx&amp;sheet=A0&amp;row=2427&amp;col=6&amp;number=772&amp;sourceID=14","772")</f>
        <v>772</v>
      </c>
      <c r="G2427" s="4" t="str">
        <f>HYPERLINK("http://141.218.60.56/~jnz1568/getInfo.php?workbook=12_04.xlsx&amp;sheet=A0&amp;row=2427&amp;col=7&amp;number=0&amp;sourceID=14","0")</f>
        <v>0</v>
      </c>
    </row>
    <row r="2428" spans="1:7">
      <c r="A2428" s="3">
        <v>12</v>
      </c>
      <c r="B2428" s="3">
        <v>4</v>
      </c>
      <c r="C2428" s="3">
        <v>36</v>
      </c>
      <c r="D2428" s="3">
        <v>32</v>
      </c>
      <c r="E2428" s="3">
        <v>-10264.852</v>
      </c>
      <c r="F2428" s="4" t="str">
        <f>HYPERLINK("http://141.218.60.56/~jnz1568/getInfo.php?workbook=12_04.xlsx&amp;sheet=A0&amp;row=2428&amp;col=6&amp;number=8.71e-08&amp;sourceID=14","8.71e-08")</f>
        <v>8.71e-08</v>
      </c>
      <c r="G2428" s="4" t="str">
        <f>HYPERLINK("http://141.218.60.56/~jnz1568/getInfo.php?workbook=12_04.xlsx&amp;sheet=A0&amp;row=2428&amp;col=7&amp;number=0&amp;sourceID=14","0")</f>
        <v>0</v>
      </c>
    </row>
    <row r="2429" spans="1:7">
      <c r="A2429" s="3">
        <v>12</v>
      </c>
      <c r="B2429" s="3">
        <v>4</v>
      </c>
      <c r="C2429" s="3">
        <v>37</v>
      </c>
      <c r="D2429" s="3">
        <v>32</v>
      </c>
      <c r="E2429" s="3">
        <v>6297.241</v>
      </c>
      <c r="F2429" s="4" t="str">
        <f>HYPERLINK("http://141.218.60.56/~jnz1568/getInfo.php?workbook=12_04.xlsx&amp;sheet=A0&amp;row=2429&amp;col=6&amp;number=0.586&amp;sourceID=14","0.586")</f>
        <v>0.586</v>
      </c>
      <c r="G2429" s="4" t="str">
        <f>HYPERLINK("http://141.218.60.56/~jnz1568/getInfo.php?workbook=12_04.xlsx&amp;sheet=A0&amp;row=2429&amp;col=7&amp;number=0&amp;sourceID=14","0")</f>
        <v>0</v>
      </c>
    </row>
    <row r="2430" spans="1:7">
      <c r="A2430" s="3">
        <v>12</v>
      </c>
      <c r="B2430" s="3">
        <v>4</v>
      </c>
      <c r="C2430" s="3">
        <v>38</v>
      </c>
      <c r="D2430" s="3">
        <v>32</v>
      </c>
      <c r="E2430" s="3">
        <v>3658.99</v>
      </c>
      <c r="F2430" s="4" t="str">
        <f>HYPERLINK("http://141.218.60.56/~jnz1568/getInfo.php?workbook=12_04.xlsx&amp;sheet=A0&amp;row=2430&amp;col=6&amp;number=229000&amp;sourceID=14","229000")</f>
        <v>229000</v>
      </c>
      <c r="G2430" s="4" t="str">
        <f>HYPERLINK("http://141.218.60.56/~jnz1568/getInfo.php?workbook=12_04.xlsx&amp;sheet=A0&amp;row=2430&amp;col=7&amp;number=0&amp;sourceID=14","0")</f>
        <v>0</v>
      </c>
    </row>
    <row r="2431" spans="1:7">
      <c r="A2431" s="3">
        <v>12</v>
      </c>
      <c r="B2431" s="3">
        <v>4</v>
      </c>
      <c r="C2431" s="3">
        <v>39</v>
      </c>
      <c r="D2431" s="3">
        <v>32</v>
      </c>
      <c r="E2431" s="3">
        <v>3588.094</v>
      </c>
      <c r="F2431" s="4" t="str">
        <f>HYPERLINK("http://141.218.60.56/~jnz1568/getInfo.php?workbook=12_04.xlsx&amp;sheet=A0&amp;row=2431&amp;col=6&amp;number=2750000&amp;sourceID=14","2750000")</f>
        <v>2750000</v>
      </c>
      <c r="G2431" s="4" t="str">
        <f>HYPERLINK("http://141.218.60.56/~jnz1568/getInfo.php?workbook=12_04.xlsx&amp;sheet=A0&amp;row=2431&amp;col=7&amp;number=0&amp;sourceID=14","0")</f>
        <v>0</v>
      </c>
    </row>
    <row r="2432" spans="1:7">
      <c r="A2432" s="3">
        <v>12</v>
      </c>
      <c r="B2432" s="3">
        <v>4</v>
      </c>
      <c r="C2432" s="3">
        <v>40</v>
      </c>
      <c r="D2432" s="3">
        <v>32</v>
      </c>
      <c r="E2432" s="3">
        <v>3463.81</v>
      </c>
      <c r="F2432" s="4" t="str">
        <f>HYPERLINK("http://141.218.60.56/~jnz1568/getInfo.php?workbook=12_04.xlsx&amp;sheet=A0&amp;row=2432&amp;col=6&amp;number=18000000&amp;sourceID=14","18000000")</f>
        <v>18000000</v>
      </c>
      <c r="G2432" s="4" t="str">
        <f>HYPERLINK("http://141.218.60.56/~jnz1568/getInfo.php?workbook=12_04.xlsx&amp;sheet=A0&amp;row=2432&amp;col=7&amp;number=0&amp;sourceID=14","0")</f>
        <v>0</v>
      </c>
    </row>
    <row r="2433" spans="1:7">
      <c r="A2433" s="3">
        <v>12</v>
      </c>
      <c r="B2433" s="3">
        <v>4</v>
      </c>
      <c r="C2433" s="3">
        <v>41</v>
      </c>
      <c r="D2433" s="3">
        <v>32</v>
      </c>
      <c r="E2433" s="3">
        <v>2838.495</v>
      </c>
      <c r="F2433" s="4" t="str">
        <f>HYPERLINK("http://141.218.60.56/~jnz1568/getInfo.php?workbook=12_04.xlsx&amp;sheet=A0&amp;row=2433&amp;col=6&amp;number=13500000&amp;sourceID=14","13500000")</f>
        <v>13500000</v>
      </c>
      <c r="G2433" s="4" t="str">
        <f>HYPERLINK("http://141.218.60.56/~jnz1568/getInfo.php?workbook=12_04.xlsx&amp;sheet=A0&amp;row=2433&amp;col=7&amp;number=0&amp;sourceID=14","0")</f>
        <v>0</v>
      </c>
    </row>
    <row r="2434" spans="1:7">
      <c r="A2434" s="3">
        <v>12</v>
      </c>
      <c r="B2434" s="3">
        <v>4</v>
      </c>
      <c r="C2434" s="3">
        <v>42</v>
      </c>
      <c r="D2434" s="3">
        <v>32</v>
      </c>
      <c r="E2434" s="3">
        <v>2760.911</v>
      </c>
      <c r="F2434" s="4" t="str">
        <f>HYPERLINK("http://141.218.60.56/~jnz1568/getInfo.php?workbook=12_04.xlsx&amp;sheet=A0&amp;row=2434&amp;col=6&amp;number=7510000&amp;sourceID=14","7510000")</f>
        <v>7510000</v>
      </c>
      <c r="G2434" s="4" t="str">
        <f>HYPERLINK("http://141.218.60.56/~jnz1568/getInfo.php?workbook=12_04.xlsx&amp;sheet=A0&amp;row=2434&amp;col=7&amp;number=0&amp;sourceID=14","0")</f>
        <v>0</v>
      </c>
    </row>
    <row r="2435" spans="1:7">
      <c r="A2435" s="3">
        <v>12</v>
      </c>
      <c r="B2435" s="3">
        <v>4</v>
      </c>
      <c r="C2435" s="3">
        <v>43</v>
      </c>
      <c r="D2435" s="3">
        <v>32</v>
      </c>
      <c r="E2435" s="3">
        <v>2721.834</v>
      </c>
      <c r="F2435" s="4" t="str">
        <f>HYPERLINK("http://141.218.60.56/~jnz1568/getInfo.php?workbook=12_04.xlsx&amp;sheet=A0&amp;row=2435&amp;col=6&amp;number=1.11e-05&amp;sourceID=14","1.11e-05")</f>
        <v>1.11e-05</v>
      </c>
      <c r="G2435" s="4" t="str">
        <f>HYPERLINK("http://141.218.60.56/~jnz1568/getInfo.php?workbook=12_04.xlsx&amp;sheet=A0&amp;row=2435&amp;col=7&amp;number=0&amp;sourceID=14","0")</f>
        <v>0</v>
      </c>
    </row>
    <row r="2436" spans="1:7">
      <c r="A2436" s="3">
        <v>12</v>
      </c>
      <c r="B2436" s="3">
        <v>4</v>
      </c>
      <c r="C2436" s="3">
        <v>44</v>
      </c>
      <c r="D2436" s="3">
        <v>32</v>
      </c>
      <c r="E2436" s="3">
        <v>-1944.054</v>
      </c>
      <c r="F2436" s="4" t="str">
        <f>HYPERLINK("http://141.218.60.56/~jnz1568/getInfo.php?workbook=12_04.xlsx&amp;sheet=A0&amp;row=2436&amp;col=6&amp;number=0.146&amp;sourceID=14","0.146")</f>
        <v>0.146</v>
      </c>
      <c r="G2436" s="4" t="str">
        <f>HYPERLINK("http://141.218.60.56/~jnz1568/getInfo.php?workbook=12_04.xlsx&amp;sheet=A0&amp;row=2436&amp;col=7&amp;number=0&amp;sourceID=14","0")</f>
        <v>0</v>
      </c>
    </row>
    <row r="2437" spans="1:7">
      <c r="A2437" s="3">
        <v>12</v>
      </c>
      <c r="B2437" s="3">
        <v>4</v>
      </c>
      <c r="C2437" s="3">
        <v>45</v>
      </c>
      <c r="D2437" s="3">
        <v>32</v>
      </c>
      <c r="E2437" s="3">
        <v>1828.157</v>
      </c>
      <c r="F2437" s="4" t="str">
        <f>HYPERLINK("http://141.218.60.56/~jnz1568/getInfo.php?workbook=12_04.xlsx&amp;sheet=A0&amp;row=2437&amp;col=6&amp;number=191000&amp;sourceID=14","191000")</f>
        <v>191000</v>
      </c>
      <c r="G2437" s="4" t="str">
        <f>HYPERLINK("http://141.218.60.56/~jnz1568/getInfo.php?workbook=12_04.xlsx&amp;sheet=A0&amp;row=2437&amp;col=7&amp;number=0&amp;sourceID=14","0")</f>
        <v>0</v>
      </c>
    </row>
    <row r="2438" spans="1:7">
      <c r="A2438" s="3">
        <v>12</v>
      </c>
      <c r="B2438" s="3">
        <v>4</v>
      </c>
      <c r="C2438" s="3">
        <v>46</v>
      </c>
      <c r="D2438" s="3">
        <v>32</v>
      </c>
      <c r="E2438" s="3">
        <v>1624.171</v>
      </c>
      <c r="F2438" s="4" t="str">
        <f>HYPERLINK("http://141.218.60.56/~jnz1568/getInfo.php?workbook=12_04.xlsx&amp;sheet=A0&amp;row=2438&amp;col=6&amp;number=19200&amp;sourceID=14","19200")</f>
        <v>19200</v>
      </c>
      <c r="G2438" s="4" t="str">
        <f>HYPERLINK("http://141.218.60.56/~jnz1568/getInfo.php?workbook=12_04.xlsx&amp;sheet=A0&amp;row=2438&amp;col=7&amp;number=0&amp;sourceID=14","0")</f>
        <v>0</v>
      </c>
    </row>
    <row r="2439" spans="1:7">
      <c r="A2439" s="3">
        <v>12</v>
      </c>
      <c r="B2439" s="3">
        <v>4</v>
      </c>
      <c r="C2439" s="3">
        <v>47</v>
      </c>
      <c r="D2439" s="3">
        <v>32</v>
      </c>
      <c r="E2439" s="3">
        <v>-384.849</v>
      </c>
      <c r="F2439" s="4" t="str">
        <f>HYPERLINK("http://141.218.60.56/~jnz1568/getInfo.php?workbook=12_04.xlsx&amp;sheet=A0&amp;row=2439&amp;col=6&amp;number=0.204&amp;sourceID=14","0.204")</f>
        <v>0.204</v>
      </c>
      <c r="G2439" s="4" t="str">
        <f>HYPERLINK("http://141.218.60.56/~jnz1568/getInfo.php?workbook=12_04.xlsx&amp;sheet=A0&amp;row=2439&amp;col=7&amp;number=0&amp;sourceID=14","0")</f>
        <v>0</v>
      </c>
    </row>
    <row r="2440" spans="1:7">
      <c r="A2440" s="3">
        <v>12</v>
      </c>
      <c r="B2440" s="3">
        <v>4</v>
      </c>
      <c r="C2440" s="3">
        <v>48</v>
      </c>
      <c r="D2440" s="3">
        <v>32</v>
      </c>
      <c r="E2440" s="3">
        <v>-370.49</v>
      </c>
      <c r="F2440" s="4" t="str">
        <f>HYPERLINK("http://141.218.60.56/~jnz1568/getInfo.php?workbook=12_04.xlsx&amp;sheet=A0&amp;row=2440&amp;col=6&amp;number=16&amp;sourceID=14","16")</f>
        <v>16</v>
      </c>
      <c r="G2440" s="4" t="str">
        <f>HYPERLINK("http://141.218.60.56/~jnz1568/getInfo.php?workbook=12_04.xlsx&amp;sheet=A0&amp;row=2440&amp;col=7&amp;number=0&amp;sourceID=14","0")</f>
        <v>0</v>
      </c>
    </row>
    <row r="2441" spans="1:7">
      <c r="A2441" s="3">
        <v>12</v>
      </c>
      <c r="B2441" s="3">
        <v>4</v>
      </c>
      <c r="C2441" s="3">
        <v>49</v>
      </c>
      <c r="D2441" s="3">
        <v>32</v>
      </c>
      <c r="E2441" s="3">
        <v>-351.569</v>
      </c>
      <c r="F2441" s="4" t="str">
        <f>HYPERLINK("http://141.218.60.56/~jnz1568/getInfo.php?workbook=12_04.xlsx&amp;sheet=A0&amp;row=2441&amp;col=6&amp;number=0.00717&amp;sourceID=14","0.00717")</f>
        <v>0.00717</v>
      </c>
      <c r="G2441" s="4" t="str">
        <f>HYPERLINK("http://141.218.60.56/~jnz1568/getInfo.php?workbook=12_04.xlsx&amp;sheet=A0&amp;row=2441&amp;col=7&amp;number=0&amp;sourceID=14","0")</f>
        <v>0</v>
      </c>
    </row>
    <row r="2442" spans="1:7">
      <c r="A2442" s="3">
        <v>12</v>
      </c>
      <c r="B2442" s="3">
        <v>4</v>
      </c>
      <c r="C2442" s="3">
        <v>50</v>
      </c>
      <c r="D2442" s="3">
        <v>32</v>
      </c>
      <c r="E2442" s="3">
        <v>-351.425</v>
      </c>
      <c r="F2442" s="4" t="str">
        <f>HYPERLINK("http://141.218.60.56/~jnz1568/getInfo.php?workbook=12_04.xlsx&amp;sheet=A0&amp;row=2442&amp;col=6&amp;number=5990000&amp;sourceID=14","5990000")</f>
        <v>5990000</v>
      </c>
      <c r="G2442" s="4" t="str">
        <f>HYPERLINK("http://141.218.60.56/~jnz1568/getInfo.php?workbook=12_04.xlsx&amp;sheet=A0&amp;row=2442&amp;col=7&amp;number=0&amp;sourceID=14","0")</f>
        <v>0</v>
      </c>
    </row>
    <row r="2443" spans="1:7">
      <c r="A2443" s="3">
        <v>12</v>
      </c>
      <c r="B2443" s="3">
        <v>4</v>
      </c>
      <c r="C2443" s="3">
        <v>51</v>
      </c>
      <c r="D2443" s="3">
        <v>32</v>
      </c>
      <c r="E2443" s="3">
        <v>-351.102</v>
      </c>
      <c r="F2443" s="4" t="str">
        <f>HYPERLINK("http://141.218.60.56/~jnz1568/getInfo.php?workbook=12_04.xlsx&amp;sheet=A0&amp;row=2443&amp;col=6&amp;number=9660000&amp;sourceID=14","9660000")</f>
        <v>9660000</v>
      </c>
      <c r="G2443" s="4" t="str">
        <f>HYPERLINK("http://141.218.60.56/~jnz1568/getInfo.php?workbook=12_04.xlsx&amp;sheet=A0&amp;row=2443&amp;col=7&amp;number=0&amp;sourceID=14","0")</f>
        <v>0</v>
      </c>
    </row>
    <row r="2444" spans="1:7">
      <c r="A2444" s="3">
        <v>12</v>
      </c>
      <c r="B2444" s="3">
        <v>4</v>
      </c>
      <c r="C2444" s="3">
        <v>52</v>
      </c>
      <c r="D2444" s="3">
        <v>32</v>
      </c>
      <c r="E2444" s="3">
        <v>346.393</v>
      </c>
      <c r="F2444" s="4" t="str">
        <f>HYPERLINK("http://141.218.60.56/~jnz1568/getInfo.php?workbook=12_04.xlsx&amp;sheet=A0&amp;row=2444&amp;col=6&amp;number=685000&amp;sourceID=14","685000")</f>
        <v>685000</v>
      </c>
      <c r="G2444" s="4" t="str">
        <f>HYPERLINK("http://141.218.60.56/~jnz1568/getInfo.php?workbook=12_04.xlsx&amp;sheet=A0&amp;row=2444&amp;col=7&amp;number=0&amp;sourceID=14","0")</f>
        <v>0</v>
      </c>
    </row>
    <row r="2445" spans="1:7">
      <c r="A2445" s="3">
        <v>12</v>
      </c>
      <c r="B2445" s="3">
        <v>4</v>
      </c>
      <c r="C2445" s="3">
        <v>53</v>
      </c>
      <c r="D2445" s="3">
        <v>32</v>
      </c>
      <c r="E2445" s="3">
        <v>333.356</v>
      </c>
      <c r="F2445" s="4" t="str">
        <f>HYPERLINK("http://141.218.60.56/~jnz1568/getInfo.php?workbook=12_04.xlsx&amp;sheet=A0&amp;row=2445&amp;col=6&amp;number=11.4&amp;sourceID=14","11.4")</f>
        <v>11.4</v>
      </c>
      <c r="G2445" s="4" t="str">
        <f>HYPERLINK("http://141.218.60.56/~jnz1568/getInfo.php?workbook=12_04.xlsx&amp;sheet=A0&amp;row=2445&amp;col=7&amp;number=0&amp;sourceID=14","0")</f>
        <v>0</v>
      </c>
    </row>
    <row r="2446" spans="1:7">
      <c r="A2446" s="3">
        <v>12</v>
      </c>
      <c r="B2446" s="3">
        <v>4</v>
      </c>
      <c r="C2446" s="3">
        <v>54</v>
      </c>
      <c r="D2446" s="3">
        <v>32</v>
      </c>
      <c r="E2446" s="3">
        <v>333.356</v>
      </c>
      <c r="F2446" s="4" t="str">
        <f>HYPERLINK("http://141.218.60.56/~jnz1568/getInfo.php?workbook=12_04.xlsx&amp;sheet=A0&amp;row=2446&amp;col=6&amp;number=21.8&amp;sourceID=14","21.8")</f>
        <v>21.8</v>
      </c>
      <c r="G2446" s="4" t="str">
        <f>HYPERLINK("http://141.218.60.56/~jnz1568/getInfo.php?workbook=12_04.xlsx&amp;sheet=A0&amp;row=2446&amp;col=7&amp;number=0&amp;sourceID=14","0")</f>
        <v>0</v>
      </c>
    </row>
    <row r="2447" spans="1:7">
      <c r="A2447" s="3">
        <v>12</v>
      </c>
      <c r="B2447" s="3">
        <v>4</v>
      </c>
      <c r="C2447" s="3">
        <v>55</v>
      </c>
      <c r="D2447" s="3">
        <v>32</v>
      </c>
      <c r="E2447" s="3">
        <v>333.267</v>
      </c>
      <c r="F2447" s="4" t="str">
        <f>HYPERLINK("http://141.218.60.56/~jnz1568/getInfo.php?workbook=12_04.xlsx&amp;sheet=A0&amp;row=2447&amp;col=6&amp;number=17.5&amp;sourceID=14","17.5")</f>
        <v>17.5</v>
      </c>
      <c r="G2447" s="4" t="str">
        <f>HYPERLINK("http://141.218.60.56/~jnz1568/getInfo.php?workbook=12_04.xlsx&amp;sheet=A0&amp;row=2447&amp;col=7&amp;number=0&amp;sourceID=14","0")</f>
        <v>0</v>
      </c>
    </row>
    <row r="2448" spans="1:7">
      <c r="A2448" s="3">
        <v>12</v>
      </c>
      <c r="B2448" s="3">
        <v>4</v>
      </c>
      <c r="C2448" s="3">
        <v>56</v>
      </c>
      <c r="D2448" s="3">
        <v>32</v>
      </c>
      <c r="E2448" s="3">
        <v>324.781</v>
      </c>
      <c r="F2448" s="4" t="str">
        <f>HYPERLINK("http://141.218.60.56/~jnz1568/getInfo.php?workbook=12_04.xlsx&amp;sheet=A0&amp;row=2448&amp;col=6&amp;number=1.92&amp;sourceID=14","1.92")</f>
        <v>1.92</v>
      </c>
      <c r="G2448" s="4" t="str">
        <f>HYPERLINK("http://141.218.60.56/~jnz1568/getInfo.php?workbook=12_04.xlsx&amp;sheet=A0&amp;row=2448&amp;col=7&amp;number=0&amp;sourceID=14","0")</f>
        <v>0</v>
      </c>
    </row>
    <row r="2449" spans="1:7">
      <c r="A2449" s="3">
        <v>12</v>
      </c>
      <c r="B2449" s="3">
        <v>4</v>
      </c>
      <c r="C2449" s="3">
        <v>57</v>
      </c>
      <c r="D2449" s="3">
        <v>32</v>
      </c>
      <c r="E2449" s="3">
        <v>-325.228</v>
      </c>
      <c r="F2449" s="4" t="str">
        <f>HYPERLINK("http://141.218.60.56/~jnz1568/getInfo.php?workbook=12_04.xlsx&amp;sheet=A0&amp;row=2449&amp;col=6&amp;number=161000&amp;sourceID=14","161000")</f>
        <v>161000</v>
      </c>
      <c r="G2449" s="4" t="str">
        <f>HYPERLINK("http://141.218.60.56/~jnz1568/getInfo.php?workbook=12_04.xlsx&amp;sheet=A0&amp;row=2449&amp;col=7&amp;number=0&amp;sourceID=14","0")</f>
        <v>0</v>
      </c>
    </row>
    <row r="2450" spans="1:7">
      <c r="A2450" s="3">
        <v>12</v>
      </c>
      <c r="B2450" s="3">
        <v>4</v>
      </c>
      <c r="C2450" s="3">
        <v>58</v>
      </c>
      <c r="D2450" s="3">
        <v>32</v>
      </c>
      <c r="E2450" s="3">
        <v>-325.197</v>
      </c>
      <c r="F2450" s="4" t="str">
        <f>HYPERLINK("http://141.218.60.56/~jnz1568/getInfo.php?workbook=12_04.xlsx&amp;sheet=A0&amp;row=2450&amp;col=6&amp;number=958000&amp;sourceID=14","958000")</f>
        <v>958000</v>
      </c>
      <c r="G2450" s="4" t="str">
        <f>HYPERLINK("http://141.218.60.56/~jnz1568/getInfo.php?workbook=12_04.xlsx&amp;sheet=A0&amp;row=2450&amp;col=7&amp;number=0&amp;sourceID=14","0")</f>
        <v>0</v>
      </c>
    </row>
    <row r="2451" spans="1:7">
      <c r="A2451" s="3">
        <v>12</v>
      </c>
      <c r="B2451" s="3">
        <v>4</v>
      </c>
      <c r="C2451" s="3">
        <v>59</v>
      </c>
      <c r="D2451" s="3">
        <v>32</v>
      </c>
      <c r="E2451" s="3">
        <v>-325.157</v>
      </c>
      <c r="F2451" s="4" t="str">
        <f>HYPERLINK("http://141.218.60.56/~jnz1568/getInfo.php?workbook=12_04.xlsx&amp;sheet=A0&amp;row=2451&amp;col=6&amp;number=0.000971&amp;sourceID=14","0.000971")</f>
        <v>0.000971</v>
      </c>
      <c r="G2451" s="4" t="str">
        <f>HYPERLINK("http://141.218.60.56/~jnz1568/getInfo.php?workbook=12_04.xlsx&amp;sheet=A0&amp;row=2451&amp;col=7&amp;number=0&amp;sourceID=14","0")</f>
        <v>0</v>
      </c>
    </row>
    <row r="2452" spans="1:7">
      <c r="A2452" s="3">
        <v>12</v>
      </c>
      <c r="B2452" s="3">
        <v>4</v>
      </c>
      <c r="C2452" s="3">
        <v>60</v>
      </c>
      <c r="D2452" s="3">
        <v>32</v>
      </c>
      <c r="E2452" s="3">
        <v>-322.508</v>
      </c>
      <c r="F2452" s="4" t="str">
        <f>HYPERLINK("http://141.218.60.56/~jnz1568/getInfo.php?workbook=12_04.xlsx&amp;sheet=A0&amp;row=2452&amp;col=6&amp;number=5610000&amp;sourceID=14","5610000")</f>
        <v>5610000</v>
      </c>
      <c r="G2452" s="4" t="str">
        <f>HYPERLINK("http://141.218.60.56/~jnz1568/getInfo.php?workbook=12_04.xlsx&amp;sheet=A0&amp;row=2452&amp;col=7&amp;number=0&amp;sourceID=14","0")</f>
        <v>0</v>
      </c>
    </row>
    <row r="2453" spans="1:7">
      <c r="A2453" s="3">
        <v>12</v>
      </c>
      <c r="B2453" s="3">
        <v>4</v>
      </c>
      <c r="C2453" s="3">
        <v>61</v>
      </c>
      <c r="D2453" s="3">
        <v>32</v>
      </c>
      <c r="E2453" s="3">
        <v>-234.864</v>
      </c>
      <c r="F2453" s="4" t="str">
        <f>HYPERLINK("http://141.218.60.56/~jnz1568/getInfo.php?workbook=12_04.xlsx&amp;sheet=A0&amp;row=2453&amp;col=6&amp;number=6.6&amp;sourceID=14","6.6")</f>
        <v>6.6</v>
      </c>
      <c r="G2453" s="4" t="str">
        <f>HYPERLINK("http://141.218.60.56/~jnz1568/getInfo.php?workbook=12_04.xlsx&amp;sheet=A0&amp;row=2453&amp;col=7&amp;number=0&amp;sourceID=14","0")</f>
        <v>0</v>
      </c>
    </row>
    <row r="2454" spans="1:7">
      <c r="A2454" s="3">
        <v>12</v>
      </c>
      <c r="B2454" s="3">
        <v>4</v>
      </c>
      <c r="C2454" s="3">
        <v>62</v>
      </c>
      <c r="D2454" s="3">
        <v>32</v>
      </c>
      <c r="E2454" s="3">
        <v>-234.359</v>
      </c>
      <c r="F2454" s="4" t="str">
        <f>HYPERLINK("http://141.218.60.56/~jnz1568/getInfo.php?workbook=12_04.xlsx&amp;sheet=A0&amp;row=2454&amp;col=6&amp;number=4030000000&amp;sourceID=14","4030000000")</f>
        <v>4030000000</v>
      </c>
      <c r="G2454" s="4" t="str">
        <f>HYPERLINK("http://141.218.60.56/~jnz1568/getInfo.php?workbook=12_04.xlsx&amp;sheet=A0&amp;row=2454&amp;col=7&amp;number=0&amp;sourceID=14","0")</f>
        <v>0</v>
      </c>
    </row>
    <row r="2455" spans="1:7">
      <c r="A2455" s="3">
        <v>12</v>
      </c>
      <c r="B2455" s="3">
        <v>4</v>
      </c>
      <c r="C2455" s="3">
        <v>63</v>
      </c>
      <c r="D2455" s="3">
        <v>32</v>
      </c>
      <c r="E2455" s="3">
        <v>-232.733</v>
      </c>
      <c r="F2455" s="4" t="str">
        <f>HYPERLINK("http://141.218.60.56/~jnz1568/getInfo.php?workbook=12_04.xlsx&amp;sheet=A0&amp;row=2455&amp;col=6&amp;number=8390000000&amp;sourceID=14","8390000000")</f>
        <v>8390000000</v>
      </c>
      <c r="G2455" s="4" t="str">
        <f>HYPERLINK("http://141.218.60.56/~jnz1568/getInfo.php?workbook=12_04.xlsx&amp;sheet=A0&amp;row=2455&amp;col=7&amp;number=0&amp;sourceID=14","0")</f>
        <v>0</v>
      </c>
    </row>
    <row r="2456" spans="1:7">
      <c r="A2456" s="3">
        <v>12</v>
      </c>
      <c r="B2456" s="3">
        <v>4</v>
      </c>
      <c r="C2456" s="3">
        <v>64</v>
      </c>
      <c r="D2456" s="3">
        <v>32</v>
      </c>
      <c r="E2456" s="3">
        <v>-229.402</v>
      </c>
      <c r="F2456" s="4" t="str">
        <f>HYPERLINK("http://141.218.60.56/~jnz1568/getInfo.php?workbook=12_04.xlsx&amp;sheet=A0&amp;row=2456&amp;col=6&amp;number=47200000&amp;sourceID=14","47200000")</f>
        <v>47200000</v>
      </c>
      <c r="G2456" s="4" t="str">
        <f>HYPERLINK("http://141.218.60.56/~jnz1568/getInfo.php?workbook=12_04.xlsx&amp;sheet=A0&amp;row=2456&amp;col=7&amp;number=0&amp;sourceID=14","0")</f>
        <v>0</v>
      </c>
    </row>
    <row r="2457" spans="1:7">
      <c r="A2457" s="3">
        <v>12</v>
      </c>
      <c r="B2457" s="3">
        <v>4</v>
      </c>
      <c r="C2457" s="3">
        <v>65</v>
      </c>
      <c r="D2457" s="3">
        <v>32</v>
      </c>
      <c r="E2457" s="3">
        <v>-225.508</v>
      </c>
      <c r="F2457" s="4" t="str">
        <f>HYPERLINK("http://141.218.60.56/~jnz1568/getInfo.php?workbook=12_04.xlsx&amp;sheet=A0&amp;row=2457&amp;col=6&amp;number=84400&amp;sourceID=14","84400")</f>
        <v>84400</v>
      </c>
      <c r="G2457" s="4" t="str">
        <f>HYPERLINK("http://141.218.60.56/~jnz1568/getInfo.php?workbook=12_04.xlsx&amp;sheet=A0&amp;row=2457&amp;col=7&amp;number=0&amp;sourceID=14","0")</f>
        <v>0</v>
      </c>
    </row>
    <row r="2458" spans="1:7">
      <c r="A2458" s="3">
        <v>12</v>
      </c>
      <c r="B2458" s="3">
        <v>4</v>
      </c>
      <c r="C2458" s="3">
        <v>66</v>
      </c>
      <c r="D2458" s="3">
        <v>32</v>
      </c>
      <c r="E2458" s="3">
        <v>-224.218</v>
      </c>
      <c r="F2458" s="4" t="str">
        <f>HYPERLINK("http://141.218.60.56/~jnz1568/getInfo.php?workbook=12_04.xlsx&amp;sheet=A0&amp;row=2458&amp;col=6&amp;number=37900&amp;sourceID=14","37900")</f>
        <v>37900</v>
      </c>
      <c r="G2458" s="4" t="str">
        <f>HYPERLINK("http://141.218.60.56/~jnz1568/getInfo.php?workbook=12_04.xlsx&amp;sheet=A0&amp;row=2458&amp;col=7&amp;number=0&amp;sourceID=14","0")</f>
        <v>0</v>
      </c>
    </row>
    <row r="2459" spans="1:7">
      <c r="A2459" s="3">
        <v>12</v>
      </c>
      <c r="B2459" s="3">
        <v>4</v>
      </c>
      <c r="C2459" s="3">
        <v>67</v>
      </c>
      <c r="D2459" s="3">
        <v>32</v>
      </c>
      <c r="E2459" s="3">
        <v>-223.992</v>
      </c>
      <c r="F2459" s="4" t="str">
        <f>HYPERLINK("http://141.218.60.56/~jnz1568/getInfo.php?workbook=12_04.xlsx&amp;sheet=A0&amp;row=2459&amp;col=6&amp;number=304000&amp;sourceID=14","304000")</f>
        <v>304000</v>
      </c>
      <c r="G2459" s="4" t="str">
        <f>HYPERLINK("http://141.218.60.56/~jnz1568/getInfo.php?workbook=12_04.xlsx&amp;sheet=A0&amp;row=2459&amp;col=7&amp;number=0&amp;sourceID=14","0")</f>
        <v>0</v>
      </c>
    </row>
    <row r="2460" spans="1:7">
      <c r="A2460" s="3">
        <v>12</v>
      </c>
      <c r="B2460" s="3">
        <v>4</v>
      </c>
      <c r="C2460" s="3">
        <v>68</v>
      </c>
      <c r="D2460" s="3">
        <v>32</v>
      </c>
      <c r="E2460" s="3">
        <v>222.351</v>
      </c>
      <c r="F2460" s="4" t="str">
        <f>HYPERLINK("http://141.218.60.56/~jnz1568/getInfo.php?workbook=12_04.xlsx&amp;sheet=A0&amp;row=2460&amp;col=6&amp;number=461000&amp;sourceID=14","461000")</f>
        <v>461000</v>
      </c>
      <c r="G2460" s="4" t="str">
        <f>HYPERLINK("http://141.218.60.56/~jnz1568/getInfo.php?workbook=12_04.xlsx&amp;sheet=A0&amp;row=2460&amp;col=7&amp;number=0&amp;sourceID=14","0")</f>
        <v>0</v>
      </c>
    </row>
    <row r="2461" spans="1:7">
      <c r="A2461" s="3">
        <v>12</v>
      </c>
      <c r="B2461" s="3">
        <v>4</v>
      </c>
      <c r="C2461" s="3">
        <v>69</v>
      </c>
      <c r="D2461" s="3">
        <v>32</v>
      </c>
      <c r="E2461" s="3">
        <v>-221.346</v>
      </c>
      <c r="F2461" s="4" t="str">
        <f>HYPERLINK("http://141.218.60.56/~jnz1568/getInfo.php?workbook=12_04.xlsx&amp;sheet=A0&amp;row=2461&amp;col=6&amp;number=86300&amp;sourceID=14","86300")</f>
        <v>86300</v>
      </c>
      <c r="G2461" s="4" t="str">
        <f>HYPERLINK("http://141.218.60.56/~jnz1568/getInfo.php?workbook=12_04.xlsx&amp;sheet=A0&amp;row=2461&amp;col=7&amp;number=0&amp;sourceID=14","0")</f>
        <v>0</v>
      </c>
    </row>
    <row r="2462" spans="1:7">
      <c r="A2462" s="3">
        <v>12</v>
      </c>
      <c r="B2462" s="3">
        <v>4</v>
      </c>
      <c r="C2462" s="3">
        <v>70</v>
      </c>
      <c r="D2462" s="3">
        <v>32</v>
      </c>
      <c r="E2462" s="3">
        <v>-221.037</v>
      </c>
      <c r="F2462" s="4" t="str">
        <f>HYPERLINK("http://141.218.60.56/~jnz1568/getInfo.php?workbook=12_04.xlsx&amp;sheet=A0&amp;row=2462&amp;col=6&amp;number=345000&amp;sourceID=14","345000")</f>
        <v>345000</v>
      </c>
      <c r="G2462" s="4" t="str">
        <f>HYPERLINK("http://141.218.60.56/~jnz1568/getInfo.php?workbook=12_04.xlsx&amp;sheet=A0&amp;row=2462&amp;col=7&amp;number=0&amp;sourceID=14","0")</f>
        <v>0</v>
      </c>
    </row>
    <row r="2463" spans="1:7">
      <c r="A2463" s="3">
        <v>12</v>
      </c>
      <c r="B2463" s="3">
        <v>4</v>
      </c>
      <c r="C2463" s="3">
        <v>71</v>
      </c>
      <c r="D2463" s="3">
        <v>32</v>
      </c>
      <c r="E2463" s="3">
        <v>-220.097</v>
      </c>
      <c r="F2463" s="4" t="str">
        <f>HYPERLINK("http://141.218.60.56/~jnz1568/getInfo.php?workbook=12_04.xlsx&amp;sheet=A0&amp;row=2463&amp;col=6&amp;number=226000&amp;sourceID=14","226000")</f>
        <v>226000</v>
      </c>
      <c r="G2463" s="4" t="str">
        <f>HYPERLINK("http://141.218.60.56/~jnz1568/getInfo.php?workbook=12_04.xlsx&amp;sheet=A0&amp;row=2463&amp;col=7&amp;number=0&amp;sourceID=14","0")</f>
        <v>0</v>
      </c>
    </row>
    <row r="2464" spans="1:7">
      <c r="A2464" s="3">
        <v>12</v>
      </c>
      <c r="B2464" s="3">
        <v>4</v>
      </c>
      <c r="C2464" s="3">
        <v>72</v>
      </c>
      <c r="D2464" s="3">
        <v>32</v>
      </c>
      <c r="E2464" s="3">
        <v>219.607</v>
      </c>
      <c r="F2464" s="4" t="str">
        <f>HYPERLINK("http://141.218.60.56/~jnz1568/getInfo.php?workbook=12_04.xlsx&amp;sheet=A0&amp;row=2464&amp;col=6&amp;number=220000&amp;sourceID=14","220000")</f>
        <v>220000</v>
      </c>
      <c r="G2464" s="4" t="str">
        <f>HYPERLINK("http://141.218.60.56/~jnz1568/getInfo.php?workbook=12_04.xlsx&amp;sheet=A0&amp;row=2464&amp;col=7&amp;number=0&amp;sourceID=14","0")</f>
        <v>0</v>
      </c>
    </row>
    <row r="2465" spans="1:7">
      <c r="A2465" s="3">
        <v>12</v>
      </c>
      <c r="B2465" s="3">
        <v>4</v>
      </c>
      <c r="C2465" s="3">
        <v>73</v>
      </c>
      <c r="D2465" s="3">
        <v>32</v>
      </c>
      <c r="E2465" s="3">
        <v>-218.413</v>
      </c>
      <c r="F2465" s="4" t="str">
        <f>HYPERLINK("http://141.218.60.56/~jnz1568/getInfo.php?workbook=12_04.xlsx&amp;sheet=A0&amp;row=2465&amp;col=6&amp;number=173000000&amp;sourceID=14","173000000")</f>
        <v>173000000</v>
      </c>
      <c r="G2465" s="4" t="str">
        <f>HYPERLINK("http://141.218.60.56/~jnz1568/getInfo.php?workbook=12_04.xlsx&amp;sheet=A0&amp;row=2465&amp;col=7&amp;number=0&amp;sourceID=14","0")</f>
        <v>0</v>
      </c>
    </row>
    <row r="2466" spans="1:7">
      <c r="A2466" s="3">
        <v>12</v>
      </c>
      <c r="B2466" s="3">
        <v>4</v>
      </c>
      <c r="C2466" s="3">
        <v>74</v>
      </c>
      <c r="D2466" s="3">
        <v>32</v>
      </c>
      <c r="E2466" s="3">
        <v>-217.506</v>
      </c>
      <c r="F2466" s="4" t="str">
        <f>HYPERLINK("http://141.218.60.56/~jnz1568/getInfo.php?workbook=12_04.xlsx&amp;sheet=A0&amp;row=2466&amp;col=6&amp;number=774000000&amp;sourceID=14","774000000")</f>
        <v>774000000</v>
      </c>
      <c r="G2466" s="4" t="str">
        <f>HYPERLINK("http://141.218.60.56/~jnz1568/getInfo.php?workbook=12_04.xlsx&amp;sheet=A0&amp;row=2466&amp;col=7&amp;number=0&amp;sourceID=14","0")</f>
        <v>0</v>
      </c>
    </row>
    <row r="2467" spans="1:7">
      <c r="A2467" s="3">
        <v>12</v>
      </c>
      <c r="B2467" s="3">
        <v>4</v>
      </c>
      <c r="C2467" s="3">
        <v>75</v>
      </c>
      <c r="D2467" s="3">
        <v>32</v>
      </c>
      <c r="E2467" s="3">
        <v>216.817</v>
      </c>
      <c r="F2467" s="4" t="str">
        <f>HYPERLINK("http://141.218.60.56/~jnz1568/getInfo.php?workbook=12_04.xlsx&amp;sheet=A0&amp;row=2467&amp;col=6&amp;number=32700000&amp;sourceID=14","32700000")</f>
        <v>32700000</v>
      </c>
      <c r="G2467" s="4" t="str">
        <f>HYPERLINK("http://141.218.60.56/~jnz1568/getInfo.php?workbook=12_04.xlsx&amp;sheet=A0&amp;row=2467&amp;col=7&amp;number=0&amp;sourceID=14","0")</f>
        <v>0</v>
      </c>
    </row>
    <row r="2468" spans="1:7">
      <c r="A2468" s="3">
        <v>12</v>
      </c>
      <c r="B2468" s="3">
        <v>4</v>
      </c>
      <c r="C2468" s="3">
        <v>76</v>
      </c>
      <c r="D2468" s="3">
        <v>32</v>
      </c>
      <c r="E2468" s="3">
        <v>216.878</v>
      </c>
      <c r="F2468" s="4" t="str">
        <f>HYPERLINK("http://141.218.60.56/~jnz1568/getInfo.php?workbook=12_04.xlsx&amp;sheet=A0&amp;row=2468&amp;col=6&amp;number=2500&amp;sourceID=14","2500")</f>
        <v>2500</v>
      </c>
      <c r="G2468" s="4" t="str">
        <f>HYPERLINK("http://141.218.60.56/~jnz1568/getInfo.php?workbook=12_04.xlsx&amp;sheet=A0&amp;row=2468&amp;col=7&amp;number=0&amp;sourceID=14","0")</f>
        <v>0</v>
      </c>
    </row>
    <row r="2469" spans="1:7">
      <c r="A2469" s="3">
        <v>12</v>
      </c>
      <c r="B2469" s="3">
        <v>4</v>
      </c>
      <c r="C2469" s="3">
        <v>77</v>
      </c>
      <c r="D2469" s="3">
        <v>32</v>
      </c>
      <c r="E2469" s="3">
        <v>-216.482</v>
      </c>
      <c r="F2469" s="4" t="str">
        <f>HYPERLINK("http://141.218.60.56/~jnz1568/getInfo.php?workbook=12_04.xlsx&amp;sheet=A0&amp;row=2469&amp;col=6&amp;number=29.9&amp;sourceID=14","29.9")</f>
        <v>29.9</v>
      </c>
      <c r="G2469" s="4" t="str">
        <f>HYPERLINK("http://141.218.60.56/~jnz1568/getInfo.php?workbook=12_04.xlsx&amp;sheet=A0&amp;row=2469&amp;col=7&amp;number=0&amp;sourceID=14","0")</f>
        <v>0</v>
      </c>
    </row>
    <row r="2470" spans="1:7">
      <c r="A2470" s="3">
        <v>12</v>
      </c>
      <c r="B2470" s="3">
        <v>4</v>
      </c>
      <c r="C2470" s="3">
        <v>78</v>
      </c>
      <c r="D2470" s="3">
        <v>32</v>
      </c>
      <c r="E2470" s="3">
        <v>-215.083</v>
      </c>
      <c r="F2470" s="4" t="str">
        <f>HYPERLINK("http://141.218.60.56/~jnz1568/getInfo.php?workbook=12_04.xlsx&amp;sheet=A0&amp;row=2470&amp;col=6&amp;number=67300000&amp;sourceID=14","67300000")</f>
        <v>67300000</v>
      </c>
      <c r="G2470" s="4" t="str">
        <f>HYPERLINK("http://141.218.60.56/~jnz1568/getInfo.php?workbook=12_04.xlsx&amp;sheet=A0&amp;row=2470&amp;col=7&amp;number=0&amp;sourceID=14","0")</f>
        <v>0</v>
      </c>
    </row>
    <row r="2471" spans="1:7">
      <c r="A2471" s="3">
        <v>12</v>
      </c>
      <c r="B2471" s="3">
        <v>4</v>
      </c>
      <c r="C2471" s="3">
        <v>79</v>
      </c>
      <c r="D2471" s="3">
        <v>32</v>
      </c>
      <c r="E2471" s="3">
        <v>-214.797</v>
      </c>
      <c r="F2471" s="4" t="str">
        <f>HYPERLINK("http://141.218.60.56/~jnz1568/getInfo.php?workbook=12_04.xlsx&amp;sheet=A0&amp;row=2471&amp;col=6&amp;number=1590000000&amp;sourceID=14","1590000000")</f>
        <v>1590000000</v>
      </c>
      <c r="G2471" s="4" t="str">
        <f>HYPERLINK("http://141.218.60.56/~jnz1568/getInfo.php?workbook=12_04.xlsx&amp;sheet=A0&amp;row=2471&amp;col=7&amp;number=0&amp;sourceID=14","0")</f>
        <v>0</v>
      </c>
    </row>
    <row r="2472" spans="1:7">
      <c r="A2472" s="3">
        <v>12</v>
      </c>
      <c r="B2472" s="3">
        <v>4</v>
      </c>
      <c r="C2472" s="3">
        <v>80</v>
      </c>
      <c r="D2472" s="3">
        <v>32</v>
      </c>
      <c r="E2472" s="3">
        <v>-214.226</v>
      </c>
      <c r="F2472" s="4" t="str">
        <f>HYPERLINK("http://141.218.60.56/~jnz1568/getInfo.php?workbook=12_04.xlsx&amp;sheet=A0&amp;row=2472&amp;col=6&amp;number=6690&amp;sourceID=14","6690")</f>
        <v>6690</v>
      </c>
      <c r="G2472" s="4" t="str">
        <f>HYPERLINK("http://141.218.60.56/~jnz1568/getInfo.php?workbook=12_04.xlsx&amp;sheet=A0&amp;row=2472&amp;col=7&amp;number=0&amp;sourceID=14","0")</f>
        <v>0</v>
      </c>
    </row>
    <row r="2473" spans="1:7">
      <c r="A2473" s="3">
        <v>12</v>
      </c>
      <c r="B2473" s="3">
        <v>4</v>
      </c>
      <c r="C2473" s="3">
        <v>81</v>
      </c>
      <c r="D2473" s="3">
        <v>32</v>
      </c>
      <c r="E2473" s="3">
        <v>213.557</v>
      </c>
      <c r="F2473" s="4" t="str">
        <f>HYPERLINK("http://141.218.60.56/~jnz1568/getInfo.php?workbook=12_04.xlsx&amp;sheet=A0&amp;row=2473&amp;col=6&amp;number=33300000000&amp;sourceID=14","33300000000")</f>
        <v>33300000000</v>
      </c>
      <c r="G2473" s="4" t="str">
        <f>HYPERLINK("http://141.218.60.56/~jnz1568/getInfo.php?workbook=12_04.xlsx&amp;sheet=A0&amp;row=2473&amp;col=7&amp;number=0&amp;sourceID=14","0")</f>
        <v>0</v>
      </c>
    </row>
    <row r="2474" spans="1:7">
      <c r="A2474" s="3">
        <v>12</v>
      </c>
      <c r="B2474" s="3">
        <v>4</v>
      </c>
      <c r="C2474" s="3">
        <v>82</v>
      </c>
      <c r="D2474" s="3">
        <v>32</v>
      </c>
      <c r="E2474" s="3">
        <v>-214.06</v>
      </c>
      <c r="F2474" s="4" t="str">
        <f>HYPERLINK("http://141.218.60.56/~jnz1568/getInfo.php?workbook=12_04.xlsx&amp;sheet=A0&amp;row=2474&amp;col=6&amp;number=49800&amp;sourceID=14","49800")</f>
        <v>49800</v>
      </c>
      <c r="G2474" s="4" t="str">
        <f>HYPERLINK("http://141.218.60.56/~jnz1568/getInfo.php?workbook=12_04.xlsx&amp;sheet=A0&amp;row=2474&amp;col=7&amp;number=0&amp;sourceID=14","0")</f>
        <v>0</v>
      </c>
    </row>
    <row r="2475" spans="1:7">
      <c r="A2475" s="3">
        <v>12</v>
      </c>
      <c r="B2475" s="3">
        <v>4</v>
      </c>
      <c r="C2475" s="3">
        <v>83</v>
      </c>
      <c r="D2475" s="3">
        <v>32</v>
      </c>
      <c r="E2475" s="3">
        <v>-214.058</v>
      </c>
      <c r="F2475" s="4" t="str">
        <f>HYPERLINK("http://141.218.60.56/~jnz1568/getInfo.php?workbook=12_04.xlsx&amp;sheet=A0&amp;row=2475&amp;col=6&amp;number=372000&amp;sourceID=14","372000")</f>
        <v>372000</v>
      </c>
      <c r="G2475" s="4" t="str">
        <f>HYPERLINK("http://141.218.60.56/~jnz1568/getInfo.php?workbook=12_04.xlsx&amp;sheet=A0&amp;row=2475&amp;col=7&amp;number=0&amp;sourceID=14","0")</f>
        <v>0</v>
      </c>
    </row>
    <row r="2476" spans="1:7">
      <c r="A2476" s="3">
        <v>12</v>
      </c>
      <c r="B2476" s="3">
        <v>4</v>
      </c>
      <c r="C2476" s="3">
        <v>84</v>
      </c>
      <c r="D2476" s="3">
        <v>32</v>
      </c>
      <c r="E2476" s="3">
        <v>-213.909</v>
      </c>
      <c r="F2476" s="4" t="str">
        <f>HYPERLINK("http://141.218.60.56/~jnz1568/getInfo.php?workbook=12_04.xlsx&amp;sheet=A0&amp;row=2476&amp;col=6&amp;number=1880000&amp;sourceID=14","1880000")</f>
        <v>1880000</v>
      </c>
      <c r="G2476" s="4" t="str">
        <f>HYPERLINK("http://141.218.60.56/~jnz1568/getInfo.php?workbook=12_04.xlsx&amp;sheet=A0&amp;row=2476&amp;col=7&amp;number=0&amp;sourceID=14","0")</f>
        <v>0</v>
      </c>
    </row>
    <row r="2477" spans="1:7">
      <c r="A2477" s="3">
        <v>12</v>
      </c>
      <c r="B2477" s="3">
        <v>4</v>
      </c>
      <c r="C2477" s="3">
        <v>85</v>
      </c>
      <c r="D2477" s="3">
        <v>32</v>
      </c>
      <c r="E2477" s="3">
        <v>213.011</v>
      </c>
      <c r="F2477" s="4" t="str">
        <f>HYPERLINK("http://141.218.60.56/~jnz1568/getInfo.php?workbook=12_04.xlsx&amp;sheet=A0&amp;row=2477&amp;col=6&amp;number=20100000000&amp;sourceID=14","20100000000")</f>
        <v>20100000000</v>
      </c>
      <c r="G2477" s="4" t="str">
        <f>HYPERLINK("http://141.218.60.56/~jnz1568/getInfo.php?workbook=12_04.xlsx&amp;sheet=A0&amp;row=2477&amp;col=7&amp;number=0&amp;sourceID=14","0")</f>
        <v>0</v>
      </c>
    </row>
    <row r="2478" spans="1:7">
      <c r="A2478" s="3">
        <v>12</v>
      </c>
      <c r="B2478" s="3">
        <v>4</v>
      </c>
      <c r="C2478" s="3">
        <v>86</v>
      </c>
      <c r="D2478" s="3">
        <v>32</v>
      </c>
      <c r="E2478" s="3">
        <v>212.775</v>
      </c>
      <c r="F2478" s="4" t="str">
        <f>HYPERLINK("http://141.218.60.56/~jnz1568/getInfo.php?workbook=12_04.xlsx&amp;sheet=A0&amp;row=2478&amp;col=6&amp;number=8360000000&amp;sourceID=14","8360000000")</f>
        <v>8360000000</v>
      </c>
      <c r="G2478" s="4" t="str">
        <f>HYPERLINK("http://141.218.60.56/~jnz1568/getInfo.php?workbook=12_04.xlsx&amp;sheet=A0&amp;row=2478&amp;col=7&amp;number=0&amp;sourceID=14","0")</f>
        <v>0</v>
      </c>
    </row>
    <row r="2479" spans="1:7">
      <c r="A2479" s="3">
        <v>12</v>
      </c>
      <c r="B2479" s="3">
        <v>4</v>
      </c>
      <c r="C2479" s="3">
        <v>87</v>
      </c>
      <c r="D2479" s="3">
        <v>32</v>
      </c>
      <c r="E2479" s="3">
        <v>-212.803</v>
      </c>
      <c r="F2479" s="4" t="str">
        <f>HYPERLINK("http://141.218.60.56/~jnz1568/getInfo.php?workbook=12_04.xlsx&amp;sheet=A0&amp;row=2479&amp;col=6&amp;number=1.02&amp;sourceID=14","1.02")</f>
        <v>1.02</v>
      </c>
      <c r="G2479" s="4" t="str">
        <f>HYPERLINK("http://141.218.60.56/~jnz1568/getInfo.php?workbook=12_04.xlsx&amp;sheet=A0&amp;row=2479&amp;col=7&amp;number=0&amp;sourceID=14","0")</f>
        <v>0</v>
      </c>
    </row>
    <row r="2480" spans="1:7">
      <c r="A2480" s="3">
        <v>12</v>
      </c>
      <c r="B2480" s="3">
        <v>4</v>
      </c>
      <c r="C2480" s="3">
        <v>88</v>
      </c>
      <c r="D2480" s="3">
        <v>32</v>
      </c>
      <c r="E2480" s="3">
        <v>-212.449</v>
      </c>
      <c r="F2480" s="4" t="str">
        <f>HYPERLINK("http://141.218.60.56/~jnz1568/getInfo.php?workbook=12_04.xlsx&amp;sheet=A0&amp;row=2480&amp;col=6&amp;number=177000&amp;sourceID=14","177000")</f>
        <v>177000</v>
      </c>
      <c r="G2480" s="4" t="str">
        <f>HYPERLINK("http://141.218.60.56/~jnz1568/getInfo.php?workbook=12_04.xlsx&amp;sheet=A0&amp;row=2480&amp;col=7&amp;number=0&amp;sourceID=14","0")</f>
        <v>0</v>
      </c>
    </row>
    <row r="2481" spans="1:7">
      <c r="A2481" s="3">
        <v>12</v>
      </c>
      <c r="B2481" s="3">
        <v>4</v>
      </c>
      <c r="C2481" s="3">
        <v>89</v>
      </c>
      <c r="D2481" s="3">
        <v>32</v>
      </c>
      <c r="E2481" s="3">
        <v>-212.24</v>
      </c>
      <c r="F2481" s="4" t="str">
        <f>HYPERLINK("http://141.218.60.56/~jnz1568/getInfo.php?workbook=12_04.xlsx&amp;sheet=A0&amp;row=2481&amp;col=6&amp;number=724000&amp;sourceID=14","724000")</f>
        <v>724000</v>
      </c>
      <c r="G2481" s="4" t="str">
        <f>HYPERLINK("http://141.218.60.56/~jnz1568/getInfo.php?workbook=12_04.xlsx&amp;sheet=A0&amp;row=2481&amp;col=7&amp;number=0&amp;sourceID=14","0")</f>
        <v>0</v>
      </c>
    </row>
    <row r="2482" spans="1:7">
      <c r="A2482" s="3">
        <v>12</v>
      </c>
      <c r="B2482" s="3">
        <v>4</v>
      </c>
      <c r="C2482" s="3">
        <v>90</v>
      </c>
      <c r="D2482" s="3">
        <v>32</v>
      </c>
      <c r="E2482" s="3">
        <v>-211.623</v>
      </c>
      <c r="F2482" s="4" t="str">
        <f>HYPERLINK("http://141.218.60.56/~jnz1568/getInfo.php?workbook=12_04.xlsx&amp;sheet=A0&amp;row=2482&amp;col=6&amp;number=0.00091&amp;sourceID=14","0.00091")</f>
        <v>0.00091</v>
      </c>
      <c r="G2482" s="4" t="str">
        <f>HYPERLINK("http://141.218.60.56/~jnz1568/getInfo.php?workbook=12_04.xlsx&amp;sheet=A0&amp;row=2482&amp;col=7&amp;number=0&amp;sourceID=14","0")</f>
        <v>0</v>
      </c>
    </row>
    <row r="2483" spans="1:7">
      <c r="A2483" s="3">
        <v>12</v>
      </c>
      <c r="B2483" s="3">
        <v>4</v>
      </c>
      <c r="C2483" s="3">
        <v>91</v>
      </c>
      <c r="D2483" s="3">
        <v>32</v>
      </c>
      <c r="E2483" s="3">
        <v>-211.079</v>
      </c>
      <c r="F2483" s="4" t="str">
        <f>HYPERLINK("http://141.218.60.56/~jnz1568/getInfo.php?workbook=12_04.xlsx&amp;sheet=A0&amp;row=2483&amp;col=6&amp;number=1710000&amp;sourceID=14","1710000")</f>
        <v>1710000</v>
      </c>
      <c r="G2483" s="4" t="str">
        <f>HYPERLINK("http://141.218.60.56/~jnz1568/getInfo.php?workbook=12_04.xlsx&amp;sheet=A0&amp;row=2483&amp;col=7&amp;number=0&amp;sourceID=14","0")</f>
        <v>0</v>
      </c>
    </row>
    <row r="2484" spans="1:7">
      <c r="A2484" s="3">
        <v>12</v>
      </c>
      <c r="B2484" s="3">
        <v>4</v>
      </c>
      <c r="C2484" s="3">
        <v>92</v>
      </c>
      <c r="D2484" s="3">
        <v>32</v>
      </c>
      <c r="E2484" s="3">
        <v>-210.951</v>
      </c>
      <c r="F2484" s="4" t="str">
        <f>HYPERLINK("http://141.218.60.56/~jnz1568/getInfo.php?workbook=12_04.xlsx&amp;sheet=A0&amp;row=2484&amp;col=6&amp;number=1180&amp;sourceID=14","1180")</f>
        <v>1180</v>
      </c>
      <c r="G2484" s="4" t="str">
        <f>HYPERLINK("http://141.218.60.56/~jnz1568/getInfo.php?workbook=12_04.xlsx&amp;sheet=A0&amp;row=2484&amp;col=7&amp;number=0&amp;sourceID=14","0")</f>
        <v>0</v>
      </c>
    </row>
    <row r="2485" spans="1:7">
      <c r="A2485" s="3">
        <v>12</v>
      </c>
      <c r="B2485" s="3">
        <v>4</v>
      </c>
      <c r="C2485" s="3">
        <v>93</v>
      </c>
      <c r="D2485" s="3">
        <v>32</v>
      </c>
      <c r="E2485" s="3">
        <v>-210.834</v>
      </c>
      <c r="F2485" s="4" t="str">
        <f>HYPERLINK("http://141.218.60.56/~jnz1568/getInfo.php?workbook=12_04.xlsx&amp;sheet=A0&amp;row=2485&amp;col=6&amp;number=1190000&amp;sourceID=14","1190000")</f>
        <v>1190000</v>
      </c>
      <c r="G2485" s="4" t="str">
        <f>HYPERLINK("http://141.218.60.56/~jnz1568/getInfo.php?workbook=12_04.xlsx&amp;sheet=A0&amp;row=2485&amp;col=7&amp;number=0&amp;sourceID=14","0")</f>
        <v>0</v>
      </c>
    </row>
    <row r="2486" spans="1:7">
      <c r="A2486" s="3">
        <v>12</v>
      </c>
      <c r="B2486" s="3">
        <v>4</v>
      </c>
      <c r="C2486" s="3">
        <v>94</v>
      </c>
      <c r="D2486" s="3">
        <v>32</v>
      </c>
      <c r="E2486" s="3">
        <v>-210.405</v>
      </c>
      <c r="F2486" s="4" t="str">
        <f>HYPERLINK("http://141.218.60.56/~jnz1568/getInfo.php?workbook=12_04.xlsx&amp;sheet=A0&amp;row=2486&amp;col=6&amp;number=520000&amp;sourceID=14","520000")</f>
        <v>520000</v>
      </c>
      <c r="G2486" s="4" t="str">
        <f>HYPERLINK("http://141.218.60.56/~jnz1568/getInfo.php?workbook=12_04.xlsx&amp;sheet=A0&amp;row=2486&amp;col=7&amp;number=0&amp;sourceID=14","0")</f>
        <v>0</v>
      </c>
    </row>
    <row r="2487" spans="1:7">
      <c r="A2487" s="3">
        <v>12</v>
      </c>
      <c r="B2487" s="3">
        <v>4</v>
      </c>
      <c r="C2487" s="3">
        <v>95</v>
      </c>
      <c r="D2487" s="3">
        <v>32</v>
      </c>
      <c r="E2487" s="3">
        <v>-210.125</v>
      </c>
      <c r="F2487" s="4" t="str">
        <f>HYPERLINK("http://141.218.60.56/~jnz1568/getInfo.php?workbook=12_04.xlsx&amp;sheet=A0&amp;row=2487&amp;col=6&amp;number=241&amp;sourceID=14","241")</f>
        <v>241</v>
      </c>
      <c r="G2487" s="4" t="str">
        <f>HYPERLINK("http://141.218.60.56/~jnz1568/getInfo.php?workbook=12_04.xlsx&amp;sheet=A0&amp;row=2487&amp;col=7&amp;number=0&amp;sourceID=14","0")</f>
        <v>0</v>
      </c>
    </row>
    <row r="2488" spans="1:7">
      <c r="A2488" s="3">
        <v>12</v>
      </c>
      <c r="B2488" s="3">
        <v>4</v>
      </c>
      <c r="C2488" s="3">
        <v>96</v>
      </c>
      <c r="D2488" s="3">
        <v>32</v>
      </c>
      <c r="E2488" s="3">
        <v>-209.866</v>
      </c>
      <c r="F2488" s="4" t="str">
        <f>HYPERLINK("http://141.218.60.56/~jnz1568/getInfo.php?workbook=12_04.xlsx&amp;sheet=A0&amp;row=2488&amp;col=6&amp;number=150000&amp;sourceID=14","150000")</f>
        <v>150000</v>
      </c>
      <c r="G2488" s="4" t="str">
        <f>HYPERLINK("http://141.218.60.56/~jnz1568/getInfo.php?workbook=12_04.xlsx&amp;sheet=A0&amp;row=2488&amp;col=7&amp;number=0&amp;sourceID=14","0")</f>
        <v>0</v>
      </c>
    </row>
    <row r="2489" spans="1:7">
      <c r="A2489" s="3">
        <v>12</v>
      </c>
      <c r="B2489" s="3">
        <v>4</v>
      </c>
      <c r="C2489" s="3">
        <v>97</v>
      </c>
      <c r="D2489" s="3">
        <v>32</v>
      </c>
      <c r="E2489" s="3">
        <v>209.829</v>
      </c>
      <c r="F2489" s="4" t="str">
        <f>HYPERLINK("http://141.218.60.56/~jnz1568/getInfo.php?workbook=12_04.xlsx&amp;sheet=A0&amp;row=2489&amp;col=6&amp;number=5010000&amp;sourceID=14","5010000")</f>
        <v>5010000</v>
      </c>
      <c r="G2489" s="4" t="str">
        <f>HYPERLINK("http://141.218.60.56/~jnz1568/getInfo.php?workbook=12_04.xlsx&amp;sheet=A0&amp;row=2489&amp;col=7&amp;number=0&amp;sourceID=14","0")</f>
        <v>0</v>
      </c>
    </row>
    <row r="2490" spans="1:7">
      <c r="A2490" s="3">
        <v>12</v>
      </c>
      <c r="B2490" s="3">
        <v>4</v>
      </c>
      <c r="C2490" s="3">
        <v>98</v>
      </c>
      <c r="D2490" s="3">
        <v>32</v>
      </c>
      <c r="E2490" s="3">
        <v>209.065</v>
      </c>
      <c r="F2490" s="4" t="str">
        <f>HYPERLINK("http://141.218.60.56/~jnz1568/getInfo.php?workbook=12_04.xlsx&amp;sheet=A0&amp;row=2490&amp;col=6&amp;number=4160000&amp;sourceID=14","4160000")</f>
        <v>4160000</v>
      </c>
      <c r="G2490" s="4" t="str">
        <f>HYPERLINK("http://141.218.60.56/~jnz1568/getInfo.php?workbook=12_04.xlsx&amp;sheet=A0&amp;row=2490&amp;col=7&amp;number=0&amp;sourceID=14","0")</f>
        <v>0</v>
      </c>
    </row>
    <row r="2491" spans="1:7">
      <c r="A2491" s="3">
        <v>12</v>
      </c>
      <c r="B2491" s="3">
        <v>4</v>
      </c>
      <c r="C2491" s="3">
        <v>34</v>
      </c>
      <c r="D2491" s="3">
        <v>33</v>
      </c>
      <c r="E2491" s="3">
        <v>-48875.945</v>
      </c>
      <c r="F2491" s="4" t="str">
        <f>HYPERLINK("http://141.218.60.56/~jnz1568/getInfo.php?workbook=12_04.xlsx&amp;sheet=A0&amp;row=2491&amp;col=6&amp;number=0.172&amp;sourceID=14","0.172")</f>
        <v>0.172</v>
      </c>
      <c r="G2491" s="4" t="str">
        <f>HYPERLINK("http://141.218.60.56/~jnz1568/getInfo.php?workbook=12_04.xlsx&amp;sheet=A0&amp;row=2491&amp;col=7&amp;number=0&amp;sourceID=14","0")</f>
        <v>0</v>
      </c>
    </row>
    <row r="2492" spans="1:7">
      <c r="A2492" s="3">
        <v>12</v>
      </c>
      <c r="B2492" s="3">
        <v>4</v>
      </c>
      <c r="C2492" s="3">
        <v>35</v>
      </c>
      <c r="D2492" s="3">
        <v>33</v>
      </c>
      <c r="E2492" s="3">
        <v>-31575.682</v>
      </c>
      <c r="F2492" s="4" t="str">
        <f>HYPERLINK("http://141.218.60.56/~jnz1568/getInfo.php?workbook=12_04.xlsx&amp;sheet=A0&amp;row=2492&amp;col=6&amp;number=0.14&amp;sourceID=14","0.14")</f>
        <v>0.14</v>
      </c>
      <c r="G2492" s="4" t="str">
        <f>HYPERLINK("http://141.218.60.56/~jnz1568/getInfo.php?workbook=12_04.xlsx&amp;sheet=A0&amp;row=2492&amp;col=7&amp;number=0&amp;sourceID=14","0")</f>
        <v>0</v>
      </c>
    </row>
    <row r="2493" spans="1:7">
      <c r="A2493" s="3">
        <v>12</v>
      </c>
      <c r="B2493" s="3">
        <v>4</v>
      </c>
      <c r="C2493" s="3">
        <v>36</v>
      </c>
      <c r="D2493" s="3">
        <v>33</v>
      </c>
      <c r="E2493" s="3">
        <v>-24624.521</v>
      </c>
      <c r="F2493" s="4" t="str">
        <f>HYPERLINK("http://141.218.60.56/~jnz1568/getInfo.php?workbook=12_04.xlsx&amp;sheet=A0&amp;row=2493&amp;col=6&amp;number=2.89e-07&amp;sourceID=14","2.89e-07")</f>
        <v>2.89e-07</v>
      </c>
      <c r="G2493" s="4" t="str">
        <f>HYPERLINK("http://141.218.60.56/~jnz1568/getInfo.php?workbook=12_04.xlsx&amp;sheet=A0&amp;row=2493&amp;col=7&amp;number=0&amp;sourceID=14","0")</f>
        <v>0</v>
      </c>
    </row>
    <row r="2494" spans="1:7">
      <c r="A2494" s="3">
        <v>12</v>
      </c>
      <c r="B2494" s="3">
        <v>4</v>
      </c>
      <c r="C2494" s="3">
        <v>37</v>
      </c>
      <c r="D2494" s="3">
        <v>33</v>
      </c>
      <c r="E2494" s="3">
        <v>-7629.525</v>
      </c>
      <c r="F2494" s="4" t="str">
        <f>HYPERLINK("http://141.218.60.56/~jnz1568/getInfo.php?workbook=12_04.xlsx&amp;sheet=A0&amp;row=2494&amp;col=6&amp;number=36100&amp;sourceID=14","36100")</f>
        <v>36100</v>
      </c>
      <c r="G2494" s="4" t="str">
        <f>HYPERLINK("http://141.218.60.56/~jnz1568/getInfo.php?workbook=12_04.xlsx&amp;sheet=A0&amp;row=2494&amp;col=7&amp;number=0&amp;sourceID=14","0")</f>
        <v>0</v>
      </c>
    </row>
    <row r="2495" spans="1:7">
      <c r="A2495" s="3">
        <v>12</v>
      </c>
      <c r="B2495" s="3">
        <v>4</v>
      </c>
      <c r="C2495" s="3">
        <v>38</v>
      </c>
      <c r="D2495" s="3">
        <v>33</v>
      </c>
      <c r="E2495" s="3">
        <v>-4750.151</v>
      </c>
      <c r="F2495" s="4" t="str">
        <f>HYPERLINK("http://141.218.60.56/~jnz1568/getInfo.php?workbook=12_04.xlsx&amp;sheet=A0&amp;row=2495&amp;col=6&amp;number=0.363&amp;sourceID=14","0.363")</f>
        <v>0.363</v>
      </c>
      <c r="G2495" s="4" t="str">
        <f>HYPERLINK("http://141.218.60.56/~jnz1568/getInfo.php?workbook=12_04.xlsx&amp;sheet=A0&amp;row=2495&amp;col=7&amp;number=0&amp;sourceID=14","0")</f>
        <v>0</v>
      </c>
    </row>
    <row r="2496" spans="1:7">
      <c r="A2496" s="3">
        <v>12</v>
      </c>
      <c r="B2496" s="3">
        <v>4</v>
      </c>
      <c r="C2496" s="3">
        <v>39</v>
      </c>
      <c r="D2496" s="3">
        <v>33</v>
      </c>
      <c r="E2496" s="3">
        <v>-4630.496</v>
      </c>
      <c r="F2496" s="4" t="str">
        <f>HYPERLINK("http://141.218.60.56/~jnz1568/getInfo.php?workbook=12_04.xlsx&amp;sheet=A0&amp;row=2496&amp;col=6&amp;number=0.54&amp;sourceID=14","0.54")</f>
        <v>0.54</v>
      </c>
      <c r="G2496" s="4" t="str">
        <f>HYPERLINK("http://141.218.60.56/~jnz1568/getInfo.php?workbook=12_04.xlsx&amp;sheet=A0&amp;row=2496&amp;col=7&amp;number=0&amp;sourceID=14","0")</f>
        <v>0</v>
      </c>
    </row>
    <row r="2497" spans="1:7">
      <c r="A2497" s="3">
        <v>12</v>
      </c>
      <c r="B2497" s="3">
        <v>4</v>
      </c>
      <c r="C2497" s="3">
        <v>40</v>
      </c>
      <c r="D2497" s="3">
        <v>33</v>
      </c>
      <c r="E2497" s="3">
        <v>-4419.116</v>
      </c>
      <c r="F2497" s="4" t="str">
        <f>HYPERLINK("http://141.218.60.56/~jnz1568/getInfo.php?workbook=12_04.xlsx&amp;sheet=A0&amp;row=2497&amp;col=6&amp;number=0.24&amp;sourceID=14","0.24")</f>
        <v>0.24</v>
      </c>
      <c r="G2497" s="4" t="str">
        <f>HYPERLINK("http://141.218.60.56/~jnz1568/getInfo.php?workbook=12_04.xlsx&amp;sheet=A0&amp;row=2497&amp;col=7&amp;number=0&amp;sourceID=14","0")</f>
        <v>0</v>
      </c>
    </row>
    <row r="2498" spans="1:7">
      <c r="A2498" s="3">
        <v>12</v>
      </c>
      <c r="B2498" s="3">
        <v>4</v>
      </c>
      <c r="C2498" s="3">
        <v>41</v>
      </c>
      <c r="D2498" s="3">
        <v>33</v>
      </c>
      <c r="E2498" s="3">
        <v>-3389.262</v>
      </c>
      <c r="F2498" s="4" t="str">
        <f>HYPERLINK("http://141.218.60.56/~jnz1568/getInfo.php?workbook=12_04.xlsx&amp;sheet=A0&amp;row=2498&amp;col=6&amp;number=0.532&amp;sourceID=14","0.532")</f>
        <v>0.532</v>
      </c>
      <c r="G2498" s="4" t="str">
        <f>HYPERLINK("http://141.218.60.56/~jnz1568/getInfo.php?workbook=12_04.xlsx&amp;sheet=A0&amp;row=2498&amp;col=7&amp;number=0&amp;sourceID=14","0")</f>
        <v>0</v>
      </c>
    </row>
    <row r="2499" spans="1:7">
      <c r="A2499" s="3">
        <v>12</v>
      </c>
      <c r="B2499" s="3">
        <v>4</v>
      </c>
      <c r="C2499" s="3">
        <v>42</v>
      </c>
      <c r="D2499" s="3">
        <v>33</v>
      </c>
      <c r="E2499" s="3">
        <v>-3292.838</v>
      </c>
      <c r="F2499" s="4" t="str">
        <f>HYPERLINK("http://141.218.60.56/~jnz1568/getInfo.php?workbook=12_04.xlsx&amp;sheet=A0&amp;row=2499&amp;col=6&amp;number=0.494&amp;sourceID=14","0.494")</f>
        <v>0.494</v>
      </c>
      <c r="G2499" s="4" t="str">
        <f>HYPERLINK("http://141.218.60.56/~jnz1568/getInfo.php?workbook=12_04.xlsx&amp;sheet=A0&amp;row=2499&amp;col=7&amp;number=0&amp;sourceID=14","0")</f>
        <v>0</v>
      </c>
    </row>
    <row r="2500" spans="1:7">
      <c r="A2500" s="3">
        <v>12</v>
      </c>
      <c r="B2500" s="3">
        <v>4</v>
      </c>
      <c r="C2500" s="3">
        <v>43</v>
      </c>
      <c r="D2500" s="3">
        <v>33</v>
      </c>
      <c r="E2500" s="3">
        <v>-3245.705</v>
      </c>
      <c r="F2500" s="4" t="str">
        <f>HYPERLINK("http://141.218.60.56/~jnz1568/getInfo.php?workbook=12_04.xlsx&amp;sheet=A0&amp;row=2500&amp;col=6&amp;number=0.453&amp;sourceID=14","0.453")</f>
        <v>0.453</v>
      </c>
      <c r="G2500" s="4" t="str">
        <f>HYPERLINK("http://141.218.60.56/~jnz1568/getInfo.php?workbook=12_04.xlsx&amp;sheet=A0&amp;row=2500&amp;col=7&amp;number=0&amp;sourceID=14","0")</f>
        <v>0</v>
      </c>
    </row>
    <row r="2501" spans="1:7">
      <c r="A2501" s="3">
        <v>12</v>
      </c>
      <c r="B2501" s="3">
        <v>4</v>
      </c>
      <c r="C2501" s="3">
        <v>44</v>
      </c>
      <c r="D2501" s="3">
        <v>33</v>
      </c>
      <c r="E2501" s="3">
        <v>-2185.414</v>
      </c>
      <c r="F2501" s="4" t="str">
        <f>HYPERLINK("http://141.218.60.56/~jnz1568/getInfo.php?workbook=12_04.xlsx&amp;sheet=A0&amp;row=2501&amp;col=6&amp;number=0.000161&amp;sourceID=14","0.000161")</f>
        <v>0.000161</v>
      </c>
      <c r="G2501" s="4" t="str">
        <f>HYPERLINK("http://141.218.60.56/~jnz1568/getInfo.php?workbook=12_04.xlsx&amp;sheet=A0&amp;row=2501&amp;col=7&amp;number=0&amp;sourceID=14","0")</f>
        <v>0</v>
      </c>
    </row>
    <row r="2502" spans="1:7">
      <c r="A2502" s="3">
        <v>12</v>
      </c>
      <c r="B2502" s="3">
        <v>4</v>
      </c>
      <c r="C2502" s="3">
        <v>45</v>
      </c>
      <c r="D2502" s="3">
        <v>33</v>
      </c>
      <c r="E2502" s="3">
        <v>-1879.809</v>
      </c>
      <c r="F2502" s="4" t="str">
        <f>HYPERLINK("http://141.218.60.56/~jnz1568/getInfo.php?workbook=12_04.xlsx&amp;sheet=A0&amp;row=2502&amp;col=6&amp;number=2.27&amp;sourceID=14","2.27")</f>
        <v>2.27</v>
      </c>
      <c r="G2502" s="4" t="str">
        <f>HYPERLINK("http://141.218.60.56/~jnz1568/getInfo.php?workbook=12_04.xlsx&amp;sheet=A0&amp;row=2502&amp;col=7&amp;number=0&amp;sourceID=14","0")</f>
        <v>0</v>
      </c>
    </row>
    <row r="2503" spans="1:7">
      <c r="A2503" s="3">
        <v>12</v>
      </c>
      <c r="B2503" s="3">
        <v>4</v>
      </c>
      <c r="C2503" s="3">
        <v>46</v>
      </c>
      <c r="D2503" s="3">
        <v>33</v>
      </c>
      <c r="E2503" s="3">
        <v>-1714.945</v>
      </c>
      <c r="F2503" s="4" t="str">
        <f>HYPERLINK("http://141.218.60.56/~jnz1568/getInfo.php?workbook=12_04.xlsx&amp;sheet=A0&amp;row=2503&amp;col=6&amp;number=5.31&amp;sourceID=14","5.31")</f>
        <v>5.31</v>
      </c>
      <c r="G2503" s="4" t="str">
        <f>HYPERLINK("http://141.218.60.56/~jnz1568/getInfo.php?workbook=12_04.xlsx&amp;sheet=A0&amp;row=2503&amp;col=7&amp;number=0&amp;sourceID=14","0")</f>
        <v>0</v>
      </c>
    </row>
    <row r="2504" spans="1:7">
      <c r="A2504" s="3">
        <v>12</v>
      </c>
      <c r="B2504" s="3">
        <v>4</v>
      </c>
      <c r="C2504" s="3">
        <v>47</v>
      </c>
      <c r="D2504" s="3">
        <v>33</v>
      </c>
      <c r="E2504" s="3">
        <v>-393.451</v>
      </c>
      <c r="F2504" s="4" t="str">
        <f>HYPERLINK("http://141.218.60.56/~jnz1568/getInfo.php?workbook=12_04.xlsx&amp;sheet=A0&amp;row=2504&amp;col=6&amp;number=25500&amp;sourceID=14","25500")</f>
        <v>25500</v>
      </c>
      <c r="G2504" s="4" t="str">
        <f>HYPERLINK("http://141.218.60.56/~jnz1568/getInfo.php?workbook=12_04.xlsx&amp;sheet=A0&amp;row=2504&amp;col=7&amp;number=0&amp;sourceID=14","0")</f>
        <v>0</v>
      </c>
    </row>
    <row r="2505" spans="1:7">
      <c r="A2505" s="3">
        <v>12</v>
      </c>
      <c r="B2505" s="3">
        <v>4</v>
      </c>
      <c r="C2505" s="3">
        <v>48</v>
      </c>
      <c r="D2505" s="3">
        <v>33</v>
      </c>
      <c r="E2505" s="3">
        <v>-378.456</v>
      </c>
      <c r="F2505" s="4" t="str">
        <f>HYPERLINK("http://141.218.60.56/~jnz1568/getInfo.php?workbook=12_04.xlsx&amp;sheet=A0&amp;row=2505&amp;col=6&amp;number=0.0127&amp;sourceID=14","0.0127")</f>
        <v>0.0127</v>
      </c>
      <c r="G2505" s="4" t="str">
        <f>HYPERLINK("http://141.218.60.56/~jnz1568/getInfo.php?workbook=12_04.xlsx&amp;sheet=A0&amp;row=2505&amp;col=7&amp;number=0&amp;sourceID=14","0")</f>
        <v>0</v>
      </c>
    </row>
    <row r="2506" spans="1:7">
      <c r="A2506" s="3">
        <v>12</v>
      </c>
      <c r="B2506" s="3">
        <v>4</v>
      </c>
      <c r="C2506" s="3">
        <v>49</v>
      </c>
      <c r="D2506" s="3">
        <v>33</v>
      </c>
      <c r="E2506" s="3">
        <v>-358.733</v>
      </c>
      <c r="F2506" s="4" t="str">
        <f>HYPERLINK("http://141.218.60.56/~jnz1568/getInfo.php?workbook=12_04.xlsx&amp;sheet=A0&amp;row=2506&amp;col=6&amp;number=7380&amp;sourceID=14","7380")</f>
        <v>7380</v>
      </c>
      <c r="G2506" s="4" t="str">
        <f>HYPERLINK("http://141.218.60.56/~jnz1568/getInfo.php?workbook=12_04.xlsx&amp;sheet=A0&amp;row=2506&amp;col=7&amp;number=0&amp;sourceID=14","0")</f>
        <v>0</v>
      </c>
    </row>
    <row r="2507" spans="1:7">
      <c r="A2507" s="3">
        <v>12</v>
      </c>
      <c r="B2507" s="3">
        <v>4</v>
      </c>
      <c r="C2507" s="3">
        <v>50</v>
      </c>
      <c r="D2507" s="3">
        <v>33</v>
      </c>
      <c r="E2507" s="3">
        <v>-358.584</v>
      </c>
      <c r="F2507" s="4" t="str">
        <f>HYPERLINK("http://141.218.60.56/~jnz1568/getInfo.php?workbook=12_04.xlsx&amp;sheet=A0&amp;row=2507&amp;col=6&amp;number=2260&amp;sourceID=14","2260")</f>
        <v>2260</v>
      </c>
      <c r="G2507" s="4" t="str">
        <f>HYPERLINK("http://141.218.60.56/~jnz1568/getInfo.php?workbook=12_04.xlsx&amp;sheet=A0&amp;row=2507&amp;col=7&amp;number=0&amp;sourceID=14","0")</f>
        <v>0</v>
      </c>
    </row>
    <row r="2508" spans="1:7">
      <c r="A2508" s="3">
        <v>12</v>
      </c>
      <c r="B2508" s="3">
        <v>4</v>
      </c>
      <c r="C2508" s="3">
        <v>51</v>
      </c>
      <c r="D2508" s="3">
        <v>33</v>
      </c>
      <c r="E2508" s="3">
        <v>-358.248</v>
      </c>
      <c r="F2508" s="4" t="str">
        <f>HYPERLINK("http://141.218.60.56/~jnz1568/getInfo.php?workbook=12_04.xlsx&amp;sheet=A0&amp;row=2508&amp;col=6&amp;number=238&amp;sourceID=14","238")</f>
        <v>238</v>
      </c>
      <c r="G2508" s="4" t="str">
        <f>HYPERLINK("http://141.218.60.56/~jnz1568/getInfo.php?workbook=12_04.xlsx&amp;sheet=A0&amp;row=2508&amp;col=7&amp;number=0&amp;sourceID=14","0")</f>
        <v>0</v>
      </c>
    </row>
    <row r="2509" spans="1:7">
      <c r="A2509" s="3">
        <v>12</v>
      </c>
      <c r="B2509" s="3">
        <v>4</v>
      </c>
      <c r="C2509" s="3">
        <v>52</v>
      </c>
      <c r="D2509" s="3">
        <v>33</v>
      </c>
      <c r="E2509" s="3">
        <v>-354.744</v>
      </c>
      <c r="F2509" s="4" t="str">
        <f>HYPERLINK("http://141.218.60.56/~jnz1568/getInfo.php?workbook=12_04.xlsx&amp;sheet=A0&amp;row=2509&amp;col=6&amp;number=120&amp;sourceID=14","120")</f>
        <v>120</v>
      </c>
      <c r="G2509" s="4" t="str">
        <f>HYPERLINK("http://141.218.60.56/~jnz1568/getInfo.php?workbook=12_04.xlsx&amp;sheet=A0&amp;row=2509&amp;col=7&amp;number=0&amp;sourceID=14","0")</f>
        <v>0</v>
      </c>
    </row>
    <row r="2510" spans="1:7">
      <c r="A2510" s="3">
        <v>12</v>
      </c>
      <c r="B2510" s="3">
        <v>4</v>
      </c>
      <c r="C2510" s="3">
        <v>53</v>
      </c>
      <c r="D2510" s="3">
        <v>33</v>
      </c>
      <c r="E2510" s="3">
        <v>-341.543</v>
      </c>
      <c r="F2510" s="4" t="str">
        <f>HYPERLINK("http://141.218.60.56/~jnz1568/getInfo.php?workbook=12_04.xlsx&amp;sheet=A0&amp;row=2510&amp;col=6&amp;number=252000000&amp;sourceID=14","252000000")</f>
        <v>252000000</v>
      </c>
      <c r="G2510" s="4" t="str">
        <f>HYPERLINK("http://141.218.60.56/~jnz1568/getInfo.php?workbook=12_04.xlsx&amp;sheet=A0&amp;row=2510&amp;col=7&amp;number=0&amp;sourceID=14","0")</f>
        <v>0</v>
      </c>
    </row>
    <row r="2511" spans="1:7">
      <c r="A2511" s="3">
        <v>12</v>
      </c>
      <c r="B2511" s="3">
        <v>4</v>
      </c>
      <c r="C2511" s="3">
        <v>54</v>
      </c>
      <c r="D2511" s="3">
        <v>33</v>
      </c>
      <c r="E2511" s="3">
        <v>-341.489</v>
      </c>
      <c r="F2511" s="4" t="str">
        <f>HYPERLINK("http://141.218.60.56/~jnz1568/getInfo.php?workbook=12_04.xlsx&amp;sheet=A0&amp;row=2511&amp;col=6&amp;number=25900000&amp;sourceID=14","25900000")</f>
        <v>25900000</v>
      </c>
      <c r="G2511" s="4" t="str">
        <f>HYPERLINK("http://141.218.60.56/~jnz1568/getInfo.php?workbook=12_04.xlsx&amp;sheet=A0&amp;row=2511&amp;col=7&amp;number=0&amp;sourceID=14","0")</f>
        <v>0</v>
      </c>
    </row>
    <row r="2512" spans="1:7">
      <c r="A2512" s="3">
        <v>12</v>
      </c>
      <c r="B2512" s="3">
        <v>4</v>
      </c>
      <c r="C2512" s="3">
        <v>55</v>
      </c>
      <c r="D2512" s="3">
        <v>33</v>
      </c>
      <c r="E2512" s="3">
        <v>-341.405</v>
      </c>
      <c r="F2512" s="4" t="str">
        <f>HYPERLINK("http://141.218.60.56/~jnz1568/getInfo.php?workbook=12_04.xlsx&amp;sheet=A0&amp;row=2512&amp;col=6&amp;number=1240000&amp;sourceID=14","1240000")</f>
        <v>1240000</v>
      </c>
      <c r="G2512" s="4" t="str">
        <f>HYPERLINK("http://141.218.60.56/~jnz1568/getInfo.php?workbook=12_04.xlsx&amp;sheet=A0&amp;row=2512&amp;col=7&amp;number=0&amp;sourceID=14","0")</f>
        <v>0</v>
      </c>
    </row>
    <row r="2513" spans="1:7">
      <c r="A2513" s="3">
        <v>12</v>
      </c>
      <c r="B2513" s="3">
        <v>4</v>
      </c>
      <c r="C2513" s="3">
        <v>56</v>
      </c>
      <c r="D2513" s="3">
        <v>33</v>
      </c>
      <c r="E2513" s="3">
        <v>-331.673</v>
      </c>
      <c r="F2513" s="4" t="str">
        <f>HYPERLINK("http://141.218.60.56/~jnz1568/getInfo.php?workbook=12_04.xlsx&amp;sheet=A0&amp;row=2513&amp;col=6&amp;number=857000&amp;sourceID=14","857000")</f>
        <v>857000</v>
      </c>
      <c r="G2513" s="4" t="str">
        <f>HYPERLINK("http://141.218.60.56/~jnz1568/getInfo.php?workbook=12_04.xlsx&amp;sheet=A0&amp;row=2513&amp;col=7&amp;number=0&amp;sourceID=14","0")</f>
        <v>0</v>
      </c>
    </row>
    <row r="2514" spans="1:7">
      <c r="A2514" s="3">
        <v>12</v>
      </c>
      <c r="B2514" s="3">
        <v>4</v>
      </c>
      <c r="C2514" s="3">
        <v>57</v>
      </c>
      <c r="D2514" s="3">
        <v>33</v>
      </c>
      <c r="E2514" s="3">
        <v>-331.35</v>
      </c>
      <c r="F2514" s="4" t="str">
        <f>HYPERLINK("http://141.218.60.56/~jnz1568/getInfo.php?workbook=12_04.xlsx&amp;sheet=A0&amp;row=2514&amp;col=6&amp;number=1290&amp;sourceID=14","1290")</f>
        <v>1290</v>
      </c>
      <c r="G2514" s="4" t="str">
        <f>HYPERLINK("http://141.218.60.56/~jnz1568/getInfo.php?workbook=12_04.xlsx&amp;sheet=A0&amp;row=2514&amp;col=7&amp;number=0&amp;sourceID=14","0")</f>
        <v>0</v>
      </c>
    </row>
    <row r="2515" spans="1:7">
      <c r="A2515" s="3">
        <v>12</v>
      </c>
      <c r="B2515" s="3">
        <v>4</v>
      </c>
      <c r="C2515" s="3">
        <v>58</v>
      </c>
      <c r="D2515" s="3">
        <v>33</v>
      </c>
      <c r="E2515" s="3">
        <v>-331.318</v>
      </c>
      <c r="F2515" s="4" t="str">
        <f>HYPERLINK("http://141.218.60.56/~jnz1568/getInfo.php?workbook=12_04.xlsx&amp;sheet=A0&amp;row=2515&amp;col=6&amp;number=344&amp;sourceID=14","344")</f>
        <v>344</v>
      </c>
      <c r="G2515" s="4" t="str">
        <f>HYPERLINK("http://141.218.60.56/~jnz1568/getInfo.php?workbook=12_04.xlsx&amp;sheet=A0&amp;row=2515&amp;col=7&amp;number=0&amp;sourceID=14","0")</f>
        <v>0</v>
      </c>
    </row>
    <row r="2516" spans="1:7">
      <c r="A2516" s="3">
        <v>12</v>
      </c>
      <c r="B2516" s="3">
        <v>4</v>
      </c>
      <c r="C2516" s="3">
        <v>59</v>
      </c>
      <c r="D2516" s="3">
        <v>33</v>
      </c>
      <c r="E2516" s="3">
        <v>-331.277</v>
      </c>
      <c r="F2516" s="4" t="str">
        <f>HYPERLINK("http://141.218.60.56/~jnz1568/getInfo.php?workbook=12_04.xlsx&amp;sheet=A0&amp;row=2516&amp;col=6&amp;number=38.9&amp;sourceID=14","38.9")</f>
        <v>38.9</v>
      </c>
      <c r="G2516" s="4" t="str">
        <f>HYPERLINK("http://141.218.60.56/~jnz1568/getInfo.php?workbook=12_04.xlsx&amp;sheet=A0&amp;row=2516&amp;col=7&amp;number=0&amp;sourceID=14","0")</f>
        <v>0</v>
      </c>
    </row>
    <row r="2517" spans="1:7">
      <c r="A2517" s="3">
        <v>12</v>
      </c>
      <c r="B2517" s="3">
        <v>4</v>
      </c>
      <c r="C2517" s="3">
        <v>60</v>
      </c>
      <c r="D2517" s="3">
        <v>33</v>
      </c>
      <c r="E2517" s="3">
        <v>-328.528</v>
      </c>
      <c r="F2517" s="4" t="str">
        <f>HYPERLINK("http://141.218.60.56/~jnz1568/getInfo.php?workbook=12_04.xlsx&amp;sheet=A0&amp;row=2517&amp;col=6&amp;number=55.6&amp;sourceID=14","55.6")</f>
        <v>55.6</v>
      </c>
      <c r="G2517" s="4" t="str">
        <f>HYPERLINK("http://141.218.60.56/~jnz1568/getInfo.php?workbook=12_04.xlsx&amp;sheet=A0&amp;row=2517&amp;col=7&amp;number=0&amp;sourceID=14","0")</f>
        <v>0</v>
      </c>
    </row>
    <row r="2518" spans="1:7">
      <c r="A2518" s="3">
        <v>12</v>
      </c>
      <c r="B2518" s="3">
        <v>4</v>
      </c>
      <c r="C2518" s="3">
        <v>61</v>
      </c>
      <c r="D2518" s="3">
        <v>33</v>
      </c>
      <c r="E2518" s="3">
        <v>-238.04</v>
      </c>
      <c r="F2518" s="4" t="str">
        <f>HYPERLINK("http://141.218.60.56/~jnz1568/getInfo.php?workbook=12_04.xlsx&amp;sheet=A0&amp;row=2518&amp;col=6&amp;number=180000&amp;sourceID=14","180000")</f>
        <v>180000</v>
      </c>
      <c r="G2518" s="4" t="str">
        <f>HYPERLINK("http://141.218.60.56/~jnz1568/getInfo.php?workbook=12_04.xlsx&amp;sheet=A0&amp;row=2518&amp;col=7&amp;number=0&amp;sourceID=14","0")</f>
        <v>0</v>
      </c>
    </row>
    <row r="2519" spans="1:7">
      <c r="A2519" s="3">
        <v>12</v>
      </c>
      <c r="B2519" s="3">
        <v>4</v>
      </c>
      <c r="C2519" s="3">
        <v>62</v>
      </c>
      <c r="D2519" s="3">
        <v>33</v>
      </c>
      <c r="E2519" s="3">
        <v>-237.521</v>
      </c>
      <c r="F2519" s="4" t="str">
        <f>HYPERLINK("http://141.218.60.56/~jnz1568/getInfo.php?workbook=12_04.xlsx&amp;sheet=A0&amp;row=2519&amp;col=6&amp;number=73500&amp;sourceID=14","73500")</f>
        <v>73500</v>
      </c>
      <c r="G2519" s="4" t="str">
        <f>HYPERLINK("http://141.218.60.56/~jnz1568/getInfo.php?workbook=12_04.xlsx&amp;sheet=A0&amp;row=2519&amp;col=7&amp;number=0&amp;sourceID=14","0")</f>
        <v>0</v>
      </c>
    </row>
    <row r="2520" spans="1:7">
      <c r="A2520" s="3">
        <v>12</v>
      </c>
      <c r="B2520" s="3">
        <v>4</v>
      </c>
      <c r="C2520" s="3">
        <v>63</v>
      </c>
      <c r="D2520" s="3">
        <v>33</v>
      </c>
      <c r="E2520" s="3">
        <v>-235.852</v>
      </c>
      <c r="F2520" s="4" t="str">
        <f>HYPERLINK("http://141.218.60.56/~jnz1568/getInfo.php?workbook=12_04.xlsx&amp;sheet=A0&amp;row=2520&amp;col=6&amp;number=3170&amp;sourceID=14","3170")</f>
        <v>3170</v>
      </c>
      <c r="G2520" s="4" t="str">
        <f>HYPERLINK("http://141.218.60.56/~jnz1568/getInfo.php?workbook=12_04.xlsx&amp;sheet=A0&amp;row=2520&amp;col=7&amp;number=0&amp;sourceID=14","0")</f>
        <v>0</v>
      </c>
    </row>
    <row r="2521" spans="1:7">
      <c r="A2521" s="3">
        <v>12</v>
      </c>
      <c r="B2521" s="3">
        <v>4</v>
      </c>
      <c r="C2521" s="3">
        <v>64</v>
      </c>
      <c r="D2521" s="3">
        <v>33</v>
      </c>
      <c r="E2521" s="3">
        <v>-232.431</v>
      </c>
      <c r="F2521" s="4" t="str">
        <f>HYPERLINK("http://141.218.60.56/~jnz1568/getInfo.php?workbook=12_04.xlsx&amp;sheet=A0&amp;row=2521&amp;col=6&amp;number=18900&amp;sourceID=14","18900")</f>
        <v>18900</v>
      </c>
      <c r="G2521" s="4" t="str">
        <f>HYPERLINK("http://141.218.60.56/~jnz1568/getInfo.php?workbook=12_04.xlsx&amp;sheet=A0&amp;row=2521&amp;col=7&amp;number=0&amp;sourceID=14","0")</f>
        <v>0</v>
      </c>
    </row>
    <row r="2522" spans="1:7">
      <c r="A2522" s="3">
        <v>12</v>
      </c>
      <c r="B2522" s="3">
        <v>4</v>
      </c>
      <c r="C2522" s="3">
        <v>65</v>
      </c>
      <c r="D2522" s="3">
        <v>33</v>
      </c>
      <c r="E2522" s="3">
        <v>-228.435</v>
      </c>
      <c r="F2522" s="4" t="str">
        <f>HYPERLINK("http://141.218.60.56/~jnz1568/getInfo.php?workbook=12_04.xlsx&amp;sheet=A0&amp;row=2522&amp;col=6&amp;number=1540000000&amp;sourceID=14","1540000000")</f>
        <v>1540000000</v>
      </c>
      <c r="G2522" s="4" t="str">
        <f>HYPERLINK("http://141.218.60.56/~jnz1568/getInfo.php?workbook=12_04.xlsx&amp;sheet=A0&amp;row=2522&amp;col=7&amp;number=0&amp;sourceID=14","0")</f>
        <v>0</v>
      </c>
    </row>
    <row r="2523" spans="1:7">
      <c r="A2523" s="3">
        <v>12</v>
      </c>
      <c r="B2523" s="3">
        <v>4</v>
      </c>
      <c r="C2523" s="3">
        <v>66</v>
      </c>
      <c r="D2523" s="3">
        <v>33</v>
      </c>
      <c r="E2523" s="3">
        <v>-227.111</v>
      </c>
      <c r="F2523" s="4" t="str">
        <f>HYPERLINK("http://141.218.60.56/~jnz1568/getInfo.php?workbook=12_04.xlsx&amp;sheet=A0&amp;row=2523&amp;col=6&amp;number=404000000&amp;sourceID=14","404000000")</f>
        <v>404000000</v>
      </c>
      <c r="G2523" s="4" t="str">
        <f>HYPERLINK("http://141.218.60.56/~jnz1568/getInfo.php?workbook=12_04.xlsx&amp;sheet=A0&amp;row=2523&amp;col=7&amp;number=0&amp;sourceID=14","0")</f>
        <v>0</v>
      </c>
    </row>
    <row r="2524" spans="1:7">
      <c r="A2524" s="3">
        <v>12</v>
      </c>
      <c r="B2524" s="3">
        <v>4</v>
      </c>
      <c r="C2524" s="3">
        <v>67</v>
      </c>
      <c r="D2524" s="3">
        <v>33</v>
      </c>
      <c r="E2524" s="3">
        <v>-226.879</v>
      </c>
      <c r="F2524" s="4" t="str">
        <f>HYPERLINK("http://141.218.60.56/~jnz1568/getInfo.php?workbook=12_04.xlsx&amp;sheet=A0&amp;row=2524&amp;col=6&amp;number=164000000&amp;sourceID=14","164000000")</f>
        <v>164000000</v>
      </c>
      <c r="G2524" s="4" t="str">
        <f>HYPERLINK("http://141.218.60.56/~jnz1568/getInfo.php?workbook=12_04.xlsx&amp;sheet=A0&amp;row=2524&amp;col=7&amp;number=0&amp;sourceID=14","0")</f>
        <v>0</v>
      </c>
    </row>
    <row r="2525" spans="1:7">
      <c r="A2525" s="3">
        <v>12</v>
      </c>
      <c r="B2525" s="3">
        <v>4</v>
      </c>
      <c r="C2525" s="3">
        <v>68</v>
      </c>
      <c r="D2525" s="3">
        <v>33</v>
      </c>
      <c r="E2525" s="3">
        <v>-225.63</v>
      </c>
      <c r="F2525" s="4" t="str">
        <f>HYPERLINK("http://141.218.60.56/~jnz1568/getInfo.php?workbook=12_04.xlsx&amp;sheet=A0&amp;row=2525&amp;col=6&amp;number=441000&amp;sourceID=14","441000")</f>
        <v>441000</v>
      </c>
      <c r="G2525" s="4" t="str">
        <f>HYPERLINK("http://141.218.60.56/~jnz1568/getInfo.php?workbook=12_04.xlsx&amp;sheet=A0&amp;row=2525&amp;col=7&amp;number=0&amp;sourceID=14","0")</f>
        <v>0</v>
      </c>
    </row>
    <row r="2526" spans="1:7">
      <c r="A2526" s="3">
        <v>12</v>
      </c>
      <c r="B2526" s="3">
        <v>4</v>
      </c>
      <c r="C2526" s="3">
        <v>69</v>
      </c>
      <c r="D2526" s="3">
        <v>33</v>
      </c>
      <c r="E2526" s="3">
        <v>-224.165</v>
      </c>
      <c r="F2526" s="4" t="str">
        <f>HYPERLINK("http://141.218.60.56/~jnz1568/getInfo.php?workbook=12_04.xlsx&amp;sheet=A0&amp;row=2526&amp;col=6&amp;number=6720&amp;sourceID=14","6720")</f>
        <v>6720</v>
      </c>
      <c r="G2526" s="4" t="str">
        <f>HYPERLINK("http://141.218.60.56/~jnz1568/getInfo.php?workbook=12_04.xlsx&amp;sheet=A0&amp;row=2526&amp;col=7&amp;number=0&amp;sourceID=14","0")</f>
        <v>0</v>
      </c>
    </row>
    <row r="2527" spans="1:7">
      <c r="A2527" s="3">
        <v>12</v>
      </c>
      <c r="B2527" s="3">
        <v>4</v>
      </c>
      <c r="C2527" s="3">
        <v>70</v>
      </c>
      <c r="D2527" s="3">
        <v>33</v>
      </c>
      <c r="E2527" s="3">
        <v>-223.848</v>
      </c>
      <c r="F2527" s="4" t="str">
        <f>HYPERLINK("http://141.218.60.56/~jnz1568/getInfo.php?workbook=12_04.xlsx&amp;sheet=A0&amp;row=2527&amp;col=6&amp;number=0.00471&amp;sourceID=14","0.00471")</f>
        <v>0.00471</v>
      </c>
      <c r="G2527" s="4" t="str">
        <f>HYPERLINK("http://141.218.60.56/~jnz1568/getInfo.php?workbook=12_04.xlsx&amp;sheet=A0&amp;row=2527&amp;col=7&amp;number=0&amp;sourceID=14","0")</f>
        <v>0</v>
      </c>
    </row>
    <row r="2528" spans="1:7">
      <c r="A2528" s="3">
        <v>12</v>
      </c>
      <c r="B2528" s="3">
        <v>4</v>
      </c>
      <c r="C2528" s="3">
        <v>71</v>
      </c>
      <c r="D2528" s="3">
        <v>33</v>
      </c>
      <c r="E2528" s="3">
        <v>-222.884</v>
      </c>
      <c r="F2528" s="4" t="str">
        <f>HYPERLINK("http://141.218.60.56/~jnz1568/getInfo.php?workbook=12_04.xlsx&amp;sheet=A0&amp;row=2528&amp;col=6&amp;number=591000&amp;sourceID=14","591000")</f>
        <v>591000</v>
      </c>
      <c r="G2528" s="4" t="str">
        <f>HYPERLINK("http://141.218.60.56/~jnz1568/getInfo.php?workbook=12_04.xlsx&amp;sheet=A0&amp;row=2528&amp;col=7&amp;number=0&amp;sourceID=14","0")</f>
        <v>0</v>
      </c>
    </row>
    <row r="2529" spans="1:7">
      <c r="A2529" s="3">
        <v>12</v>
      </c>
      <c r="B2529" s="3">
        <v>4</v>
      </c>
      <c r="C2529" s="3">
        <v>72</v>
      </c>
      <c r="D2529" s="3">
        <v>33</v>
      </c>
      <c r="E2529" s="3">
        <v>-222.653</v>
      </c>
      <c r="F2529" s="4" t="str">
        <f>HYPERLINK("http://141.218.60.56/~jnz1568/getInfo.php?workbook=12_04.xlsx&amp;sheet=A0&amp;row=2529&amp;col=6&amp;number=1230000&amp;sourceID=14","1230000")</f>
        <v>1230000</v>
      </c>
      <c r="G2529" s="4" t="str">
        <f>HYPERLINK("http://141.218.60.56/~jnz1568/getInfo.php?workbook=12_04.xlsx&amp;sheet=A0&amp;row=2529&amp;col=7&amp;number=0&amp;sourceID=14","0")</f>
        <v>0</v>
      </c>
    </row>
    <row r="2530" spans="1:7">
      <c r="A2530" s="3">
        <v>12</v>
      </c>
      <c r="B2530" s="3">
        <v>4</v>
      </c>
      <c r="C2530" s="3">
        <v>73</v>
      </c>
      <c r="D2530" s="3">
        <v>33</v>
      </c>
      <c r="E2530" s="3">
        <v>-221.158</v>
      </c>
      <c r="F2530" s="4" t="str">
        <f>HYPERLINK("http://141.218.60.56/~jnz1568/getInfo.php?workbook=12_04.xlsx&amp;sheet=A0&amp;row=2530&amp;col=6&amp;number=252000&amp;sourceID=14","252000")</f>
        <v>252000</v>
      </c>
      <c r="G2530" s="4" t="str">
        <f>HYPERLINK("http://141.218.60.56/~jnz1568/getInfo.php?workbook=12_04.xlsx&amp;sheet=A0&amp;row=2530&amp;col=7&amp;number=0&amp;sourceID=14","0")</f>
        <v>0</v>
      </c>
    </row>
    <row r="2531" spans="1:7">
      <c r="A2531" s="3">
        <v>12</v>
      </c>
      <c r="B2531" s="3">
        <v>4</v>
      </c>
      <c r="C2531" s="3">
        <v>74</v>
      </c>
      <c r="D2531" s="3">
        <v>33</v>
      </c>
      <c r="E2531" s="3">
        <v>-220.227</v>
      </c>
      <c r="F2531" s="4" t="str">
        <f>HYPERLINK("http://141.218.60.56/~jnz1568/getInfo.php?workbook=12_04.xlsx&amp;sheet=A0&amp;row=2531&amp;col=6&amp;number=77500&amp;sourceID=14","77500")</f>
        <v>77500</v>
      </c>
      <c r="G2531" s="4" t="str">
        <f>HYPERLINK("http://141.218.60.56/~jnz1568/getInfo.php?workbook=12_04.xlsx&amp;sheet=A0&amp;row=2531&amp;col=7&amp;number=0&amp;sourceID=14","0")</f>
        <v>0</v>
      </c>
    </row>
    <row r="2532" spans="1:7">
      <c r="A2532" s="3">
        <v>12</v>
      </c>
      <c r="B2532" s="3">
        <v>4</v>
      </c>
      <c r="C2532" s="3">
        <v>75</v>
      </c>
      <c r="D2532" s="3">
        <v>33</v>
      </c>
      <c r="E2532" s="3">
        <v>-219.936</v>
      </c>
      <c r="F2532" s="4" t="str">
        <f>HYPERLINK("http://141.218.60.56/~jnz1568/getInfo.php?workbook=12_04.xlsx&amp;sheet=A0&amp;row=2532&amp;col=6&amp;number=23800&amp;sourceID=14","23800")</f>
        <v>23800</v>
      </c>
      <c r="G2532" s="4" t="str">
        <f>HYPERLINK("http://141.218.60.56/~jnz1568/getInfo.php?workbook=12_04.xlsx&amp;sheet=A0&amp;row=2532&amp;col=7&amp;number=0&amp;sourceID=14","0")</f>
        <v>0</v>
      </c>
    </row>
    <row r="2533" spans="1:7">
      <c r="A2533" s="3">
        <v>12</v>
      </c>
      <c r="B2533" s="3">
        <v>4</v>
      </c>
      <c r="C2533" s="3">
        <v>76</v>
      </c>
      <c r="D2533" s="3">
        <v>33</v>
      </c>
      <c r="E2533" s="3">
        <v>-219.417</v>
      </c>
      <c r="F2533" s="4" t="str">
        <f>HYPERLINK("http://141.218.60.56/~jnz1568/getInfo.php?workbook=12_04.xlsx&amp;sheet=A0&amp;row=2533&amp;col=6&amp;number=37700000&amp;sourceID=14","37700000")</f>
        <v>37700000</v>
      </c>
      <c r="G2533" s="4" t="str">
        <f>HYPERLINK("http://141.218.60.56/~jnz1568/getInfo.php?workbook=12_04.xlsx&amp;sheet=A0&amp;row=2533&amp;col=7&amp;number=0&amp;sourceID=14","0")</f>
        <v>0</v>
      </c>
    </row>
    <row r="2534" spans="1:7">
      <c r="A2534" s="3">
        <v>12</v>
      </c>
      <c r="B2534" s="3">
        <v>4</v>
      </c>
      <c r="C2534" s="3">
        <v>77</v>
      </c>
      <c r="D2534" s="3">
        <v>33</v>
      </c>
      <c r="E2534" s="3">
        <v>-219.178</v>
      </c>
      <c r="F2534" s="4" t="str">
        <f>HYPERLINK("http://141.218.60.56/~jnz1568/getInfo.php?workbook=12_04.xlsx&amp;sheet=A0&amp;row=2534&amp;col=6&amp;number=1410&amp;sourceID=14","1410")</f>
        <v>1410</v>
      </c>
      <c r="G2534" s="4" t="str">
        <f>HYPERLINK("http://141.218.60.56/~jnz1568/getInfo.php?workbook=12_04.xlsx&amp;sheet=A0&amp;row=2534&amp;col=7&amp;number=0&amp;sourceID=14","0")</f>
        <v>0</v>
      </c>
    </row>
    <row r="2535" spans="1:7">
      <c r="A2535" s="3">
        <v>12</v>
      </c>
      <c r="B2535" s="3">
        <v>4</v>
      </c>
      <c r="C2535" s="3">
        <v>78</v>
      </c>
      <c r="D2535" s="3">
        <v>33</v>
      </c>
      <c r="E2535" s="3">
        <v>-217.744</v>
      </c>
      <c r="F2535" s="4" t="str">
        <f>HYPERLINK("http://141.218.60.56/~jnz1568/getInfo.php?workbook=12_04.xlsx&amp;sheet=A0&amp;row=2535&amp;col=6&amp;number=158000&amp;sourceID=14","158000")</f>
        <v>158000</v>
      </c>
      <c r="G2535" s="4" t="str">
        <f>HYPERLINK("http://141.218.60.56/~jnz1568/getInfo.php?workbook=12_04.xlsx&amp;sheet=A0&amp;row=2535&amp;col=7&amp;number=0&amp;sourceID=14","0")</f>
        <v>0</v>
      </c>
    </row>
    <row r="2536" spans="1:7">
      <c r="A2536" s="3">
        <v>12</v>
      </c>
      <c r="B2536" s="3">
        <v>4</v>
      </c>
      <c r="C2536" s="3">
        <v>79</v>
      </c>
      <c r="D2536" s="3">
        <v>33</v>
      </c>
      <c r="E2536" s="3">
        <v>-217.451</v>
      </c>
      <c r="F2536" s="4" t="str">
        <f>HYPERLINK("http://141.218.60.56/~jnz1568/getInfo.php?workbook=12_04.xlsx&amp;sheet=A0&amp;row=2536&amp;col=6&amp;number=30600&amp;sourceID=14","30600")</f>
        <v>30600</v>
      </c>
      <c r="G2536" s="4" t="str">
        <f>HYPERLINK("http://141.218.60.56/~jnz1568/getInfo.php?workbook=12_04.xlsx&amp;sheet=A0&amp;row=2536&amp;col=7&amp;number=0&amp;sourceID=14","0")</f>
        <v>0</v>
      </c>
    </row>
    <row r="2537" spans="1:7">
      <c r="A2537" s="3">
        <v>12</v>
      </c>
      <c r="B2537" s="3">
        <v>4</v>
      </c>
      <c r="C2537" s="3">
        <v>80</v>
      </c>
      <c r="D2537" s="3">
        <v>33</v>
      </c>
      <c r="E2537" s="3">
        <v>-216.866</v>
      </c>
      <c r="F2537" s="4" t="str">
        <f>HYPERLINK("http://141.218.60.56/~jnz1568/getInfo.php?workbook=12_04.xlsx&amp;sheet=A0&amp;row=2537&amp;col=6&amp;number=38400000000&amp;sourceID=14","38400000000")</f>
        <v>38400000000</v>
      </c>
      <c r="G2537" s="4" t="str">
        <f>HYPERLINK("http://141.218.60.56/~jnz1568/getInfo.php?workbook=12_04.xlsx&amp;sheet=A0&amp;row=2537&amp;col=7&amp;number=0&amp;sourceID=14","0")</f>
        <v>0</v>
      </c>
    </row>
    <row r="2538" spans="1:7">
      <c r="A2538" s="3">
        <v>12</v>
      </c>
      <c r="B2538" s="3">
        <v>4</v>
      </c>
      <c r="C2538" s="3">
        <v>81</v>
      </c>
      <c r="D2538" s="3">
        <v>33</v>
      </c>
      <c r="E2538" s="3">
        <v>-216.853</v>
      </c>
      <c r="F2538" s="4" t="str">
        <f>HYPERLINK("http://141.218.60.56/~jnz1568/getInfo.php?workbook=12_04.xlsx&amp;sheet=A0&amp;row=2538&amp;col=6&amp;number=1150&amp;sourceID=14","1150")</f>
        <v>1150</v>
      </c>
      <c r="G2538" s="4" t="str">
        <f>HYPERLINK("http://141.218.60.56/~jnz1568/getInfo.php?workbook=12_04.xlsx&amp;sheet=A0&amp;row=2538&amp;col=7&amp;number=0&amp;sourceID=14","0")</f>
        <v>0</v>
      </c>
    </row>
    <row r="2539" spans="1:7">
      <c r="A2539" s="3">
        <v>12</v>
      </c>
      <c r="B2539" s="3">
        <v>4</v>
      </c>
      <c r="C2539" s="3">
        <v>82</v>
      </c>
      <c r="D2539" s="3">
        <v>33</v>
      </c>
      <c r="E2539" s="3">
        <v>-216.695</v>
      </c>
      <c r="F2539" s="4" t="str">
        <f>HYPERLINK("http://141.218.60.56/~jnz1568/getInfo.php?workbook=12_04.xlsx&amp;sheet=A0&amp;row=2539&amp;col=6&amp;number=9740000000&amp;sourceID=14","9740000000")</f>
        <v>9740000000</v>
      </c>
      <c r="G2539" s="4" t="str">
        <f>HYPERLINK("http://141.218.60.56/~jnz1568/getInfo.php?workbook=12_04.xlsx&amp;sheet=A0&amp;row=2539&amp;col=7&amp;number=0&amp;sourceID=14","0")</f>
        <v>0</v>
      </c>
    </row>
    <row r="2540" spans="1:7">
      <c r="A2540" s="3">
        <v>12</v>
      </c>
      <c r="B2540" s="3">
        <v>4</v>
      </c>
      <c r="C2540" s="3">
        <v>83</v>
      </c>
      <c r="D2540" s="3">
        <v>33</v>
      </c>
      <c r="E2540" s="3">
        <v>-216.693</v>
      </c>
      <c r="F2540" s="4" t="str">
        <f>HYPERLINK("http://141.218.60.56/~jnz1568/getInfo.php?workbook=12_04.xlsx&amp;sheet=A0&amp;row=2540&amp;col=6&amp;number=27700000000&amp;sourceID=14","27700000000")</f>
        <v>27700000000</v>
      </c>
      <c r="G2540" s="4" t="str">
        <f>HYPERLINK("http://141.218.60.56/~jnz1568/getInfo.php?workbook=12_04.xlsx&amp;sheet=A0&amp;row=2540&amp;col=7&amp;number=0&amp;sourceID=14","0")</f>
        <v>0</v>
      </c>
    </row>
    <row r="2541" spans="1:7">
      <c r="A2541" s="3">
        <v>12</v>
      </c>
      <c r="B2541" s="3">
        <v>4</v>
      </c>
      <c r="C2541" s="3">
        <v>84</v>
      </c>
      <c r="D2541" s="3">
        <v>33</v>
      </c>
      <c r="E2541" s="3">
        <v>-216.541</v>
      </c>
      <c r="F2541" s="4" t="str">
        <f>HYPERLINK("http://141.218.60.56/~jnz1568/getInfo.php?workbook=12_04.xlsx&amp;sheet=A0&amp;row=2541&amp;col=6&amp;number=12.9&amp;sourceID=14","12.9")</f>
        <v>12.9</v>
      </c>
      <c r="G2541" s="4" t="str">
        <f>HYPERLINK("http://141.218.60.56/~jnz1568/getInfo.php?workbook=12_04.xlsx&amp;sheet=A0&amp;row=2541&amp;col=7&amp;number=0&amp;sourceID=14","0")</f>
        <v>0</v>
      </c>
    </row>
    <row r="2542" spans="1:7">
      <c r="A2542" s="3">
        <v>12</v>
      </c>
      <c r="B2542" s="3">
        <v>4</v>
      </c>
      <c r="C2542" s="3">
        <v>85</v>
      </c>
      <c r="D2542" s="3">
        <v>33</v>
      </c>
      <c r="E2542" s="3">
        <v>-215.85</v>
      </c>
      <c r="F2542" s="4" t="str">
        <f>HYPERLINK("http://141.218.60.56/~jnz1568/getInfo.php?workbook=12_04.xlsx&amp;sheet=A0&amp;row=2542&amp;col=6&amp;number=1410&amp;sourceID=14","1410")</f>
        <v>1410</v>
      </c>
      <c r="G2542" s="4" t="str">
        <f>HYPERLINK("http://141.218.60.56/~jnz1568/getInfo.php?workbook=12_04.xlsx&amp;sheet=A0&amp;row=2542&amp;col=7&amp;number=0&amp;sourceID=14","0")</f>
        <v>0</v>
      </c>
    </row>
    <row r="2543" spans="1:7">
      <c r="A2543" s="3">
        <v>12</v>
      </c>
      <c r="B2543" s="3">
        <v>4</v>
      </c>
      <c r="C2543" s="3">
        <v>86</v>
      </c>
      <c r="D2543" s="3">
        <v>33</v>
      </c>
      <c r="E2543" s="3">
        <v>-215.561</v>
      </c>
      <c r="F2543" s="4" t="str">
        <f>HYPERLINK("http://141.218.60.56/~jnz1568/getInfo.php?workbook=12_04.xlsx&amp;sheet=A0&amp;row=2543&amp;col=6&amp;number=1750&amp;sourceID=14","1750")</f>
        <v>1750</v>
      </c>
      <c r="G2543" s="4" t="str">
        <f>HYPERLINK("http://141.218.60.56/~jnz1568/getInfo.php?workbook=12_04.xlsx&amp;sheet=A0&amp;row=2543&amp;col=7&amp;number=0&amp;sourceID=14","0")</f>
        <v>0</v>
      </c>
    </row>
    <row r="2544" spans="1:7">
      <c r="A2544" s="3">
        <v>12</v>
      </c>
      <c r="B2544" s="3">
        <v>4</v>
      </c>
      <c r="C2544" s="3">
        <v>87</v>
      </c>
      <c r="D2544" s="3">
        <v>33</v>
      </c>
      <c r="E2544" s="3">
        <v>-215.407</v>
      </c>
      <c r="F2544" s="4" t="str">
        <f>HYPERLINK("http://141.218.60.56/~jnz1568/getInfo.php?workbook=12_04.xlsx&amp;sheet=A0&amp;row=2544&amp;col=6&amp;number=26800&amp;sourceID=14","26800")</f>
        <v>26800</v>
      </c>
      <c r="G2544" s="4" t="str">
        <f>HYPERLINK("http://141.218.60.56/~jnz1568/getInfo.php?workbook=12_04.xlsx&amp;sheet=A0&amp;row=2544&amp;col=7&amp;number=0&amp;sourceID=14","0")</f>
        <v>0</v>
      </c>
    </row>
    <row r="2545" spans="1:7">
      <c r="A2545" s="3">
        <v>12</v>
      </c>
      <c r="B2545" s="3">
        <v>4</v>
      </c>
      <c r="C2545" s="3">
        <v>88</v>
      </c>
      <c r="D2545" s="3">
        <v>33</v>
      </c>
      <c r="E2545" s="3">
        <v>-215.044</v>
      </c>
      <c r="F2545" s="4" t="str">
        <f>HYPERLINK("http://141.218.60.56/~jnz1568/getInfo.php?workbook=12_04.xlsx&amp;sheet=A0&amp;row=2545&amp;col=6&amp;number=20600000000&amp;sourceID=14","20600000000")</f>
        <v>20600000000</v>
      </c>
      <c r="G2545" s="4" t="str">
        <f>HYPERLINK("http://141.218.60.56/~jnz1568/getInfo.php?workbook=12_04.xlsx&amp;sheet=A0&amp;row=2545&amp;col=7&amp;number=0&amp;sourceID=14","0")</f>
        <v>0</v>
      </c>
    </row>
    <row r="2546" spans="1:7">
      <c r="A2546" s="3">
        <v>12</v>
      </c>
      <c r="B2546" s="3">
        <v>4</v>
      </c>
      <c r="C2546" s="3">
        <v>89</v>
      </c>
      <c r="D2546" s="3">
        <v>33</v>
      </c>
      <c r="E2546" s="3">
        <v>-214.831</v>
      </c>
      <c r="F2546" s="4" t="str">
        <f>HYPERLINK("http://141.218.60.56/~jnz1568/getInfo.php?workbook=12_04.xlsx&amp;sheet=A0&amp;row=2546&amp;col=6&amp;number=20.1&amp;sourceID=14","20.1")</f>
        <v>20.1</v>
      </c>
      <c r="G2546" s="4" t="str">
        <f>HYPERLINK("http://141.218.60.56/~jnz1568/getInfo.php?workbook=12_04.xlsx&amp;sheet=A0&amp;row=2546&amp;col=7&amp;number=0&amp;sourceID=14","0")</f>
        <v>0</v>
      </c>
    </row>
    <row r="2547" spans="1:7">
      <c r="A2547" s="3">
        <v>12</v>
      </c>
      <c r="B2547" s="3">
        <v>4</v>
      </c>
      <c r="C2547" s="3">
        <v>90</v>
      </c>
      <c r="D2547" s="3">
        <v>33</v>
      </c>
      <c r="E2547" s="3">
        <v>-214.198</v>
      </c>
      <c r="F2547" s="4" t="str">
        <f>HYPERLINK("http://141.218.60.56/~jnz1568/getInfo.php?workbook=12_04.xlsx&amp;sheet=A0&amp;row=2547&amp;col=6&amp;number=0.113&amp;sourceID=14","0.113")</f>
        <v>0.113</v>
      </c>
      <c r="G2547" s="4" t="str">
        <f>HYPERLINK("http://141.218.60.56/~jnz1568/getInfo.php?workbook=12_04.xlsx&amp;sheet=A0&amp;row=2547&amp;col=7&amp;number=0&amp;sourceID=14","0")</f>
        <v>0</v>
      </c>
    </row>
    <row r="2548" spans="1:7">
      <c r="A2548" s="3">
        <v>12</v>
      </c>
      <c r="B2548" s="3">
        <v>4</v>
      </c>
      <c r="C2548" s="3">
        <v>91</v>
      </c>
      <c r="D2548" s="3">
        <v>33</v>
      </c>
      <c r="E2548" s="3">
        <v>-213.641</v>
      </c>
      <c r="F2548" s="4" t="str">
        <f>HYPERLINK("http://141.218.60.56/~jnz1568/getInfo.php?workbook=12_04.xlsx&amp;sheet=A0&amp;row=2548&amp;col=6&amp;number=235000000&amp;sourceID=14","235000000")</f>
        <v>235000000</v>
      </c>
      <c r="G2548" s="4" t="str">
        <f>HYPERLINK("http://141.218.60.56/~jnz1568/getInfo.php?workbook=12_04.xlsx&amp;sheet=A0&amp;row=2548&amp;col=7&amp;number=0&amp;sourceID=14","0")</f>
        <v>0</v>
      </c>
    </row>
    <row r="2549" spans="1:7">
      <c r="A2549" s="3">
        <v>12</v>
      </c>
      <c r="B2549" s="3">
        <v>4</v>
      </c>
      <c r="C2549" s="3">
        <v>92</v>
      </c>
      <c r="D2549" s="3">
        <v>33</v>
      </c>
      <c r="E2549" s="3">
        <v>-213.51</v>
      </c>
      <c r="F2549" s="4" t="str">
        <f>HYPERLINK("http://141.218.60.56/~jnz1568/getInfo.php?workbook=12_04.xlsx&amp;sheet=A0&amp;row=2549&amp;col=6&amp;number=34.1&amp;sourceID=14","34.1")</f>
        <v>34.1</v>
      </c>
      <c r="G2549" s="4" t="str">
        <f>HYPERLINK("http://141.218.60.56/~jnz1568/getInfo.php?workbook=12_04.xlsx&amp;sheet=A0&amp;row=2549&amp;col=7&amp;number=0&amp;sourceID=14","0")</f>
        <v>0</v>
      </c>
    </row>
    <row r="2550" spans="1:7">
      <c r="A2550" s="3">
        <v>12</v>
      </c>
      <c r="B2550" s="3">
        <v>4</v>
      </c>
      <c r="C2550" s="3">
        <v>93</v>
      </c>
      <c r="D2550" s="3">
        <v>33</v>
      </c>
      <c r="E2550" s="3">
        <v>-213.39</v>
      </c>
      <c r="F2550" s="4" t="str">
        <f>HYPERLINK("http://141.218.60.56/~jnz1568/getInfo.php?workbook=12_04.xlsx&amp;sheet=A0&amp;row=2550&amp;col=6&amp;number=123000000&amp;sourceID=14","123000000")</f>
        <v>123000000</v>
      </c>
      <c r="G2550" s="4" t="str">
        <f>HYPERLINK("http://141.218.60.56/~jnz1568/getInfo.php?workbook=12_04.xlsx&amp;sheet=A0&amp;row=2550&amp;col=7&amp;number=0&amp;sourceID=14","0")</f>
        <v>0</v>
      </c>
    </row>
    <row r="2551" spans="1:7">
      <c r="A2551" s="3">
        <v>12</v>
      </c>
      <c r="B2551" s="3">
        <v>4</v>
      </c>
      <c r="C2551" s="3">
        <v>94</v>
      </c>
      <c r="D2551" s="3">
        <v>33</v>
      </c>
      <c r="E2551" s="3">
        <v>-212.95</v>
      </c>
      <c r="F2551" s="4" t="str">
        <f>HYPERLINK("http://141.218.60.56/~jnz1568/getInfo.php?workbook=12_04.xlsx&amp;sheet=A0&amp;row=2551&amp;col=6&amp;number=255000000&amp;sourceID=14","255000000")</f>
        <v>255000000</v>
      </c>
      <c r="G2551" s="4" t="str">
        <f>HYPERLINK("http://141.218.60.56/~jnz1568/getInfo.php?workbook=12_04.xlsx&amp;sheet=A0&amp;row=2551&amp;col=7&amp;number=0&amp;sourceID=14","0")</f>
        <v>0</v>
      </c>
    </row>
    <row r="2552" spans="1:7">
      <c r="A2552" s="3">
        <v>12</v>
      </c>
      <c r="B2552" s="3">
        <v>4</v>
      </c>
      <c r="C2552" s="3">
        <v>95</v>
      </c>
      <c r="D2552" s="3">
        <v>33</v>
      </c>
      <c r="E2552" s="3">
        <v>-212.663</v>
      </c>
      <c r="F2552" s="4" t="str">
        <f>HYPERLINK("http://141.218.60.56/~jnz1568/getInfo.php?workbook=12_04.xlsx&amp;sheet=A0&amp;row=2552&amp;col=6&amp;number=0.0535&amp;sourceID=14","0.0535")</f>
        <v>0.0535</v>
      </c>
      <c r="G2552" s="4" t="str">
        <f>HYPERLINK("http://141.218.60.56/~jnz1568/getInfo.php?workbook=12_04.xlsx&amp;sheet=A0&amp;row=2552&amp;col=7&amp;number=0&amp;sourceID=14","0")</f>
        <v>0</v>
      </c>
    </row>
    <row r="2553" spans="1:7">
      <c r="A2553" s="3">
        <v>12</v>
      </c>
      <c r="B2553" s="3">
        <v>4</v>
      </c>
      <c r="C2553" s="3">
        <v>96</v>
      </c>
      <c r="D2553" s="3">
        <v>33</v>
      </c>
      <c r="E2553" s="3">
        <v>-212.398</v>
      </c>
      <c r="F2553" s="4" t="str">
        <f>HYPERLINK("http://141.218.60.56/~jnz1568/getInfo.php?workbook=12_04.xlsx&amp;sheet=A0&amp;row=2553&amp;col=6&amp;number=1650000000&amp;sourceID=14","1650000000")</f>
        <v>1650000000</v>
      </c>
      <c r="G2553" s="4" t="str">
        <f>HYPERLINK("http://141.218.60.56/~jnz1568/getInfo.php?workbook=12_04.xlsx&amp;sheet=A0&amp;row=2553&amp;col=7&amp;number=0&amp;sourceID=14","0")</f>
        <v>0</v>
      </c>
    </row>
    <row r="2554" spans="1:7">
      <c r="A2554" s="3">
        <v>12</v>
      </c>
      <c r="B2554" s="3">
        <v>4</v>
      </c>
      <c r="C2554" s="3">
        <v>97</v>
      </c>
      <c r="D2554" s="3">
        <v>33</v>
      </c>
      <c r="E2554" s="3">
        <v>-211.278</v>
      </c>
      <c r="F2554" s="4" t="str">
        <f>HYPERLINK("http://141.218.60.56/~jnz1568/getInfo.php?workbook=12_04.xlsx&amp;sheet=A0&amp;row=2554&amp;col=6&amp;number=28800&amp;sourceID=14","28800")</f>
        <v>28800</v>
      </c>
      <c r="G2554" s="4" t="str">
        <f>HYPERLINK("http://141.218.60.56/~jnz1568/getInfo.php?workbook=12_04.xlsx&amp;sheet=A0&amp;row=2554&amp;col=7&amp;number=0&amp;sourceID=14","0")</f>
        <v>0</v>
      </c>
    </row>
    <row r="2555" spans="1:7">
      <c r="A2555" s="3">
        <v>12</v>
      </c>
      <c r="B2555" s="3">
        <v>4</v>
      </c>
      <c r="C2555" s="3">
        <v>98</v>
      </c>
      <c r="D2555" s="3">
        <v>33</v>
      </c>
      <c r="E2555" s="3">
        <v>-210.745</v>
      </c>
      <c r="F2555" s="4" t="str">
        <f>HYPERLINK("http://141.218.60.56/~jnz1568/getInfo.php?workbook=12_04.xlsx&amp;sheet=A0&amp;row=2555&amp;col=6&amp;number=50100&amp;sourceID=14","50100")</f>
        <v>50100</v>
      </c>
      <c r="G2555" s="4" t="str">
        <f>HYPERLINK("http://141.218.60.56/~jnz1568/getInfo.php?workbook=12_04.xlsx&amp;sheet=A0&amp;row=2555&amp;col=7&amp;number=0&amp;sourceID=14","0")</f>
        <v>0</v>
      </c>
    </row>
    <row r="2556" spans="1:7">
      <c r="A2556" s="3">
        <v>12</v>
      </c>
      <c r="B2556" s="3">
        <v>4</v>
      </c>
      <c r="C2556" s="3">
        <v>35</v>
      </c>
      <c r="D2556" s="3">
        <v>34</v>
      </c>
      <c r="E2556" s="3">
        <v>-89206.227</v>
      </c>
      <c r="F2556" s="4" t="str">
        <f>HYPERLINK("http://141.218.60.56/~jnz1568/getInfo.php?workbook=12_04.xlsx&amp;sheet=A0&amp;row=2556&amp;col=6&amp;number=0.0284&amp;sourceID=14","0.0284")</f>
        <v>0.0284</v>
      </c>
      <c r="G2556" s="4" t="str">
        <f>HYPERLINK("http://141.218.60.56/~jnz1568/getInfo.php?workbook=12_04.xlsx&amp;sheet=A0&amp;row=2556&amp;col=7&amp;number=0&amp;sourceID=14","0")</f>
        <v>0</v>
      </c>
    </row>
    <row r="2557" spans="1:7">
      <c r="A2557" s="3">
        <v>12</v>
      </c>
      <c r="B2557" s="3">
        <v>4</v>
      </c>
      <c r="C2557" s="3">
        <v>36</v>
      </c>
      <c r="D2557" s="3">
        <v>34</v>
      </c>
      <c r="E2557" s="3">
        <v>-49627.883</v>
      </c>
      <c r="F2557" s="4" t="str">
        <f>HYPERLINK("http://141.218.60.56/~jnz1568/getInfo.php?workbook=12_04.xlsx&amp;sheet=A0&amp;row=2557&amp;col=6&amp;number=0.165&amp;sourceID=14","0.165")</f>
        <v>0.165</v>
      </c>
      <c r="G2557" s="4" t="str">
        <f>HYPERLINK("http://141.218.60.56/~jnz1568/getInfo.php?workbook=12_04.xlsx&amp;sheet=A0&amp;row=2557&amp;col=7&amp;number=0&amp;sourceID=14","0")</f>
        <v>0</v>
      </c>
    </row>
    <row r="2558" spans="1:7">
      <c r="A2558" s="3">
        <v>12</v>
      </c>
      <c r="B2558" s="3">
        <v>4</v>
      </c>
      <c r="C2558" s="3">
        <v>37</v>
      </c>
      <c r="D2558" s="3">
        <v>34</v>
      </c>
      <c r="E2558" s="3">
        <v>-9040.79</v>
      </c>
      <c r="F2558" s="4" t="str">
        <f>HYPERLINK("http://141.218.60.56/~jnz1568/getInfo.php?workbook=12_04.xlsx&amp;sheet=A0&amp;row=2558&amp;col=6&amp;number=0.688&amp;sourceID=14","0.688")</f>
        <v>0.688</v>
      </c>
      <c r="G2558" s="4" t="str">
        <f>HYPERLINK("http://141.218.60.56/~jnz1568/getInfo.php?workbook=12_04.xlsx&amp;sheet=A0&amp;row=2558&amp;col=7&amp;number=0&amp;sourceID=14","0")</f>
        <v>0</v>
      </c>
    </row>
    <row r="2559" spans="1:7">
      <c r="A2559" s="3">
        <v>12</v>
      </c>
      <c r="B2559" s="3">
        <v>4</v>
      </c>
      <c r="C2559" s="3">
        <v>38</v>
      </c>
      <c r="D2559" s="3">
        <v>34</v>
      </c>
      <c r="E2559" s="3">
        <v>-5261.506</v>
      </c>
      <c r="F2559" s="4" t="str">
        <f>HYPERLINK("http://141.218.60.56/~jnz1568/getInfo.php?workbook=12_04.xlsx&amp;sheet=A0&amp;row=2559&amp;col=6&amp;number=0.00727&amp;sourceID=14","0.00727")</f>
        <v>0.00727</v>
      </c>
      <c r="G2559" s="4" t="str">
        <f>HYPERLINK("http://141.218.60.56/~jnz1568/getInfo.php?workbook=12_04.xlsx&amp;sheet=A0&amp;row=2559&amp;col=7&amp;number=0&amp;sourceID=14","0")</f>
        <v>0</v>
      </c>
    </row>
    <row r="2560" spans="1:7">
      <c r="A2560" s="3">
        <v>12</v>
      </c>
      <c r="B2560" s="3">
        <v>4</v>
      </c>
      <c r="C2560" s="3">
        <v>39</v>
      </c>
      <c r="D2560" s="3">
        <v>34</v>
      </c>
      <c r="E2560" s="3">
        <v>-5115.099</v>
      </c>
      <c r="F2560" s="4" t="str">
        <f>HYPERLINK("http://141.218.60.56/~jnz1568/getInfo.php?workbook=12_04.xlsx&amp;sheet=A0&amp;row=2560&amp;col=6&amp;number=0.0309&amp;sourceID=14","0.0309")</f>
        <v>0.0309</v>
      </c>
      <c r="G2560" s="4" t="str">
        <f>HYPERLINK("http://141.218.60.56/~jnz1568/getInfo.php?workbook=12_04.xlsx&amp;sheet=A0&amp;row=2560&amp;col=7&amp;number=0&amp;sourceID=14","0")</f>
        <v>0</v>
      </c>
    </row>
    <row r="2561" spans="1:7">
      <c r="A2561" s="3">
        <v>12</v>
      </c>
      <c r="B2561" s="3">
        <v>4</v>
      </c>
      <c r="C2561" s="3">
        <v>40</v>
      </c>
      <c r="D2561" s="3">
        <v>34</v>
      </c>
      <c r="E2561" s="3">
        <v>-4858.387</v>
      </c>
      <c r="F2561" s="4" t="str">
        <f>HYPERLINK("http://141.218.60.56/~jnz1568/getInfo.php?workbook=12_04.xlsx&amp;sheet=A0&amp;row=2561&amp;col=6&amp;number=0.636&amp;sourceID=14","0.636")</f>
        <v>0.636</v>
      </c>
      <c r="G2561" s="4" t="str">
        <f>HYPERLINK("http://141.218.60.56/~jnz1568/getInfo.php?workbook=12_04.xlsx&amp;sheet=A0&amp;row=2561&amp;col=7&amp;number=0&amp;sourceID=14","0")</f>
        <v>0</v>
      </c>
    </row>
    <row r="2562" spans="1:7">
      <c r="A2562" s="3">
        <v>12</v>
      </c>
      <c r="B2562" s="3">
        <v>4</v>
      </c>
      <c r="C2562" s="3">
        <v>41</v>
      </c>
      <c r="D2562" s="3">
        <v>34</v>
      </c>
      <c r="E2562" s="3">
        <v>-3641.8</v>
      </c>
      <c r="F2562" s="4" t="str">
        <f>HYPERLINK("http://141.218.60.56/~jnz1568/getInfo.php?workbook=12_04.xlsx&amp;sheet=A0&amp;row=2562&amp;col=6&amp;number=0.0728&amp;sourceID=14","0.0728")</f>
        <v>0.0728</v>
      </c>
      <c r="G2562" s="4" t="str">
        <f>HYPERLINK("http://141.218.60.56/~jnz1568/getInfo.php?workbook=12_04.xlsx&amp;sheet=A0&amp;row=2562&amp;col=7&amp;number=0&amp;sourceID=14","0")</f>
        <v>0</v>
      </c>
    </row>
    <row r="2563" spans="1:7">
      <c r="A2563" s="3">
        <v>12</v>
      </c>
      <c r="B2563" s="3">
        <v>4</v>
      </c>
      <c r="C2563" s="3">
        <v>42</v>
      </c>
      <c r="D2563" s="3">
        <v>34</v>
      </c>
      <c r="E2563" s="3">
        <v>-3530.706</v>
      </c>
      <c r="F2563" s="4" t="str">
        <f>HYPERLINK("http://141.218.60.56/~jnz1568/getInfo.php?workbook=12_04.xlsx&amp;sheet=A0&amp;row=2563&amp;col=6&amp;number=0.288&amp;sourceID=14","0.288")</f>
        <v>0.288</v>
      </c>
      <c r="G2563" s="4" t="str">
        <f>HYPERLINK("http://141.218.60.56/~jnz1568/getInfo.php?workbook=12_04.xlsx&amp;sheet=A0&amp;row=2563&amp;col=7&amp;number=0&amp;sourceID=14","0")</f>
        <v>0</v>
      </c>
    </row>
    <row r="2564" spans="1:7">
      <c r="A2564" s="3">
        <v>12</v>
      </c>
      <c r="B2564" s="3">
        <v>4</v>
      </c>
      <c r="C2564" s="3">
        <v>44</v>
      </c>
      <c r="D2564" s="3">
        <v>34</v>
      </c>
      <c r="E2564" s="3">
        <v>-2287.706</v>
      </c>
      <c r="F2564" s="4" t="str">
        <f>HYPERLINK("http://141.218.60.56/~jnz1568/getInfo.php?workbook=12_04.xlsx&amp;sheet=A0&amp;row=2564&amp;col=6&amp;number=1.32e-10&amp;sourceID=14","1.32e-10")</f>
        <v>1.32e-10</v>
      </c>
      <c r="G2564" s="4" t="str">
        <f>HYPERLINK("http://141.218.60.56/~jnz1568/getInfo.php?workbook=12_04.xlsx&amp;sheet=A0&amp;row=2564&amp;col=7&amp;number=0&amp;sourceID=14","0")</f>
        <v>0</v>
      </c>
    </row>
    <row r="2565" spans="1:7">
      <c r="A2565" s="3">
        <v>12</v>
      </c>
      <c r="B2565" s="3">
        <v>4</v>
      </c>
      <c r="C2565" s="3">
        <v>45</v>
      </c>
      <c r="D2565" s="3">
        <v>34</v>
      </c>
      <c r="E2565" s="3">
        <v>-1955</v>
      </c>
      <c r="F2565" s="4" t="str">
        <f>HYPERLINK("http://141.218.60.56/~jnz1568/getInfo.php?workbook=12_04.xlsx&amp;sheet=A0&amp;row=2565&amp;col=6&amp;number=0.26&amp;sourceID=14","0.26")</f>
        <v>0.26</v>
      </c>
      <c r="G2565" s="4" t="str">
        <f>HYPERLINK("http://141.218.60.56/~jnz1568/getInfo.php?workbook=12_04.xlsx&amp;sheet=A0&amp;row=2565&amp;col=7&amp;number=0&amp;sourceID=14","0")</f>
        <v>0</v>
      </c>
    </row>
    <row r="2566" spans="1:7">
      <c r="A2566" s="3">
        <v>12</v>
      </c>
      <c r="B2566" s="3">
        <v>4</v>
      </c>
      <c r="C2566" s="3">
        <v>46</v>
      </c>
      <c r="D2566" s="3">
        <v>34</v>
      </c>
      <c r="E2566" s="3">
        <v>-1777.307</v>
      </c>
      <c r="F2566" s="4" t="str">
        <f>HYPERLINK("http://141.218.60.56/~jnz1568/getInfo.php?workbook=12_04.xlsx&amp;sheet=A0&amp;row=2566&amp;col=6&amp;number=0.00882&amp;sourceID=14","0.00882")</f>
        <v>0.00882</v>
      </c>
      <c r="G2566" s="4" t="str">
        <f>HYPERLINK("http://141.218.60.56/~jnz1568/getInfo.php?workbook=12_04.xlsx&amp;sheet=A0&amp;row=2566&amp;col=7&amp;number=0&amp;sourceID=14","0")</f>
        <v>0</v>
      </c>
    </row>
    <row r="2567" spans="1:7">
      <c r="A2567" s="3">
        <v>12</v>
      </c>
      <c r="B2567" s="3">
        <v>4</v>
      </c>
      <c r="C2567" s="3">
        <v>47</v>
      </c>
      <c r="D2567" s="3">
        <v>34</v>
      </c>
      <c r="E2567" s="3">
        <v>-396.644</v>
      </c>
      <c r="F2567" s="4" t="str">
        <f>HYPERLINK("http://141.218.60.56/~jnz1568/getInfo.php?workbook=12_04.xlsx&amp;sheet=A0&amp;row=2567&amp;col=6&amp;number=0.0513&amp;sourceID=14","0.0513")</f>
        <v>0.0513</v>
      </c>
      <c r="G2567" s="4" t="str">
        <f>HYPERLINK("http://141.218.60.56/~jnz1568/getInfo.php?workbook=12_04.xlsx&amp;sheet=A0&amp;row=2567&amp;col=7&amp;number=0&amp;sourceID=14","0")</f>
        <v>0</v>
      </c>
    </row>
    <row r="2568" spans="1:7">
      <c r="A2568" s="3">
        <v>12</v>
      </c>
      <c r="B2568" s="3">
        <v>4</v>
      </c>
      <c r="C2568" s="3">
        <v>48</v>
      </c>
      <c r="D2568" s="3">
        <v>34</v>
      </c>
      <c r="E2568" s="3">
        <v>-381.409</v>
      </c>
      <c r="F2568" s="4" t="str">
        <f>HYPERLINK("http://141.218.60.56/~jnz1568/getInfo.php?workbook=12_04.xlsx&amp;sheet=A0&amp;row=2568&amp;col=6&amp;number=0.000419&amp;sourceID=14","0.000419")</f>
        <v>0.000419</v>
      </c>
      <c r="G2568" s="4" t="str">
        <f>HYPERLINK("http://141.218.60.56/~jnz1568/getInfo.php?workbook=12_04.xlsx&amp;sheet=A0&amp;row=2568&amp;col=7&amp;number=0&amp;sourceID=14","0")</f>
        <v>0</v>
      </c>
    </row>
    <row r="2569" spans="1:7">
      <c r="A2569" s="3">
        <v>12</v>
      </c>
      <c r="B2569" s="3">
        <v>4</v>
      </c>
      <c r="C2569" s="3">
        <v>49</v>
      </c>
      <c r="D2569" s="3">
        <v>34</v>
      </c>
      <c r="E2569" s="3">
        <v>-361.386</v>
      </c>
      <c r="F2569" s="4" t="str">
        <f>HYPERLINK("http://141.218.60.56/~jnz1568/getInfo.php?workbook=12_04.xlsx&amp;sheet=A0&amp;row=2569&amp;col=6&amp;number=1.04e-06&amp;sourceID=14","1.04e-06")</f>
        <v>1.04e-06</v>
      </c>
      <c r="G2569" s="4" t="str">
        <f>HYPERLINK("http://141.218.60.56/~jnz1568/getInfo.php?workbook=12_04.xlsx&amp;sheet=A0&amp;row=2569&amp;col=7&amp;number=0&amp;sourceID=14","0")</f>
        <v>0</v>
      </c>
    </row>
    <row r="2570" spans="1:7">
      <c r="A2570" s="3">
        <v>12</v>
      </c>
      <c r="B2570" s="3">
        <v>4</v>
      </c>
      <c r="C2570" s="3">
        <v>50</v>
      </c>
      <c r="D2570" s="3">
        <v>34</v>
      </c>
      <c r="E2570" s="3">
        <v>-361.235</v>
      </c>
      <c r="F2570" s="4" t="str">
        <f>HYPERLINK("http://141.218.60.56/~jnz1568/getInfo.php?workbook=12_04.xlsx&amp;sheet=A0&amp;row=2570&amp;col=6&amp;number=5810&amp;sourceID=14","5810")</f>
        <v>5810</v>
      </c>
      <c r="G2570" s="4" t="str">
        <f>HYPERLINK("http://141.218.60.56/~jnz1568/getInfo.php?workbook=12_04.xlsx&amp;sheet=A0&amp;row=2570&amp;col=7&amp;number=0&amp;sourceID=14","0")</f>
        <v>0</v>
      </c>
    </row>
    <row r="2571" spans="1:7">
      <c r="A2571" s="3">
        <v>12</v>
      </c>
      <c r="B2571" s="3">
        <v>4</v>
      </c>
      <c r="C2571" s="3">
        <v>51</v>
      </c>
      <c r="D2571" s="3">
        <v>34</v>
      </c>
      <c r="E2571" s="3">
        <v>-360.893</v>
      </c>
      <c r="F2571" s="4" t="str">
        <f>HYPERLINK("http://141.218.60.56/~jnz1568/getInfo.php?workbook=12_04.xlsx&amp;sheet=A0&amp;row=2571&amp;col=6&amp;number=1840&amp;sourceID=14","1840")</f>
        <v>1840</v>
      </c>
      <c r="G2571" s="4" t="str">
        <f>HYPERLINK("http://141.218.60.56/~jnz1568/getInfo.php?workbook=12_04.xlsx&amp;sheet=A0&amp;row=2571&amp;col=7&amp;number=0&amp;sourceID=14","0")</f>
        <v>0</v>
      </c>
    </row>
    <row r="2572" spans="1:7">
      <c r="A2572" s="3">
        <v>12</v>
      </c>
      <c r="B2572" s="3">
        <v>4</v>
      </c>
      <c r="C2572" s="3">
        <v>52</v>
      </c>
      <c r="D2572" s="3">
        <v>34</v>
      </c>
      <c r="E2572" s="3">
        <v>-357.337</v>
      </c>
      <c r="F2572" s="4" t="str">
        <f>HYPERLINK("http://141.218.60.56/~jnz1568/getInfo.php?workbook=12_04.xlsx&amp;sheet=A0&amp;row=2572&amp;col=6&amp;number=102&amp;sourceID=14","102")</f>
        <v>102</v>
      </c>
      <c r="G2572" s="4" t="str">
        <f>HYPERLINK("http://141.218.60.56/~jnz1568/getInfo.php?workbook=12_04.xlsx&amp;sheet=A0&amp;row=2572&amp;col=7&amp;number=0&amp;sourceID=14","0")</f>
        <v>0</v>
      </c>
    </row>
    <row r="2573" spans="1:7">
      <c r="A2573" s="3">
        <v>12</v>
      </c>
      <c r="B2573" s="3">
        <v>4</v>
      </c>
      <c r="C2573" s="3">
        <v>53</v>
      </c>
      <c r="D2573" s="3">
        <v>34</v>
      </c>
      <c r="E2573" s="3">
        <v>-343.947</v>
      </c>
      <c r="F2573" s="4" t="str">
        <f>HYPERLINK("http://141.218.60.56/~jnz1568/getInfo.php?workbook=12_04.xlsx&amp;sheet=A0&amp;row=2573&amp;col=6&amp;number=0.0695&amp;sourceID=14","0.0695")</f>
        <v>0.0695</v>
      </c>
      <c r="G2573" s="4" t="str">
        <f>HYPERLINK("http://141.218.60.56/~jnz1568/getInfo.php?workbook=12_04.xlsx&amp;sheet=A0&amp;row=2573&amp;col=7&amp;number=0&amp;sourceID=14","0")</f>
        <v>0</v>
      </c>
    </row>
    <row r="2574" spans="1:7">
      <c r="A2574" s="3">
        <v>12</v>
      </c>
      <c r="B2574" s="3">
        <v>4</v>
      </c>
      <c r="C2574" s="3">
        <v>54</v>
      </c>
      <c r="D2574" s="3">
        <v>34</v>
      </c>
      <c r="E2574" s="3">
        <v>-343.891</v>
      </c>
      <c r="F2574" s="4" t="str">
        <f>HYPERLINK("http://141.218.60.56/~jnz1568/getInfo.php?workbook=12_04.xlsx&amp;sheet=A0&amp;row=2574&amp;col=6&amp;number=279000000&amp;sourceID=14","279000000")</f>
        <v>279000000</v>
      </c>
      <c r="G2574" s="4" t="str">
        <f>HYPERLINK("http://141.218.60.56/~jnz1568/getInfo.php?workbook=12_04.xlsx&amp;sheet=A0&amp;row=2574&amp;col=7&amp;number=0&amp;sourceID=14","0")</f>
        <v>0</v>
      </c>
    </row>
    <row r="2575" spans="1:7">
      <c r="A2575" s="3">
        <v>12</v>
      </c>
      <c r="B2575" s="3">
        <v>4</v>
      </c>
      <c r="C2575" s="3">
        <v>55</v>
      </c>
      <c r="D2575" s="3">
        <v>34</v>
      </c>
      <c r="E2575" s="3">
        <v>-343.806</v>
      </c>
      <c r="F2575" s="4" t="str">
        <f>HYPERLINK("http://141.218.60.56/~jnz1568/getInfo.php?workbook=12_04.xlsx&amp;sheet=A0&amp;row=2575&amp;col=6&amp;number=24700000&amp;sourceID=14","24700000")</f>
        <v>24700000</v>
      </c>
      <c r="G2575" s="4" t="str">
        <f>HYPERLINK("http://141.218.60.56/~jnz1568/getInfo.php?workbook=12_04.xlsx&amp;sheet=A0&amp;row=2575&amp;col=7&amp;number=0&amp;sourceID=14","0")</f>
        <v>0</v>
      </c>
    </row>
    <row r="2576" spans="1:7">
      <c r="A2576" s="3">
        <v>12</v>
      </c>
      <c r="B2576" s="3">
        <v>4</v>
      </c>
      <c r="C2576" s="3">
        <v>56</v>
      </c>
      <c r="D2576" s="3">
        <v>34</v>
      </c>
      <c r="E2576" s="3">
        <v>-333.94</v>
      </c>
      <c r="F2576" s="4" t="str">
        <f>HYPERLINK("http://141.218.60.56/~jnz1568/getInfo.php?workbook=12_04.xlsx&amp;sheet=A0&amp;row=2576&amp;col=6&amp;number=655000&amp;sourceID=14","655000")</f>
        <v>655000</v>
      </c>
      <c r="G2576" s="4" t="str">
        <f>HYPERLINK("http://141.218.60.56/~jnz1568/getInfo.php?workbook=12_04.xlsx&amp;sheet=A0&amp;row=2576&amp;col=7&amp;number=0&amp;sourceID=14","0")</f>
        <v>0</v>
      </c>
    </row>
    <row r="2577" spans="1:7">
      <c r="A2577" s="3">
        <v>12</v>
      </c>
      <c r="B2577" s="3">
        <v>4</v>
      </c>
      <c r="C2577" s="3">
        <v>57</v>
      </c>
      <c r="D2577" s="3">
        <v>34</v>
      </c>
      <c r="E2577" s="3">
        <v>-333.612</v>
      </c>
      <c r="F2577" s="4" t="str">
        <f>HYPERLINK("http://141.218.60.56/~jnz1568/getInfo.php?workbook=12_04.xlsx&amp;sheet=A0&amp;row=2577&amp;col=6&amp;number=679&amp;sourceID=14","679")</f>
        <v>679</v>
      </c>
      <c r="G2577" s="4" t="str">
        <f>HYPERLINK("http://141.218.60.56/~jnz1568/getInfo.php?workbook=12_04.xlsx&amp;sheet=A0&amp;row=2577&amp;col=7&amp;number=0&amp;sourceID=14","0")</f>
        <v>0</v>
      </c>
    </row>
    <row r="2578" spans="1:7">
      <c r="A2578" s="3">
        <v>12</v>
      </c>
      <c r="B2578" s="3">
        <v>4</v>
      </c>
      <c r="C2578" s="3">
        <v>58</v>
      </c>
      <c r="D2578" s="3">
        <v>34</v>
      </c>
      <c r="E2578" s="3">
        <v>-333.58</v>
      </c>
      <c r="F2578" s="4" t="str">
        <f>HYPERLINK("http://141.218.60.56/~jnz1568/getInfo.php?workbook=12_04.xlsx&amp;sheet=A0&amp;row=2578&amp;col=6&amp;number=1270&amp;sourceID=14","1270")</f>
        <v>1270</v>
      </c>
      <c r="G2578" s="4" t="str">
        <f>HYPERLINK("http://141.218.60.56/~jnz1568/getInfo.php?workbook=12_04.xlsx&amp;sheet=A0&amp;row=2578&amp;col=7&amp;number=0&amp;sourceID=14","0")</f>
        <v>0</v>
      </c>
    </row>
    <row r="2579" spans="1:7">
      <c r="A2579" s="3">
        <v>12</v>
      </c>
      <c r="B2579" s="3">
        <v>4</v>
      </c>
      <c r="C2579" s="3">
        <v>59</v>
      </c>
      <c r="D2579" s="3">
        <v>34</v>
      </c>
      <c r="E2579" s="3">
        <v>-333.537</v>
      </c>
      <c r="F2579" s="4" t="str">
        <f>HYPERLINK("http://141.218.60.56/~jnz1568/getInfo.php?workbook=12_04.xlsx&amp;sheet=A0&amp;row=2579&amp;col=6&amp;number=400&amp;sourceID=14","400")</f>
        <v>400</v>
      </c>
      <c r="G2579" s="4" t="str">
        <f>HYPERLINK("http://141.218.60.56/~jnz1568/getInfo.php?workbook=12_04.xlsx&amp;sheet=A0&amp;row=2579&amp;col=7&amp;number=0&amp;sourceID=14","0")</f>
        <v>0</v>
      </c>
    </row>
    <row r="2580" spans="1:7">
      <c r="A2580" s="3">
        <v>12</v>
      </c>
      <c r="B2580" s="3">
        <v>4</v>
      </c>
      <c r="C2580" s="3">
        <v>60</v>
      </c>
      <c r="D2580" s="3">
        <v>34</v>
      </c>
      <c r="E2580" s="3">
        <v>-330.751</v>
      </c>
      <c r="F2580" s="4" t="str">
        <f>HYPERLINK("http://141.218.60.56/~jnz1568/getInfo.php?workbook=12_04.xlsx&amp;sheet=A0&amp;row=2580&amp;col=6&amp;number=3.36&amp;sourceID=14","3.36")</f>
        <v>3.36</v>
      </c>
      <c r="G2580" s="4" t="str">
        <f>HYPERLINK("http://141.218.60.56/~jnz1568/getInfo.php?workbook=12_04.xlsx&amp;sheet=A0&amp;row=2580&amp;col=7&amp;number=0&amp;sourceID=14","0")</f>
        <v>0</v>
      </c>
    </row>
    <row r="2581" spans="1:7">
      <c r="A2581" s="3">
        <v>12</v>
      </c>
      <c r="B2581" s="3">
        <v>4</v>
      </c>
      <c r="C2581" s="3">
        <v>61</v>
      </c>
      <c r="D2581" s="3">
        <v>34</v>
      </c>
      <c r="E2581" s="3">
        <v>-239.205</v>
      </c>
      <c r="F2581" s="4" t="str">
        <f>HYPERLINK("http://141.218.60.56/~jnz1568/getInfo.php?workbook=12_04.xlsx&amp;sheet=A0&amp;row=2581&amp;col=6&amp;number=0.000255&amp;sourceID=14","0.000255")</f>
        <v>0.000255</v>
      </c>
      <c r="G2581" s="4" t="str">
        <f>HYPERLINK("http://141.218.60.56/~jnz1568/getInfo.php?workbook=12_04.xlsx&amp;sheet=A0&amp;row=2581&amp;col=7&amp;number=0&amp;sourceID=14","0")</f>
        <v>0</v>
      </c>
    </row>
    <row r="2582" spans="1:7">
      <c r="A2582" s="3">
        <v>12</v>
      </c>
      <c r="B2582" s="3">
        <v>4</v>
      </c>
      <c r="C2582" s="3">
        <v>62</v>
      </c>
      <c r="D2582" s="3">
        <v>34</v>
      </c>
      <c r="E2582" s="3">
        <v>-238.681</v>
      </c>
      <c r="F2582" s="4" t="str">
        <f>HYPERLINK("http://141.218.60.56/~jnz1568/getInfo.php?workbook=12_04.xlsx&amp;sheet=A0&amp;row=2582&amp;col=6&amp;number=159000&amp;sourceID=14","159000")</f>
        <v>159000</v>
      </c>
      <c r="G2582" s="4" t="str">
        <f>HYPERLINK("http://141.218.60.56/~jnz1568/getInfo.php?workbook=12_04.xlsx&amp;sheet=A0&amp;row=2582&amp;col=7&amp;number=0&amp;sourceID=14","0")</f>
        <v>0</v>
      </c>
    </row>
    <row r="2583" spans="1:7">
      <c r="A2583" s="3">
        <v>12</v>
      </c>
      <c r="B2583" s="3">
        <v>4</v>
      </c>
      <c r="C2583" s="3">
        <v>63</v>
      </c>
      <c r="D2583" s="3">
        <v>34</v>
      </c>
      <c r="E2583" s="3">
        <v>-236.995</v>
      </c>
      <c r="F2583" s="4" t="str">
        <f>HYPERLINK("http://141.218.60.56/~jnz1568/getInfo.php?workbook=12_04.xlsx&amp;sheet=A0&amp;row=2583&amp;col=6&amp;number=32900&amp;sourceID=14","32900")</f>
        <v>32900</v>
      </c>
      <c r="G2583" s="4" t="str">
        <f>HYPERLINK("http://141.218.60.56/~jnz1568/getInfo.php?workbook=12_04.xlsx&amp;sheet=A0&amp;row=2583&amp;col=7&amp;number=0&amp;sourceID=14","0")</f>
        <v>0</v>
      </c>
    </row>
    <row r="2584" spans="1:7">
      <c r="A2584" s="3">
        <v>12</v>
      </c>
      <c r="B2584" s="3">
        <v>4</v>
      </c>
      <c r="C2584" s="3">
        <v>64</v>
      </c>
      <c r="D2584" s="3">
        <v>34</v>
      </c>
      <c r="E2584" s="3">
        <v>-233.542</v>
      </c>
      <c r="F2584" s="4" t="str">
        <f>HYPERLINK("http://141.218.60.56/~jnz1568/getInfo.php?workbook=12_04.xlsx&amp;sheet=A0&amp;row=2584&amp;col=6&amp;number=3970&amp;sourceID=14","3970")</f>
        <v>3970</v>
      </c>
      <c r="G2584" s="4" t="str">
        <f>HYPERLINK("http://141.218.60.56/~jnz1568/getInfo.php?workbook=12_04.xlsx&amp;sheet=A0&amp;row=2584&amp;col=7&amp;number=0&amp;sourceID=14","0")</f>
        <v>0</v>
      </c>
    </row>
    <row r="2585" spans="1:7">
      <c r="A2585" s="3">
        <v>12</v>
      </c>
      <c r="B2585" s="3">
        <v>4</v>
      </c>
      <c r="C2585" s="3">
        <v>65</v>
      </c>
      <c r="D2585" s="3">
        <v>34</v>
      </c>
      <c r="E2585" s="3">
        <v>-229.508</v>
      </c>
      <c r="F2585" s="4" t="str">
        <f>HYPERLINK("http://141.218.60.56/~jnz1568/getInfo.php?workbook=12_04.xlsx&amp;sheet=A0&amp;row=2585&amp;col=6&amp;number=1.75&amp;sourceID=14","1.75")</f>
        <v>1.75</v>
      </c>
      <c r="G2585" s="4" t="str">
        <f>HYPERLINK("http://141.218.60.56/~jnz1568/getInfo.php?workbook=12_04.xlsx&amp;sheet=A0&amp;row=2585&amp;col=7&amp;number=0&amp;sourceID=14","0")</f>
        <v>0</v>
      </c>
    </row>
    <row r="2586" spans="1:7">
      <c r="A2586" s="3">
        <v>12</v>
      </c>
      <c r="B2586" s="3">
        <v>4</v>
      </c>
      <c r="C2586" s="3">
        <v>66</v>
      </c>
      <c r="D2586" s="3">
        <v>34</v>
      </c>
      <c r="E2586" s="3">
        <v>-228.171</v>
      </c>
      <c r="F2586" s="4" t="str">
        <f>HYPERLINK("http://141.218.60.56/~jnz1568/getInfo.php?workbook=12_04.xlsx&amp;sheet=A0&amp;row=2586&amp;col=6&amp;number=1.09&amp;sourceID=14","1.09")</f>
        <v>1.09</v>
      </c>
      <c r="G2586" s="4" t="str">
        <f>HYPERLINK("http://141.218.60.56/~jnz1568/getInfo.php?workbook=12_04.xlsx&amp;sheet=A0&amp;row=2586&amp;col=7&amp;number=0&amp;sourceID=14","0")</f>
        <v>0</v>
      </c>
    </row>
    <row r="2587" spans="1:7">
      <c r="A2587" s="3">
        <v>12</v>
      </c>
      <c r="B2587" s="3">
        <v>4</v>
      </c>
      <c r="C2587" s="3">
        <v>67</v>
      </c>
      <c r="D2587" s="3">
        <v>34</v>
      </c>
      <c r="E2587" s="3">
        <v>-227.937</v>
      </c>
      <c r="F2587" s="4" t="str">
        <f>HYPERLINK("http://141.218.60.56/~jnz1568/getInfo.php?workbook=12_04.xlsx&amp;sheet=A0&amp;row=2587&amp;col=6&amp;number=1690000000&amp;sourceID=14","1690000000")</f>
        <v>1690000000</v>
      </c>
      <c r="G2587" s="4" t="str">
        <f>HYPERLINK("http://141.218.60.56/~jnz1568/getInfo.php?workbook=12_04.xlsx&amp;sheet=A0&amp;row=2587&amp;col=7&amp;number=0&amp;sourceID=14","0")</f>
        <v>0</v>
      </c>
    </row>
    <row r="2588" spans="1:7">
      <c r="A2588" s="3">
        <v>12</v>
      </c>
      <c r="B2588" s="3">
        <v>4</v>
      </c>
      <c r="C2588" s="3">
        <v>68</v>
      </c>
      <c r="D2588" s="3">
        <v>34</v>
      </c>
      <c r="E2588" s="3">
        <v>-226.676</v>
      </c>
      <c r="F2588" s="4" t="str">
        <f>HYPERLINK("http://141.218.60.56/~jnz1568/getInfo.php?workbook=12_04.xlsx&amp;sheet=A0&amp;row=2588&amp;col=6&amp;number=119000000&amp;sourceID=14","119000000")</f>
        <v>119000000</v>
      </c>
      <c r="G2588" s="4" t="str">
        <f>HYPERLINK("http://141.218.60.56/~jnz1568/getInfo.php?workbook=12_04.xlsx&amp;sheet=A0&amp;row=2588&amp;col=7&amp;number=0&amp;sourceID=14","0")</f>
        <v>0</v>
      </c>
    </row>
    <row r="2589" spans="1:7">
      <c r="A2589" s="3">
        <v>12</v>
      </c>
      <c r="B2589" s="3">
        <v>4</v>
      </c>
      <c r="C2589" s="3">
        <v>69</v>
      </c>
      <c r="D2589" s="3">
        <v>34</v>
      </c>
      <c r="E2589" s="3">
        <v>-225.198</v>
      </c>
      <c r="F2589" s="4" t="str">
        <f>HYPERLINK("http://141.218.60.56/~jnz1568/getInfo.php?workbook=12_04.xlsx&amp;sheet=A0&amp;row=2589&amp;col=6&amp;number=5.6&amp;sourceID=14","5.6")</f>
        <v>5.6</v>
      </c>
      <c r="G2589" s="4" t="str">
        <f>HYPERLINK("http://141.218.60.56/~jnz1568/getInfo.php?workbook=12_04.xlsx&amp;sheet=A0&amp;row=2589&amp;col=7&amp;number=0&amp;sourceID=14","0")</f>
        <v>0</v>
      </c>
    </row>
    <row r="2590" spans="1:7">
      <c r="A2590" s="3">
        <v>12</v>
      </c>
      <c r="B2590" s="3">
        <v>4</v>
      </c>
      <c r="C2590" s="3">
        <v>70</v>
      </c>
      <c r="D2590" s="3">
        <v>34</v>
      </c>
      <c r="E2590" s="3">
        <v>-224.878</v>
      </c>
      <c r="F2590" s="4" t="str">
        <f>HYPERLINK("http://141.218.60.56/~jnz1568/getInfo.php?workbook=12_04.xlsx&amp;sheet=A0&amp;row=2590&amp;col=6&amp;number=11.3&amp;sourceID=14","11.3")</f>
        <v>11.3</v>
      </c>
      <c r="G2590" s="4" t="str">
        <f>HYPERLINK("http://141.218.60.56/~jnz1568/getInfo.php?workbook=12_04.xlsx&amp;sheet=A0&amp;row=2590&amp;col=7&amp;number=0&amp;sourceID=14","0")</f>
        <v>0</v>
      </c>
    </row>
    <row r="2591" spans="1:7">
      <c r="A2591" s="3">
        <v>12</v>
      </c>
      <c r="B2591" s="3">
        <v>4</v>
      </c>
      <c r="C2591" s="3">
        <v>71</v>
      </c>
      <c r="D2591" s="3">
        <v>34</v>
      </c>
      <c r="E2591" s="3">
        <v>-223.905</v>
      </c>
      <c r="F2591" s="4" t="str">
        <f>HYPERLINK("http://141.218.60.56/~jnz1568/getInfo.php?workbook=12_04.xlsx&amp;sheet=A0&amp;row=2591&amp;col=6&amp;number=0.421&amp;sourceID=14","0.421")</f>
        <v>0.421</v>
      </c>
      <c r="G2591" s="4" t="str">
        <f>HYPERLINK("http://141.218.60.56/~jnz1568/getInfo.php?workbook=12_04.xlsx&amp;sheet=A0&amp;row=2591&amp;col=7&amp;number=0&amp;sourceID=14","0")</f>
        <v>0</v>
      </c>
    </row>
    <row r="2592" spans="1:7">
      <c r="A2592" s="3">
        <v>12</v>
      </c>
      <c r="B2592" s="3">
        <v>4</v>
      </c>
      <c r="C2592" s="3">
        <v>72</v>
      </c>
      <c r="D2592" s="3">
        <v>34</v>
      </c>
      <c r="E2592" s="3">
        <v>-223.672</v>
      </c>
      <c r="F2592" s="4" t="str">
        <f>HYPERLINK("http://141.218.60.56/~jnz1568/getInfo.php?workbook=12_04.xlsx&amp;sheet=A0&amp;row=2592&amp;col=6&amp;number=9600000&amp;sourceID=14","9600000")</f>
        <v>9600000</v>
      </c>
      <c r="G2592" s="4" t="str">
        <f>HYPERLINK("http://141.218.60.56/~jnz1568/getInfo.php?workbook=12_04.xlsx&amp;sheet=A0&amp;row=2592&amp;col=7&amp;number=0&amp;sourceID=14","0")</f>
        <v>0</v>
      </c>
    </row>
    <row r="2593" spans="1:7">
      <c r="A2593" s="3">
        <v>12</v>
      </c>
      <c r="B2593" s="3">
        <v>4</v>
      </c>
      <c r="C2593" s="3">
        <v>73</v>
      </c>
      <c r="D2593" s="3">
        <v>34</v>
      </c>
      <c r="E2593" s="3">
        <v>-222.163</v>
      </c>
      <c r="F2593" s="4" t="str">
        <f>HYPERLINK("http://141.218.60.56/~jnz1568/getInfo.php?workbook=12_04.xlsx&amp;sheet=A0&amp;row=2593&amp;col=6&amp;number=83100&amp;sourceID=14","83100")</f>
        <v>83100</v>
      </c>
      <c r="G2593" s="4" t="str">
        <f>HYPERLINK("http://141.218.60.56/~jnz1568/getInfo.php?workbook=12_04.xlsx&amp;sheet=A0&amp;row=2593&amp;col=7&amp;number=0&amp;sourceID=14","0")</f>
        <v>0</v>
      </c>
    </row>
    <row r="2594" spans="1:7">
      <c r="A2594" s="3">
        <v>12</v>
      </c>
      <c r="B2594" s="3">
        <v>4</v>
      </c>
      <c r="C2594" s="3">
        <v>74</v>
      </c>
      <c r="D2594" s="3">
        <v>34</v>
      </c>
      <c r="E2594" s="3">
        <v>-221.224</v>
      </c>
      <c r="F2594" s="4" t="str">
        <f>HYPERLINK("http://141.218.60.56/~jnz1568/getInfo.php?workbook=12_04.xlsx&amp;sheet=A0&amp;row=2594&amp;col=6&amp;number=274000&amp;sourceID=14","274000")</f>
        <v>274000</v>
      </c>
      <c r="G2594" s="4" t="str">
        <f>HYPERLINK("http://141.218.60.56/~jnz1568/getInfo.php?workbook=12_04.xlsx&amp;sheet=A0&amp;row=2594&amp;col=7&amp;number=0&amp;sourceID=14","0")</f>
        <v>0</v>
      </c>
    </row>
    <row r="2595" spans="1:7">
      <c r="A2595" s="3">
        <v>12</v>
      </c>
      <c r="B2595" s="3">
        <v>4</v>
      </c>
      <c r="C2595" s="3">
        <v>75</v>
      </c>
      <c r="D2595" s="3">
        <v>34</v>
      </c>
      <c r="E2595" s="3">
        <v>-220.93</v>
      </c>
      <c r="F2595" s="4" t="str">
        <f>HYPERLINK("http://141.218.60.56/~jnz1568/getInfo.php?workbook=12_04.xlsx&amp;sheet=A0&amp;row=2595&amp;col=6&amp;number=6050&amp;sourceID=14","6050")</f>
        <v>6050</v>
      </c>
      <c r="G2595" s="4" t="str">
        <f>HYPERLINK("http://141.218.60.56/~jnz1568/getInfo.php?workbook=12_04.xlsx&amp;sheet=A0&amp;row=2595&amp;col=7&amp;number=0&amp;sourceID=14","0")</f>
        <v>0</v>
      </c>
    </row>
    <row r="2596" spans="1:7">
      <c r="A2596" s="3">
        <v>12</v>
      </c>
      <c r="B2596" s="3">
        <v>4</v>
      </c>
      <c r="C2596" s="3">
        <v>76</v>
      </c>
      <c r="D2596" s="3">
        <v>34</v>
      </c>
      <c r="E2596" s="3">
        <v>-220.406</v>
      </c>
      <c r="F2596" s="4" t="str">
        <f>HYPERLINK("http://141.218.60.56/~jnz1568/getInfo.php?workbook=12_04.xlsx&amp;sheet=A0&amp;row=2596&amp;col=6&amp;number=784000&amp;sourceID=14","784000")</f>
        <v>784000</v>
      </c>
      <c r="G2596" s="4" t="str">
        <f>HYPERLINK("http://141.218.60.56/~jnz1568/getInfo.php?workbook=12_04.xlsx&amp;sheet=A0&amp;row=2596&amp;col=7&amp;number=0&amp;sourceID=14","0")</f>
        <v>0</v>
      </c>
    </row>
    <row r="2597" spans="1:7">
      <c r="A2597" s="3">
        <v>12</v>
      </c>
      <c r="B2597" s="3">
        <v>4</v>
      </c>
      <c r="C2597" s="3">
        <v>77</v>
      </c>
      <c r="D2597" s="3">
        <v>34</v>
      </c>
      <c r="E2597" s="3">
        <v>-220.165</v>
      </c>
      <c r="F2597" s="4" t="str">
        <f>HYPERLINK("http://141.218.60.56/~jnz1568/getInfo.php?workbook=12_04.xlsx&amp;sheet=A0&amp;row=2597&amp;col=6&amp;number=57200&amp;sourceID=14","57200")</f>
        <v>57200</v>
      </c>
      <c r="G2597" s="4" t="str">
        <f>HYPERLINK("http://141.218.60.56/~jnz1568/getInfo.php?workbook=12_04.xlsx&amp;sheet=A0&amp;row=2597&amp;col=7&amp;number=0&amp;sourceID=14","0")</f>
        <v>0</v>
      </c>
    </row>
    <row r="2598" spans="1:7">
      <c r="A2598" s="3">
        <v>12</v>
      </c>
      <c r="B2598" s="3">
        <v>4</v>
      </c>
      <c r="C2598" s="3">
        <v>78</v>
      </c>
      <c r="D2598" s="3">
        <v>34</v>
      </c>
      <c r="E2598" s="3">
        <v>-218.718</v>
      </c>
      <c r="F2598" s="4" t="str">
        <f>HYPERLINK("http://141.218.60.56/~jnz1568/getInfo.php?workbook=12_04.xlsx&amp;sheet=A0&amp;row=2598&amp;col=6&amp;number=47300&amp;sourceID=14","47300")</f>
        <v>47300</v>
      </c>
      <c r="G2598" s="4" t="str">
        <f>HYPERLINK("http://141.218.60.56/~jnz1568/getInfo.php?workbook=12_04.xlsx&amp;sheet=A0&amp;row=2598&amp;col=7&amp;number=0&amp;sourceID=14","0")</f>
        <v>0</v>
      </c>
    </row>
    <row r="2599" spans="1:7">
      <c r="A2599" s="3">
        <v>12</v>
      </c>
      <c r="B2599" s="3">
        <v>4</v>
      </c>
      <c r="C2599" s="3">
        <v>79</v>
      </c>
      <c r="D2599" s="3">
        <v>34</v>
      </c>
      <c r="E2599" s="3">
        <v>-218.423</v>
      </c>
      <c r="F2599" s="4" t="str">
        <f>HYPERLINK("http://141.218.60.56/~jnz1568/getInfo.php?workbook=12_04.xlsx&amp;sheet=A0&amp;row=2599&amp;col=6&amp;number=155000&amp;sourceID=14","155000")</f>
        <v>155000</v>
      </c>
      <c r="G2599" s="4" t="str">
        <f>HYPERLINK("http://141.218.60.56/~jnz1568/getInfo.php?workbook=12_04.xlsx&amp;sheet=A0&amp;row=2599&amp;col=7&amp;number=0&amp;sourceID=14","0")</f>
        <v>0</v>
      </c>
    </row>
    <row r="2600" spans="1:7">
      <c r="A2600" s="3">
        <v>12</v>
      </c>
      <c r="B2600" s="3">
        <v>4</v>
      </c>
      <c r="C2600" s="3">
        <v>80</v>
      </c>
      <c r="D2600" s="3">
        <v>34</v>
      </c>
      <c r="E2600" s="3">
        <v>-217.832</v>
      </c>
      <c r="F2600" s="4" t="str">
        <f>HYPERLINK("http://141.218.60.56/~jnz1568/getInfo.php?workbook=12_04.xlsx&amp;sheet=A0&amp;row=2600&amp;col=6&amp;number=3190000000&amp;sourceID=14","3190000000")</f>
        <v>3190000000</v>
      </c>
      <c r="G2600" s="4" t="str">
        <f>HYPERLINK("http://141.218.60.56/~jnz1568/getInfo.php?workbook=12_04.xlsx&amp;sheet=A0&amp;row=2600&amp;col=7&amp;number=0&amp;sourceID=14","0")</f>
        <v>0</v>
      </c>
    </row>
    <row r="2601" spans="1:7">
      <c r="A2601" s="3">
        <v>12</v>
      </c>
      <c r="B2601" s="3">
        <v>4</v>
      </c>
      <c r="C2601" s="3">
        <v>81</v>
      </c>
      <c r="D2601" s="3">
        <v>34</v>
      </c>
      <c r="E2601" s="3">
        <v>-217.819</v>
      </c>
      <c r="F2601" s="4" t="str">
        <f>HYPERLINK("http://141.218.60.56/~jnz1568/getInfo.php?workbook=12_04.xlsx&amp;sheet=A0&amp;row=2601&amp;col=6&amp;number=21600&amp;sourceID=14","21600")</f>
        <v>21600</v>
      </c>
      <c r="G2601" s="4" t="str">
        <f>HYPERLINK("http://141.218.60.56/~jnz1568/getInfo.php?workbook=12_04.xlsx&amp;sheet=A0&amp;row=2601&amp;col=7&amp;number=0&amp;sourceID=14","0")</f>
        <v>0</v>
      </c>
    </row>
    <row r="2602" spans="1:7">
      <c r="A2602" s="3">
        <v>12</v>
      </c>
      <c r="B2602" s="3">
        <v>4</v>
      </c>
      <c r="C2602" s="3">
        <v>82</v>
      </c>
      <c r="D2602" s="3">
        <v>34</v>
      </c>
      <c r="E2602" s="3">
        <v>-217.661</v>
      </c>
      <c r="F2602" s="4" t="str">
        <f>HYPERLINK("http://141.218.60.56/~jnz1568/getInfo.php?workbook=12_04.xlsx&amp;sheet=A0&amp;row=2602&amp;col=6&amp;number=966000000&amp;sourceID=14","966000000")</f>
        <v>966000000</v>
      </c>
      <c r="G2602" s="4" t="str">
        <f>HYPERLINK("http://141.218.60.56/~jnz1568/getInfo.php?workbook=12_04.xlsx&amp;sheet=A0&amp;row=2602&amp;col=7&amp;number=0&amp;sourceID=14","0")</f>
        <v>0</v>
      </c>
    </row>
    <row r="2603" spans="1:7">
      <c r="A2603" s="3">
        <v>12</v>
      </c>
      <c r="B2603" s="3">
        <v>4</v>
      </c>
      <c r="C2603" s="3">
        <v>83</v>
      </c>
      <c r="D2603" s="3">
        <v>34</v>
      </c>
      <c r="E2603" s="3">
        <v>-217.658</v>
      </c>
      <c r="F2603" s="4" t="str">
        <f>HYPERLINK("http://141.218.60.56/~jnz1568/getInfo.php?workbook=12_04.xlsx&amp;sheet=A0&amp;row=2603&amp;col=6&amp;number=1850000000&amp;sourceID=14","1850000000")</f>
        <v>1850000000</v>
      </c>
      <c r="G2603" s="4" t="str">
        <f>HYPERLINK("http://141.218.60.56/~jnz1568/getInfo.php?workbook=12_04.xlsx&amp;sheet=A0&amp;row=2603&amp;col=7&amp;number=0&amp;sourceID=14","0")</f>
        <v>0</v>
      </c>
    </row>
    <row r="2604" spans="1:7">
      <c r="A2604" s="3">
        <v>12</v>
      </c>
      <c r="B2604" s="3">
        <v>4</v>
      </c>
      <c r="C2604" s="3">
        <v>84</v>
      </c>
      <c r="D2604" s="3">
        <v>34</v>
      </c>
      <c r="E2604" s="3">
        <v>-217.504</v>
      </c>
      <c r="F2604" s="4" t="str">
        <f>HYPERLINK("http://141.218.60.56/~jnz1568/getInfo.php?workbook=12_04.xlsx&amp;sheet=A0&amp;row=2604&amp;col=6&amp;number=28900000000&amp;sourceID=14","28900000000")</f>
        <v>28900000000</v>
      </c>
      <c r="G2604" s="4" t="str">
        <f>HYPERLINK("http://141.218.60.56/~jnz1568/getInfo.php?workbook=12_04.xlsx&amp;sheet=A0&amp;row=2604&amp;col=7&amp;number=0&amp;sourceID=14","0")</f>
        <v>0</v>
      </c>
    </row>
    <row r="2605" spans="1:7">
      <c r="A2605" s="3">
        <v>12</v>
      </c>
      <c r="B2605" s="3">
        <v>4</v>
      </c>
      <c r="C2605" s="3">
        <v>85</v>
      </c>
      <c r="D2605" s="3">
        <v>34</v>
      </c>
      <c r="E2605" s="3">
        <v>-216.807</v>
      </c>
      <c r="F2605" s="4" t="str">
        <f>HYPERLINK("http://141.218.60.56/~jnz1568/getInfo.php?workbook=12_04.xlsx&amp;sheet=A0&amp;row=2605&amp;col=6&amp;number=1820&amp;sourceID=14","1820")</f>
        <v>1820</v>
      </c>
      <c r="G2605" s="4" t="str">
        <f>HYPERLINK("http://141.218.60.56/~jnz1568/getInfo.php?workbook=12_04.xlsx&amp;sheet=A0&amp;row=2605&amp;col=7&amp;number=0&amp;sourceID=14","0")</f>
        <v>0</v>
      </c>
    </row>
    <row r="2606" spans="1:7">
      <c r="A2606" s="3">
        <v>12</v>
      </c>
      <c r="B2606" s="3">
        <v>4</v>
      </c>
      <c r="C2606" s="3">
        <v>86</v>
      </c>
      <c r="D2606" s="3">
        <v>34</v>
      </c>
      <c r="E2606" s="3">
        <v>-216.516</v>
      </c>
      <c r="F2606" s="4" t="str">
        <f>HYPERLINK("http://141.218.60.56/~jnz1568/getInfo.php?workbook=12_04.xlsx&amp;sheet=A0&amp;row=2606&amp;col=6&amp;number=51400&amp;sourceID=14","51400")</f>
        <v>51400</v>
      </c>
      <c r="G2606" s="4" t="str">
        <f>HYPERLINK("http://141.218.60.56/~jnz1568/getInfo.php?workbook=12_04.xlsx&amp;sheet=A0&amp;row=2606&amp;col=7&amp;number=0&amp;sourceID=14","0")</f>
        <v>0</v>
      </c>
    </row>
    <row r="2607" spans="1:7">
      <c r="A2607" s="3">
        <v>12</v>
      </c>
      <c r="B2607" s="3">
        <v>4</v>
      </c>
      <c r="C2607" s="3">
        <v>87</v>
      </c>
      <c r="D2607" s="3">
        <v>34</v>
      </c>
      <c r="E2607" s="3">
        <v>-216.361</v>
      </c>
      <c r="F2607" s="4" t="str">
        <f>HYPERLINK("http://141.218.60.56/~jnz1568/getInfo.php?workbook=12_04.xlsx&amp;sheet=A0&amp;row=2607&amp;col=6&amp;number=8.83e-06&amp;sourceID=14","8.83e-06")</f>
        <v>8.83e-06</v>
      </c>
      <c r="G2607" s="4" t="str">
        <f>HYPERLINK("http://141.218.60.56/~jnz1568/getInfo.php?workbook=12_04.xlsx&amp;sheet=A0&amp;row=2607&amp;col=7&amp;number=0&amp;sourceID=14","0")</f>
        <v>0</v>
      </c>
    </row>
    <row r="2608" spans="1:7">
      <c r="A2608" s="3">
        <v>12</v>
      </c>
      <c r="B2608" s="3">
        <v>4</v>
      </c>
      <c r="C2608" s="3">
        <v>88</v>
      </c>
      <c r="D2608" s="3">
        <v>34</v>
      </c>
      <c r="E2608" s="3">
        <v>-215.995</v>
      </c>
      <c r="F2608" s="4" t="str">
        <f>HYPERLINK("http://141.218.60.56/~jnz1568/getInfo.php?workbook=12_04.xlsx&amp;sheet=A0&amp;row=2608&amp;col=6&amp;number=11500000000&amp;sourceID=14","11500000000")</f>
        <v>11500000000</v>
      </c>
      <c r="G2608" s="4" t="str">
        <f>HYPERLINK("http://141.218.60.56/~jnz1568/getInfo.php?workbook=12_04.xlsx&amp;sheet=A0&amp;row=2608&amp;col=7&amp;number=0&amp;sourceID=14","0")</f>
        <v>0</v>
      </c>
    </row>
    <row r="2609" spans="1:7">
      <c r="A2609" s="3">
        <v>12</v>
      </c>
      <c r="B2609" s="3">
        <v>4</v>
      </c>
      <c r="C2609" s="3">
        <v>89</v>
      </c>
      <c r="D2609" s="3">
        <v>34</v>
      </c>
      <c r="E2609" s="3">
        <v>-215.779</v>
      </c>
      <c r="F2609" s="4" t="str">
        <f>HYPERLINK("http://141.218.60.56/~jnz1568/getInfo.php?workbook=12_04.xlsx&amp;sheet=A0&amp;row=2609&amp;col=6&amp;number=48400000000&amp;sourceID=14","48400000000")</f>
        <v>48400000000</v>
      </c>
      <c r="G2609" s="4" t="str">
        <f>HYPERLINK("http://141.218.60.56/~jnz1568/getInfo.php?workbook=12_04.xlsx&amp;sheet=A0&amp;row=2609&amp;col=7&amp;number=0&amp;sourceID=14","0")</f>
        <v>0</v>
      </c>
    </row>
    <row r="2610" spans="1:7">
      <c r="A2610" s="3">
        <v>12</v>
      </c>
      <c r="B2610" s="3">
        <v>4</v>
      </c>
      <c r="C2610" s="3">
        <v>90</v>
      </c>
      <c r="D2610" s="3">
        <v>34</v>
      </c>
      <c r="E2610" s="3">
        <v>-215.141</v>
      </c>
      <c r="F2610" s="4" t="str">
        <f>HYPERLINK("http://141.218.60.56/~jnz1568/getInfo.php?workbook=12_04.xlsx&amp;sheet=A0&amp;row=2610&amp;col=6&amp;number=23.2&amp;sourceID=14","23.2")</f>
        <v>23.2</v>
      </c>
      <c r="G2610" s="4" t="str">
        <f>HYPERLINK("http://141.218.60.56/~jnz1568/getInfo.php?workbook=12_04.xlsx&amp;sheet=A0&amp;row=2610&amp;col=7&amp;number=0&amp;sourceID=14","0")</f>
        <v>0</v>
      </c>
    </row>
    <row r="2611" spans="1:7">
      <c r="A2611" s="3">
        <v>12</v>
      </c>
      <c r="B2611" s="3">
        <v>4</v>
      </c>
      <c r="C2611" s="3">
        <v>91</v>
      </c>
      <c r="D2611" s="3">
        <v>34</v>
      </c>
      <c r="E2611" s="3">
        <v>-214.578</v>
      </c>
      <c r="F2611" s="4" t="str">
        <f>HYPERLINK("http://141.218.60.56/~jnz1568/getInfo.php?workbook=12_04.xlsx&amp;sheet=A0&amp;row=2611&amp;col=6&amp;number=119000000&amp;sourceID=14","119000000")</f>
        <v>119000000</v>
      </c>
      <c r="G2611" s="4" t="str">
        <f>HYPERLINK("http://141.218.60.56/~jnz1568/getInfo.php?workbook=12_04.xlsx&amp;sheet=A0&amp;row=2611&amp;col=7&amp;number=0&amp;sourceID=14","0")</f>
        <v>0</v>
      </c>
    </row>
    <row r="2612" spans="1:7">
      <c r="A2612" s="3">
        <v>12</v>
      </c>
      <c r="B2612" s="3">
        <v>4</v>
      </c>
      <c r="C2612" s="3">
        <v>92</v>
      </c>
      <c r="D2612" s="3">
        <v>34</v>
      </c>
      <c r="E2612" s="3">
        <v>-214.446</v>
      </c>
      <c r="F2612" s="4" t="str">
        <f>HYPERLINK("http://141.218.60.56/~jnz1568/getInfo.php?workbook=12_04.xlsx&amp;sheet=A0&amp;row=2612&amp;col=6&amp;number=11700000000&amp;sourceID=14","11700000000")</f>
        <v>11700000000</v>
      </c>
      <c r="G2612" s="4" t="str">
        <f>HYPERLINK("http://141.218.60.56/~jnz1568/getInfo.php?workbook=12_04.xlsx&amp;sheet=A0&amp;row=2612&amp;col=7&amp;number=0&amp;sourceID=14","0")</f>
        <v>0</v>
      </c>
    </row>
    <row r="2613" spans="1:7">
      <c r="A2613" s="3">
        <v>12</v>
      </c>
      <c r="B2613" s="3">
        <v>4</v>
      </c>
      <c r="C2613" s="3">
        <v>93</v>
      </c>
      <c r="D2613" s="3">
        <v>34</v>
      </c>
      <c r="E2613" s="3">
        <v>-214.326</v>
      </c>
      <c r="F2613" s="4" t="str">
        <f>HYPERLINK("http://141.218.60.56/~jnz1568/getInfo.php?workbook=12_04.xlsx&amp;sheet=A0&amp;row=2613&amp;col=6&amp;number=562000000&amp;sourceID=14","562000000")</f>
        <v>562000000</v>
      </c>
      <c r="G2613" s="4" t="str">
        <f>HYPERLINK("http://141.218.60.56/~jnz1568/getInfo.php?workbook=12_04.xlsx&amp;sheet=A0&amp;row=2613&amp;col=7&amp;number=0&amp;sourceID=14","0")</f>
        <v>0</v>
      </c>
    </row>
    <row r="2614" spans="1:7">
      <c r="A2614" s="3">
        <v>12</v>
      </c>
      <c r="B2614" s="3">
        <v>4</v>
      </c>
      <c r="C2614" s="3">
        <v>94</v>
      </c>
      <c r="D2614" s="3">
        <v>34</v>
      </c>
      <c r="E2614" s="3">
        <v>-213.882</v>
      </c>
      <c r="F2614" s="4" t="str">
        <f>HYPERLINK("http://141.218.60.56/~jnz1568/getInfo.php?workbook=12_04.xlsx&amp;sheet=A0&amp;row=2614&amp;col=6&amp;number=3&amp;sourceID=14","3")</f>
        <v>3</v>
      </c>
      <c r="G2614" s="4" t="str">
        <f>HYPERLINK("http://141.218.60.56/~jnz1568/getInfo.php?workbook=12_04.xlsx&amp;sheet=A0&amp;row=2614&amp;col=7&amp;number=0&amp;sourceID=14","0")</f>
        <v>0</v>
      </c>
    </row>
    <row r="2615" spans="1:7">
      <c r="A2615" s="3">
        <v>12</v>
      </c>
      <c r="B2615" s="3">
        <v>4</v>
      </c>
      <c r="C2615" s="3">
        <v>95</v>
      </c>
      <c r="D2615" s="3">
        <v>34</v>
      </c>
      <c r="E2615" s="3">
        <v>-213.593</v>
      </c>
      <c r="F2615" s="4" t="str">
        <f>HYPERLINK("http://141.218.60.56/~jnz1568/getInfo.php?workbook=12_04.xlsx&amp;sheet=A0&amp;row=2615&amp;col=6&amp;number=0.0237&amp;sourceID=14","0.0237")</f>
        <v>0.0237</v>
      </c>
      <c r="G2615" s="4" t="str">
        <f>HYPERLINK("http://141.218.60.56/~jnz1568/getInfo.php?workbook=12_04.xlsx&amp;sheet=A0&amp;row=2615&amp;col=7&amp;number=0&amp;sourceID=14","0")</f>
        <v>0</v>
      </c>
    </row>
    <row r="2616" spans="1:7">
      <c r="A2616" s="3">
        <v>12</v>
      </c>
      <c r="B2616" s="3">
        <v>4</v>
      </c>
      <c r="C2616" s="3">
        <v>96</v>
      </c>
      <c r="D2616" s="3">
        <v>34</v>
      </c>
      <c r="E2616" s="3">
        <v>-213.325</v>
      </c>
      <c r="F2616" s="4" t="str">
        <f>HYPERLINK("http://141.218.60.56/~jnz1568/getInfo.php?workbook=12_04.xlsx&amp;sheet=A0&amp;row=2616&amp;col=6&amp;number=16800000&amp;sourceID=14","16800000")</f>
        <v>16800000</v>
      </c>
      <c r="G2616" s="4" t="str">
        <f>HYPERLINK("http://141.218.60.56/~jnz1568/getInfo.php?workbook=12_04.xlsx&amp;sheet=A0&amp;row=2616&amp;col=7&amp;number=0&amp;sourceID=14","0")</f>
        <v>0</v>
      </c>
    </row>
    <row r="2617" spans="1:7">
      <c r="A2617" s="3">
        <v>12</v>
      </c>
      <c r="B2617" s="3">
        <v>4</v>
      </c>
      <c r="C2617" s="3">
        <v>97</v>
      </c>
      <c r="D2617" s="3">
        <v>34</v>
      </c>
      <c r="E2617" s="3">
        <v>-212.195</v>
      </c>
      <c r="F2617" s="4" t="str">
        <f>HYPERLINK("http://141.218.60.56/~jnz1568/getInfo.php?workbook=12_04.xlsx&amp;sheet=A0&amp;row=2617&amp;col=6&amp;number=1140&amp;sourceID=14","1140")</f>
        <v>1140</v>
      </c>
      <c r="G2617" s="4" t="str">
        <f>HYPERLINK("http://141.218.60.56/~jnz1568/getInfo.php?workbook=12_04.xlsx&amp;sheet=A0&amp;row=2617&amp;col=7&amp;number=0&amp;sourceID=14","0")</f>
        <v>0</v>
      </c>
    </row>
    <row r="2618" spans="1:7">
      <c r="A2618" s="3">
        <v>12</v>
      </c>
      <c r="B2618" s="3">
        <v>4</v>
      </c>
      <c r="C2618" s="3">
        <v>98</v>
      </c>
      <c r="D2618" s="3">
        <v>34</v>
      </c>
      <c r="E2618" s="3">
        <v>-211.658</v>
      </c>
      <c r="F2618" s="4" t="str">
        <f>HYPERLINK("http://141.218.60.56/~jnz1568/getInfo.php?workbook=12_04.xlsx&amp;sheet=A0&amp;row=2618&amp;col=6&amp;number=120&amp;sourceID=14","120")</f>
        <v>120</v>
      </c>
      <c r="G2618" s="4" t="str">
        <f>HYPERLINK("http://141.218.60.56/~jnz1568/getInfo.php?workbook=12_04.xlsx&amp;sheet=A0&amp;row=2618&amp;col=7&amp;number=0&amp;sourceID=14","0")</f>
        <v>0</v>
      </c>
    </row>
    <row r="2619" spans="1:7">
      <c r="A2619" s="3">
        <v>12</v>
      </c>
      <c r="B2619" s="3">
        <v>4</v>
      </c>
      <c r="C2619" s="3">
        <v>36</v>
      </c>
      <c r="D2619" s="3">
        <v>35</v>
      </c>
      <c r="E2619" s="3">
        <v>-111857.031</v>
      </c>
      <c r="F2619" s="4" t="str">
        <f>HYPERLINK("http://141.218.60.56/~jnz1568/getInfo.php?workbook=12_04.xlsx&amp;sheet=A0&amp;row=2619&amp;col=6&amp;number=4.13e-12&amp;sourceID=14","4.13e-12")</f>
        <v>4.13e-12</v>
      </c>
      <c r="G2619" s="4" t="str">
        <f>HYPERLINK("http://141.218.60.56/~jnz1568/getInfo.php?workbook=12_04.xlsx&amp;sheet=A0&amp;row=2619&amp;col=7&amp;number=0&amp;sourceID=14","0")</f>
        <v>0</v>
      </c>
    </row>
    <row r="2620" spans="1:7">
      <c r="A2620" s="3">
        <v>12</v>
      </c>
      <c r="B2620" s="3">
        <v>4</v>
      </c>
      <c r="C2620" s="3">
        <v>37</v>
      </c>
      <c r="D2620" s="3">
        <v>35</v>
      </c>
      <c r="E2620" s="3">
        <v>16051.394</v>
      </c>
      <c r="F2620" s="4" t="str">
        <f>HYPERLINK("http://141.218.60.56/~jnz1568/getInfo.php?workbook=12_04.xlsx&amp;sheet=A0&amp;row=2620&amp;col=6&amp;number=38300&amp;sourceID=14","38300")</f>
        <v>38300</v>
      </c>
      <c r="G2620" s="4" t="str">
        <f>HYPERLINK("http://141.218.60.56/~jnz1568/getInfo.php?workbook=12_04.xlsx&amp;sheet=A0&amp;row=2620&amp;col=7&amp;number=0&amp;sourceID=14","0")</f>
        <v>0</v>
      </c>
    </row>
    <row r="2621" spans="1:7">
      <c r="A2621" s="3">
        <v>12</v>
      </c>
      <c r="B2621" s="3">
        <v>4</v>
      </c>
      <c r="C2621" s="3">
        <v>38</v>
      </c>
      <c r="D2621" s="3">
        <v>35</v>
      </c>
      <c r="E2621" s="3">
        <v>5656.119</v>
      </c>
      <c r="F2621" s="4" t="str">
        <f>HYPERLINK("http://141.218.60.56/~jnz1568/getInfo.php?workbook=12_04.xlsx&amp;sheet=A0&amp;row=2621&amp;col=6&amp;number=0.614&amp;sourceID=14","0.614")</f>
        <v>0.614</v>
      </c>
      <c r="G2621" s="4" t="str">
        <f>HYPERLINK("http://141.218.60.56/~jnz1568/getInfo.php?workbook=12_04.xlsx&amp;sheet=A0&amp;row=2621&amp;col=7&amp;number=0&amp;sourceID=14","0")</f>
        <v>0</v>
      </c>
    </row>
    <row r="2622" spans="1:7">
      <c r="A2622" s="3">
        <v>12</v>
      </c>
      <c r="B2622" s="3">
        <v>4</v>
      </c>
      <c r="C2622" s="3">
        <v>39</v>
      </c>
      <c r="D2622" s="3">
        <v>35</v>
      </c>
      <c r="E2622" s="3">
        <v>5488.484</v>
      </c>
      <c r="F2622" s="4" t="str">
        <f>HYPERLINK("http://141.218.60.56/~jnz1568/getInfo.php?workbook=12_04.xlsx&amp;sheet=A0&amp;row=2622&amp;col=6&amp;number=0.387&amp;sourceID=14","0.387")</f>
        <v>0.387</v>
      </c>
      <c r="G2622" s="4" t="str">
        <f>HYPERLINK("http://141.218.60.56/~jnz1568/getInfo.php?workbook=12_04.xlsx&amp;sheet=A0&amp;row=2622&amp;col=7&amp;number=0&amp;sourceID=14","0")</f>
        <v>0</v>
      </c>
    </row>
    <row r="2623" spans="1:7">
      <c r="A2623" s="3">
        <v>12</v>
      </c>
      <c r="B2623" s="3">
        <v>4</v>
      </c>
      <c r="C2623" s="3">
        <v>40</v>
      </c>
      <c r="D2623" s="3">
        <v>35</v>
      </c>
      <c r="E2623" s="3">
        <v>5202.923</v>
      </c>
      <c r="F2623" s="4" t="str">
        <f>HYPERLINK("http://141.218.60.56/~jnz1568/getInfo.php?workbook=12_04.xlsx&amp;sheet=A0&amp;row=2623&amp;col=6&amp;number=0.0278&amp;sourceID=14","0.0278")</f>
        <v>0.0278</v>
      </c>
      <c r="G2623" s="4" t="str">
        <f>HYPERLINK("http://141.218.60.56/~jnz1568/getInfo.php?workbook=12_04.xlsx&amp;sheet=A0&amp;row=2623&amp;col=7&amp;number=0&amp;sourceID=14","0")</f>
        <v>0</v>
      </c>
    </row>
    <row r="2624" spans="1:7">
      <c r="A2624" s="3">
        <v>12</v>
      </c>
      <c r="B2624" s="3">
        <v>4</v>
      </c>
      <c r="C2624" s="3">
        <v>41</v>
      </c>
      <c r="D2624" s="3">
        <v>35</v>
      </c>
      <c r="E2624" s="3">
        <v>3909.311</v>
      </c>
      <c r="F2624" s="4" t="str">
        <f>HYPERLINK("http://141.218.60.56/~jnz1568/getInfo.php?workbook=12_04.xlsx&amp;sheet=A0&amp;row=2624&amp;col=6&amp;number=1.16&amp;sourceID=14","1.16")</f>
        <v>1.16</v>
      </c>
      <c r="G2624" s="4" t="str">
        <f>HYPERLINK("http://141.218.60.56/~jnz1568/getInfo.php?workbook=12_04.xlsx&amp;sheet=A0&amp;row=2624&amp;col=7&amp;number=0&amp;sourceID=14","0")</f>
        <v>0</v>
      </c>
    </row>
    <row r="2625" spans="1:7">
      <c r="A2625" s="3">
        <v>12</v>
      </c>
      <c r="B2625" s="3">
        <v>4</v>
      </c>
      <c r="C2625" s="3">
        <v>42</v>
      </c>
      <c r="D2625" s="3">
        <v>35</v>
      </c>
      <c r="E2625" s="3">
        <v>3763.65</v>
      </c>
      <c r="F2625" s="4" t="str">
        <f>HYPERLINK("http://141.218.60.56/~jnz1568/getInfo.php?workbook=12_04.xlsx&amp;sheet=A0&amp;row=2625&amp;col=6&amp;number=0.622&amp;sourceID=14","0.622")</f>
        <v>0.622</v>
      </c>
      <c r="G2625" s="4" t="str">
        <f>HYPERLINK("http://141.218.60.56/~jnz1568/getInfo.php?workbook=12_04.xlsx&amp;sheet=A0&amp;row=2625&amp;col=7&amp;number=0&amp;sourceID=14","0")</f>
        <v>0</v>
      </c>
    </row>
    <row r="2626" spans="1:7">
      <c r="A2626" s="3">
        <v>12</v>
      </c>
      <c r="B2626" s="3">
        <v>4</v>
      </c>
      <c r="C2626" s="3">
        <v>43</v>
      </c>
      <c r="D2626" s="3">
        <v>35</v>
      </c>
      <c r="E2626" s="3">
        <v>3691.406</v>
      </c>
      <c r="F2626" s="4" t="str">
        <f>HYPERLINK("http://141.218.60.56/~jnz1568/getInfo.php?workbook=12_04.xlsx&amp;sheet=A0&amp;row=2626&amp;col=6&amp;number=0.08&amp;sourceID=14","0.08")</f>
        <v>0.08</v>
      </c>
      <c r="G2626" s="4" t="str">
        <f>HYPERLINK("http://141.218.60.56/~jnz1568/getInfo.php?workbook=12_04.xlsx&amp;sheet=A0&amp;row=2626&amp;col=7&amp;number=0&amp;sourceID=14","0")</f>
        <v>0</v>
      </c>
    </row>
    <row r="2627" spans="1:7">
      <c r="A2627" s="3">
        <v>12</v>
      </c>
      <c r="B2627" s="3">
        <v>4</v>
      </c>
      <c r="C2627" s="3">
        <v>44</v>
      </c>
      <c r="D2627" s="3">
        <v>35</v>
      </c>
      <c r="E2627" s="3">
        <v>-2347.918</v>
      </c>
      <c r="F2627" s="4" t="str">
        <f>HYPERLINK("http://141.218.60.56/~jnz1568/getInfo.php?workbook=12_04.xlsx&amp;sheet=A0&amp;row=2627&amp;col=6&amp;number=0.000431&amp;sourceID=14","0.000431")</f>
        <v>0.000431</v>
      </c>
      <c r="G2627" s="4" t="str">
        <f>HYPERLINK("http://141.218.60.56/~jnz1568/getInfo.php?workbook=12_04.xlsx&amp;sheet=A0&amp;row=2627&amp;col=7&amp;number=0&amp;sourceID=14","0")</f>
        <v>0</v>
      </c>
    </row>
    <row r="2628" spans="1:7">
      <c r="A2628" s="3">
        <v>12</v>
      </c>
      <c r="B2628" s="3">
        <v>4</v>
      </c>
      <c r="C2628" s="3">
        <v>45</v>
      </c>
      <c r="D2628" s="3">
        <v>35</v>
      </c>
      <c r="E2628" s="3">
        <v>2219.76</v>
      </c>
      <c r="F2628" s="4" t="str">
        <f>HYPERLINK("http://141.218.60.56/~jnz1568/getInfo.php?workbook=12_04.xlsx&amp;sheet=A0&amp;row=2628&amp;col=6&amp;number=2.07&amp;sourceID=14","2.07")</f>
        <v>2.07</v>
      </c>
      <c r="G2628" s="4" t="str">
        <f>HYPERLINK("http://141.218.60.56/~jnz1568/getInfo.php?workbook=12_04.xlsx&amp;sheet=A0&amp;row=2628&amp;col=7&amp;number=0&amp;sourceID=14","0")</f>
        <v>0</v>
      </c>
    </row>
    <row r="2629" spans="1:7">
      <c r="A2629" s="3">
        <v>12</v>
      </c>
      <c r="B2629" s="3">
        <v>4</v>
      </c>
      <c r="C2629" s="3">
        <v>46</v>
      </c>
      <c r="D2629" s="3">
        <v>35</v>
      </c>
      <c r="E2629" s="3">
        <v>1926.044</v>
      </c>
      <c r="F2629" s="4" t="str">
        <f>HYPERLINK("http://141.218.60.56/~jnz1568/getInfo.php?workbook=12_04.xlsx&amp;sheet=A0&amp;row=2629&amp;col=6&amp;number=16.3&amp;sourceID=14","16.3")</f>
        <v>16.3</v>
      </c>
      <c r="G2629" s="4" t="str">
        <f>HYPERLINK("http://141.218.60.56/~jnz1568/getInfo.php?workbook=12_04.xlsx&amp;sheet=A0&amp;row=2629&amp;col=7&amp;number=0&amp;sourceID=14","0")</f>
        <v>0</v>
      </c>
    </row>
    <row r="2630" spans="1:7">
      <c r="A2630" s="3">
        <v>12</v>
      </c>
      <c r="B2630" s="3">
        <v>4</v>
      </c>
      <c r="C2630" s="3">
        <v>47</v>
      </c>
      <c r="D2630" s="3">
        <v>35</v>
      </c>
      <c r="E2630" s="3">
        <v>-398.415</v>
      </c>
      <c r="F2630" s="4" t="str">
        <f>HYPERLINK("http://141.218.60.56/~jnz1568/getInfo.php?workbook=12_04.xlsx&amp;sheet=A0&amp;row=2630&amp;col=6&amp;number=149000&amp;sourceID=14","149000")</f>
        <v>149000</v>
      </c>
      <c r="G2630" s="4" t="str">
        <f>HYPERLINK("http://141.218.60.56/~jnz1568/getInfo.php?workbook=12_04.xlsx&amp;sheet=A0&amp;row=2630&amp;col=7&amp;number=0&amp;sourceID=14","0")</f>
        <v>0</v>
      </c>
    </row>
    <row r="2631" spans="1:7">
      <c r="A2631" s="3">
        <v>12</v>
      </c>
      <c r="B2631" s="3">
        <v>4</v>
      </c>
      <c r="C2631" s="3">
        <v>48</v>
      </c>
      <c r="D2631" s="3">
        <v>35</v>
      </c>
      <c r="E2631" s="3">
        <v>-383.047</v>
      </c>
      <c r="F2631" s="4" t="str">
        <f>HYPERLINK("http://141.218.60.56/~jnz1568/getInfo.php?workbook=12_04.xlsx&amp;sheet=A0&amp;row=2631&amp;col=6&amp;number=0.0442&amp;sourceID=14","0.0442")</f>
        <v>0.0442</v>
      </c>
      <c r="G2631" s="4" t="str">
        <f>HYPERLINK("http://141.218.60.56/~jnz1568/getInfo.php?workbook=12_04.xlsx&amp;sheet=A0&amp;row=2631&amp;col=7&amp;number=0&amp;sourceID=14","0")</f>
        <v>0</v>
      </c>
    </row>
    <row r="2632" spans="1:7">
      <c r="A2632" s="3">
        <v>12</v>
      </c>
      <c r="B2632" s="3">
        <v>4</v>
      </c>
      <c r="C2632" s="3">
        <v>49</v>
      </c>
      <c r="D2632" s="3">
        <v>35</v>
      </c>
      <c r="E2632" s="3">
        <v>-362.856</v>
      </c>
      <c r="F2632" s="4" t="str">
        <f>HYPERLINK("http://141.218.60.56/~jnz1568/getInfo.php?workbook=12_04.xlsx&amp;sheet=A0&amp;row=2632&amp;col=6&amp;number=1550&amp;sourceID=14","1550")</f>
        <v>1550</v>
      </c>
      <c r="G2632" s="4" t="str">
        <f>HYPERLINK("http://141.218.60.56/~jnz1568/getInfo.php?workbook=12_04.xlsx&amp;sheet=A0&amp;row=2632&amp;col=7&amp;number=0&amp;sourceID=14","0")</f>
        <v>0</v>
      </c>
    </row>
    <row r="2633" spans="1:7">
      <c r="A2633" s="3">
        <v>12</v>
      </c>
      <c r="B2633" s="3">
        <v>4</v>
      </c>
      <c r="C2633" s="3">
        <v>50</v>
      </c>
      <c r="D2633" s="3">
        <v>35</v>
      </c>
      <c r="E2633" s="3">
        <v>-362.703</v>
      </c>
      <c r="F2633" s="4" t="str">
        <f>HYPERLINK("http://141.218.60.56/~jnz1568/getInfo.php?workbook=12_04.xlsx&amp;sheet=A0&amp;row=2633&amp;col=6&amp;number=819&amp;sourceID=14","819")</f>
        <v>819</v>
      </c>
      <c r="G2633" s="4" t="str">
        <f>HYPERLINK("http://141.218.60.56/~jnz1568/getInfo.php?workbook=12_04.xlsx&amp;sheet=A0&amp;row=2633&amp;col=7&amp;number=0&amp;sourceID=14","0")</f>
        <v>0</v>
      </c>
    </row>
    <row r="2634" spans="1:7">
      <c r="A2634" s="3">
        <v>12</v>
      </c>
      <c r="B2634" s="3">
        <v>4</v>
      </c>
      <c r="C2634" s="3">
        <v>51</v>
      </c>
      <c r="D2634" s="3">
        <v>35</v>
      </c>
      <c r="E2634" s="3">
        <v>-362.359</v>
      </c>
      <c r="F2634" s="4" t="str">
        <f>HYPERLINK("http://141.218.60.56/~jnz1568/getInfo.php?workbook=12_04.xlsx&amp;sheet=A0&amp;row=2634&amp;col=6&amp;number=33.5&amp;sourceID=14","33.5")</f>
        <v>33.5</v>
      </c>
      <c r="G2634" s="4" t="str">
        <f>HYPERLINK("http://141.218.60.56/~jnz1568/getInfo.php?workbook=12_04.xlsx&amp;sheet=A0&amp;row=2634&amp;col=7&amp;number=0&amp;sourceID=14","0")</f>
        <v>0</v>
      </c>
    </row>
    <row r="2635" spans="1:7">
      <c r="A2635" s="3">
        <v>12</v>
      </c>
      <c r="B2635" s="3">
        <v>4</v>
      </c>
      <c r="C2635" s="3">
        <v>52</v>
      </c>
      <c r="D2635" s="3">
        <v>35</v>
      </c>
      <c r="E2635" s="3">
        <v>358.372</v>
      </c>
      <c r="F2635" s="4" t="str">
        <f>HYPERLINK("http://141.218.60.56/~jnz1568/getInfo.php?workbook=12_04.xlsx&amp;sheet=A0&amp;row=2635&amp;col=6&amp;number=172&amp;sourceID=14","172")</f>
        <v>172</v>
      </c>
      <c r="G2635" s="4" t="str">
        <f>HYPERLINK("http://141.218.60.56/~jnz1568/getInfo.php?workbook=12_04.xlsx&amp;sheet=A0&amp;row=2635&amp;col=7&amp;number=0&amp;sourceID=14","0")</f>
        <v>0</v>
      </c>
    </row>
    <row r="2636" spans="1:7">
      <c r="A2636" s="3">
        <v>12</v>
      </c>
      <c r="B2636" s="3">
        <v>4</v>
      </c>
      <c r="C2636" s="3">
        <v>53</v>
      </c>
      <c r="D2636" s="3">
        <v>35</v>
      </c>
      <c r="E2636" s="3">
        <v>344.436</v>
      </c>
      <c r="F2636" s="4" t="str">
        <f>HYPERLINK("http://141.218.60.56/~jnz1568/getInfo.php?workbook=12_04.xlsx&amp;sheet=A0&amp;row=2636&amp;col=6&amp;number=64100000&amp;sourceID=14","64100000")</f>
        <v>64100000</v>
      </c>
      <c r="G2636" s="4" t="str">
        <f>HYPERLINK("http://141.218.60.56/~jnz1568/getInfo.php?workbook=12_04.xlsx&amp;sheet=A0&amp;row=2636&amp;col=7&amp;number=0&amp;sourceID=14","0")</f>
        <v>0</v>
      </c>
    </row>
    <row r="2637" spans="1:7">
      <c r="A2637" s="3">
        <v>12</v>
      </c>
      <c r="B2637" s="3">
        <v>4</v>
      </c>
      <c r="C2637" s="3">
        <v>54</v>
      </c>
      <c r="D2637" s="3">
        <v>35</v>
      </c>
      <c r="E2637" s="3">
        <v>344.436</v>
      </c>
      <c r="F2637" s="4" t="str">
        <f>HYPERLINK("http://141.218.60.56/~jnz1568/getInfo.php?workbook=12_04.xlsx&amp;sheet=A0&amp;row=2637&amp;col=6&amp;number=9810000&amp;sourceID=14","9810000")</f>
        <v>9810000</v>
      </c>
      <c r="G2637" s="4" t="str">
        <f>HYPERLINK("http://141.218.60.56/~jnz1568/getInfo.php?workbook=12_04.xlsx&amp;sheet=A0&amp;row=2637&amp;col=7&amp;number=0&amp;sourceID=14","0")</f>
        <v>0</v>
      </c>
    </row>
    <row r="2638" spans="1:7">
      <c r="A2638" s="3">
        <v>12</v>
      </c>
      <c r="B2638" s="3">
        <v>4</v>
      </c>
      <c r="C2638" s="3">
        <v>55</v>
      </c>
      <c r="D2638" s="3">
        <v>35</v>
      </c>
      <c r="E2638" s="3">
        <v>344.341</v>
      </c>
      <c r="F2638" s="4" t="str">
        <f>HYPERLINK("http://141.218.60.56/~jnz1568/getInfo.php?workbook=12_04.xlsx&amp;sheet=A0&amp;row=2638&amp;col=6&amp;number=242000&amp;sourceID=14","242000")</f>
        <v>242000</v>
      </c>
      <c r="G2638" s="4" t="str">
        <f>HYPERLINK("http://141.218.60.56/~jnz1568/getInfo.php?workbook=12_04.xlsx&amp;sheet=A0&amp;row=2638&amp;col=7&amp;number=0&amp;sourceID=14","0")</f>
        <v>0</v>
      </c>
    </row>
    <row r="2639" spans="1:7">
      <c r="A2639" s="3">
        <v>12</v>
      </c>
      <c r="B2639" s="3">
        <v>4</v>
      </c>
      <c r="C2639" s="3">
        <v>56</v>
      </c>
      <c r="D2639" s="3">
        <v>35</v>
      </c>
      <c r="E2639" s="3">
        <v>335.29</v>
      </c>
      <c r="F2639" s="4" t="str">
        <f>HYPERLINK("http://141.218.60.56/~jnz1568/getInfo.php?workbook=12_04.xlsx&amp;sheet=A0&amp;row=2639&amp;col=6&amp;number=3300000&amp;sourceID=14","3300000")</f>
        <v>3300000</v>
      </c>
      <c r="G2639" s="4" t="str">
        <f>HYPERLINK("http://141.218.60.56/~jnz1568/getInfo.php?workbook=12_04.xlsx&amp;sheet=A0&amp;row=2639&amp;col=7&amp;number=0&amp;sourceID=14","0")</f>
        <v>0</v>
      </c>
    </row>
    <row r="2640" spans="1:7">
      <c r="A2640" s="3">
        <v>12</v>
      </c>
      <c r="B2640" s="3">
        <v>4</v>
      </c>
      <c r="C2640" s="3">
        <v>57</v>
      </c>
      <c r="D2640" s="3">
        <v>35</v>
      </c>
      <c r="E2640" s="3">
        <v>-334.864</v>
      </c>
      <c r="F2640" s="4" t="str">
        <f>HYPERLINK("http://141.218.60.56/~jnz1568/getInfo.php?workbook=12_04.xlsx&amp;sheet=A0&amp;row=2640&amp;col=6&amp;number=272&amp;sourceID=14","272")</f>
        <v>272</v>
      </c>
      <c r="G2640" s="4" t="str">
        <f>HYPERLINK("http://141.218.60.56/~jnz1568/getInfo.php?workbook=12_04.xlsx&amp;sheet=A0&amp;row=2640&amp;col=7&amp;number=0&amp;sourceID=14","0")</f>
        <v>0</v>
      </c>
    </row>
    <row r="2641" spans="1:7">
      <c r="A2641" s="3">
        <v>12</v>
      </c>
      <c r="B2641" s="3">
        <v>4</v>
      </c>
      <c r="C2641" s="3">
        <v>58</v>
      </c>
      <c r="D2641" s="3">
        <v>35</v>
      </c>
      <c r="E2641" s="3">
        <v>-334.832</v>
      </c>
      <c r="F2641" s="4" t="str">
        <f>HYPERLINK("http://141.218.60.56/~jnz1568/getInfo.php?workbook=12_04.xlsx&amp;sheet=A0&amp;row=2641&amp;col=6&amp;number=178&amp;sourceID=14","178")</f>
        <v>178</v>
      </c>
      <c r="G2641" s="4" t="str">
        <f>HYPERLINK("http://141.218.60.56/~jnz1568/getInfo.php?workbook=12_04.xlsx&amp;sheet=A0&amp;row=2641&amp;col=7&amp;number=0&amp;sourceID=14","0")</f>
        <v>0</v>
      </c>
    </row>
    <row r="2642" spans="1:7">
      <c r="A2642" s="3">
        <v>12</v>
      </c>
      <c r="B2642" s="3">
        <v>4</v>
      </c>
      <c r="C2642" s="3">
        <v>59</v>
      </c>
      <c r="D2642" s="3">
        <v>35</v>
      </c>
      <c r="E2642" s="3">
        <v>-334.789</v>
      </c>
      <c r="F2642" s="4" t="str">
        <f>HYPERLINK("http://141.218.60.56/~jnz1568/getInfo.php?workbook=12_04.xlsx&amp;sheet=A0&amp;row=2642&amp;col=6&amp;number=13.4&amp;sourceID=14","13.4")</f>
        <v>13.4</v>
      </c>
      <c r="G2642" s="4" t="str">
        <f>HYPERLINK("http://141.218.60.56/~jnz1568/getInfo.php?workbook=12_04.xlsx&amp;sheet=A0&amp;row=2642&amp;col=7&amp;number=0&amp;sourceID=14","0")</f>
        <v>0</v>
      </c>
    </row>
    <row r="2643" spans="1:7">
      <c r="A2643" s="3">
        <v>12</v>
      </c>
      <c r="B2643" s="3">
        <v>4</v>
      </c>
      <c r="C2643" s="3">
        <v>60</v>
      </c>
      <c r="D2643" s="3">
        <v>35</v>
      </c>
      <c r="E2643" s="3">
        <v>-331.982</v>
      </c>
      <c r="F2643" s="4" t="str">
        <f>HYPERLINK("http://141.218.60.56/~jnz1568/getInfo.php?workbook=12_04.xlsx&amp;sheet=A0&amp;row=2643&amp;col=6&amp;number=207&amp;sourceID=14","207")</f>
        <v>207</v>
      </c>
      <c r="G2643" s="4" t="str">
        <f>HYPERLINK("http://141.218.60.56/~jnz1568/getInfo.php?workbook=12_04.xlsx&amp;sheet=A0&amp;row=2643&amp;col=7&amp;number=0&amp;sourceID=14","0")</f>
        <v>0</v>
      </c>
    </row>
    <row r="2644" spans="1:7">
      <c r="A2644" s="3">
        <v>12</v>
      </c>
      <c r="B2644" s="3">
        <v>4</v>
      </c>
      <c r="C2644" s="3">
        <v>61</v>
      </c>
      <c r="D2644" s="3">
        <v>35</v>
      </c>
      <c r="E2644" s="3">
        <v>-239.848</v>
      </c>
      <c r="F2644" s="4" t="str">
        <f>HYPERLINK("http://141.218.60.56/~jnz1568/getInfo.php?workbook=12_04.xlsx&amp;sheet=A0&amp;row=2644&amp;col=6&amp;number=65200&amp;sourceID=14","65200")</f>
        <v>65200</v>
      </c>
      <c r="G2644" s="4" t="str">
        <f>HYPERLINK("http://141.218.60.56/~jnz1568/getInfo.php?workbook=12_04.xlsx&amp;sheet=A0&amp;row=2644&amp;col=7&amp;number=0&amp;sourceID=14","0")</f>
        <v>0</v>
      </c>
    </row>
    <row r="2645" spans="1:7">
      <c r="A2645" s="3">
        <v>12</v>
      </c>
      <c r="B2645" s="3">
        <v>4</v>
      </c>
      <c r="C2645" s="3">
        <v>62</v>
      </c>
      <c r="D2645" s="3">
        <v>35</v>
      </c>
      <c r="E2645" s="3">
        <v>-239.321</v>
      </c>
      <c r="F2645" s="4" t="str">
        <f>HYPERLINK("http://141.218.60.56/~jnz1568/getInfo.php?workbook=12_04.xlsx&amp;sheet=A0&amp;row=2645&amp;col=6&amp;number=787&amp;sourceID=14","787")</f>
        <v>787</v>
      </c>
      <c r="G2645" s="4" t="str">
        <f>HYPERLINK("http://141.218.60.56/~jnz1568/getInfo.php?workbook=12_04.xlsx&amp;sheet=A0&amp;row=2645&amp;col=7&amp;number=0&amp;sourceID=14","0")</f>
        <v>0</v>
      </c>
    </row>
    <row r="2646" spans="1:7">
      <c r="A2646" s="3">
        <v>12</v>
      </c>
      <c r="B2646" s="3">
        <v>4</v>
      </c>
      <c r="C2646" s="3">
        <v>63</v>
      </c>
      <c r="D2646" s="3">
        <v>35</v>
      </c>
      <c r="E2646" s="3">
        <v>-237.627</v>
      </c>
      <c r="F2646" s="4" t="str">
        <f>HYPERLINK("http://141.218.60.56/~jnz1568/getInfo.php?workbook=12_04.xlsx&amp;sheet=A0&amp;row=2646&amp;col=6&amp;number=699&amp;sourceID=14","699")</f>
        <v>699</v>
      </c>
      <c r="G2646" s="4" t="str">
        <f>HYPERLINK("http://141.218.60.56/~jnz1568/getInfo.php?workbook=12_04.xlsx&amp;sheet=A0&amp;row=2646&amp;col=7&amp;number=0&amp;sourceID=14","0")</f>
        <v>0</v>
      </c>
    </row>
    <row r="2647" spans="1:7">
      <c r="A2647" s="3">
        <v>12</v>
      </c>
      <c r="B2647" s="3">
        <v>4</v>
      </c>
      <c r="C2647" s="3">
        <v>64</v>
      </c>
      <c r="D2647" s="3">
        <v>35</v>
      </c>
      <c r="E2647" s="3">
        <v>-234.155</v>
      </c>
      <c r="F2647" s="4" t="str">
        <f>HYPERLINK("http://141.218.60.56/~jnz1568/getInfo.php?workbook=12_04.xlsx&amp;sheet=A0&amp;row=2647&amp;col=6&amp;number=141000&amp;sourceID=14","141000")</f>
        <v>141000</v>
      </c>
      <c r="G2647" s="4" t="str">
        <f>HYPERLINK("http://141.218.60.56/~jnz1568/getInfo.php?workbook=12_04.xlsx&amp;sheet=A0&amp;row=2647&amp;col=7&amp;number=0&amp;sourceID=14","0")</f>
        <v>0</v>
      </c>
    </row>
    <row r="2648" spans="1:7">
      <c r="A2648" s="3">
        <v>12</v>
      </c>
      <c r="B2648" s="3">
        <v>4</v>
      </c>
      <c r="C2648" s="3">
        <v>65</v>
      </c>
      <c r="D2648" s="3">
        <v>35</v>
      </c>
      <c r="E2648" s="3">
        <v>-230.1</v>
      </c>
      <c r="F2648" s="4" t="str">
        <f>HYPERLINK("http://141.218.60.56/~jnz1568/getInfo.php?workbook=12_04.xlsx&amp;sheet=A0&amp;row=2648&amp;col=6&amp;number=505000000&amp;sourceID=14","505000000")</f>
        <v>505000000</v>
      </c>
      <c r="G2648" s="4" t="str">
        <f>HYPERLINK("http://141.218.60.56/~jnz1568/getInfo.php?workbook=12_04.xlsx&amp;sheet=A0&amp;row=2648&amp;col=7&amp;number=0&amp;sourceID=14","0")</f>
        <v>0</v>
      </c>
    </row>
    <row r="2649" spans="1:7">
      <c r="A2649" s="3">
        <v>12</v>
      </c>
      <c r="B2649" s="3">
        <v>4</v>
      </c>
      <c r="C2649" s="3">
        <v>66</v>
      </c>
      <c r="D2649" s="3">
        <v>35</v>
      </c>
      <c r="E2649" s="3">
        <v>-228.756</v>
      </c>
      <c r="F2649" s="4" t="str">
        <f>HYPERLINK("http://141.218.60.56/~jnz1568/getInfo.php?workbook=12_04.xlsx&amp;sheet=A0&amp;row=2649&amp;col=6&amp;number=1560000000&amp;sourceID=14","1560000000")</f>
        <v>1560000000</v>
      </c>
      <c r="G2649" s="4" t="str">
        <f>HYPERLINK("http://141.218.60.56/~jnz1568/getInfo.php?workbook=12_04.xlsx&amp;sheet=A0&amp;row=2649&amp;col=7&amp;number=0&amp;sourceID=14","0")</f>
        <v>0</v>
      </c>
    </row>
    <row r="2650" spans="1:7">
      <c r="A2650" s="3">
        <v>12</v>
      </c>
      <c r="B2650" s="3">
        <v>4</v>
      </c>
      <c r="C2650" s="3">
        <v>67</v>
      </c>
      <c r="D2650" s="3">
        <v>35</v>
      </c>
      <c r="E2650" s="3">
        <v>-228.521</v>
      </c>
      <c r="F2650" s="4" t="str">
        <f>HYPERLINK("http://141.218.60.56/~jnz1568/getInfo.php?workbook=12_04.xlsx&amp;sheet=A0&amp;row=2650&amp;col=6&amp;number=15600000&amp;sourceID=14","15600000")</f>
        <v>15600000</v>
      </c>
      <c r="G2650" s="4" t="str">
        <f>HYPERLINK("http://141.218.60.56/~jnz1568/getInfo.php?workbook=12_04.xlsx&amp;sheet=A0&amp;row=2650&amp;col=7&amp;number=0&amp;sourceID=14","0")</f>
        <v>0</v>
      </c>
    </row>
    <row r="2651" spans="1:7">
      <c r="A2651" s="3">
        <v>12</v>
      </c>
      <c r="B2651" s="3">
        <v>4</v>
      </c>
      <c r="C2651" s="3">
        <v>68</v>
      </c>
      <c r="D2651" s="3">
        <v>35</v>
      </c>
      <c r="E2651" s="3">
        <v>227.227</v>
      </c>
      <c r="F2651" s="4" t="str">
        <f>HYPERLINK("http://141.218.60.56/~jnz1568/getInfo.php?workbook=12_04.xlsx&amp;sheet=A0&amp;row=2651&amp;col=6&amp;number=7850000&amp;sourceID=14","7850000")</f>
        <v>7850000</v>
      </c>
      <c r="G2651" s="4" t="str">
        <f>HYPERLINK("http://141.218.60.56/~jnz1568/getInfo.php?workbook=12_04.xlsx&amp;sheet=A0&amp;row=2651&amp;col=7&amp;number=0&amp;sourceID=14","0")</f>
        <v>0</v>
      </c>
    </row>
    <row r="2652" spans="1:7">
      <c r="A2652" s="3">
        <v>12</v>
      </c>
      <c r="B2652" s="3">
        <v>4</v>
      </c>
      <c r="C2652" s="3">
        <v>69</v>
      </c>
      <c r="D2652" s="3">
        <v>35</v>
      </c>
      <c r="E2652" s="3">
        <v>-225.768</v>
      </c>
      <c r="F2652" s="4" t="str">
        <f>HYPERLINK("http://141.218.60.56/~jnz1568/getInfo.php?workbook=12_04.xlsx&amp;sheet=A0&amp;row=2652&amp;col=6&amp;number=51100000&amp;sourceID=14","51100000")</f>
        <v>51100000</v>
      </c>
      <c r="G2652" s="4" t="str">
        <f>HYPERLINK("http://141.218.60.56/~jnz1568/getInfo.php?workbook=12_04.xlsx&amp;sheet=A0&amp;row=2652&amp;col=7&amp;number=0&amp;sourceID=14","0")</f>
        <v>0</v>
      </c>
    </row>
    <row r="2653" spans="1:7">
      <c r="A2653" s="3">
        <v>12</v>
      </c>
      <c r="B2653" s="3">
        <v>4</v>
      </c>
      <c r="C2653" s="3">
        <v>70</v>
      </c>
      <c r="D2653" s="3">
        <v>35</v>
      </c>
      <c r="E2653" s="3">
        <v>-225.446</v>
      </c>
      <c r="F2653" s="4" t="str">
        <f>HYPERLINK("http://141.218.60.56/~jnz1568/getInfo.php?workbook=12_04.xlsx&amp;sheet=A0&amp;row=2653&amp;col=6&amp;number=1.32&amp;sourceID=14","1.32")</f>
        <v>1.32</v>
      </c>
      <c r="G2653" s="4" t="str">
        <f>HYPERLINK("http://141.218.60.56/~jnz1568/getInfo.php?workbook=12_04.xlsx&amp;sheet=A0&amp;row=2653&amp;col=7&amp;number=0&amp;sourceID=14","0")</f>
        <v>0</v>
      </c>
    </row>
    <row r="2654" spans="1:7">
      <c r="A2654" s="3">
        <v>12</v>
      </c>
      <c r="B2654" s="3">
        <v>4</v>
      </c>
      <c r="C2654" s="3">
        <v>71</v>
      </c>
      <c r="D2654" s="3">
        <v>35</v>
      </c>
      <c r="E2654" s="3">
        <v>-224.469</v>
      </c>
      <c r="F2654" s="4" t="str">
        <f>HYPERLINK("http://141.218.60.56/~jnz1568/getInfo.php?workbook=12_04.xlsx&amp;sheet=A0&amp;row=2654&amp;col=6&amp;number=3190000&amp;sourceID=14","3190000")</f>
        <v>3190000</v>
      </c>
      <c r="G2654" s="4" t="str">
        <f>HYPERLINK("http://141.218.60.56/~jnz1568/getInfo.php?workbook=12_04.xlsx&amp;sheet=A0&amp;row=2654&amp;col=7&amp;number=0&amp;sourceID=14","0")</f>
        <v>0</v>
      </c>
    </row>
    <row r="2655" spans="1:7">
      <c r="A2655" s="3">
        <v>12</v>
      </c>
      <c r="B2655" s="3">
        <v>4</v>
      </c>
      <c r="C2655" s="3">
        <v>72</v>
      </c>
      <c r="D2655" s="3">
        <v>35</v>
      </c>
      <c r="E2655" s="3">
        <v>224.362</v>
      </c>
      <c r="F2655" s="4" t="str">
        <f>HYPERLINK("http://141.218.60.56/~jnz1568/getInfo.php?workbook=12_04.xlsx&amp;sheet=A0&amp;row=2655&amp;col=6&amp;number=429000&amp;sourceID=14","429000")</f>
        <v>429000</v>
      </c>
      <c r="G2655" s="4" t="str">
        <f>HYPERLINK("http://141.218.60.56/~jnz1568/getInfo.php?workbook=12_04.xlsx&amp;sheet=A0&amp;row=2655&amp;col=7&amp;number=0&amp;sourceID=14","0")</f>
        <v>0</v>
      </c>
    </row>
    <row r="2656" spans="1:7">
      <c r="A2656" s="3">
        <v>12</v>
      </c>
      <c r="B2656" s="3">
        <v>4</v>
      </c>
      <c r="C2656" s="3">
        <v>73</v>
      </c>
      <c r="D2656" s="3">
        <v>35</v>
      </c>
      <c r="E2656" s="3">
        <v>-222.718</v>
      </c>
      <c r="F2656" s="4" t="str">
        <f>HYPERLINK("http://141.218.60.56/~jnz1568/getInfo.php?workbook=12_04.xlsx&amp;sheet=A0&amp;row=2656&amp;col=6&amp;number=1310&amp;sourceID=14","1310")</f>
        <v>1310</v>
      </c>
      <c r="G2656" s="4" t="str">
        <f>HYPERLINK("http://141.218.60.56/~jnz1568/getInfo.php?workbook=12_04.xlsx&amp;sheet=A0&amp;row=2656&amp;col=7&amp;number=0&amp;sourceID=14","0")</f>
        <v>0</v>
      </c>
    </row>
    <row r="2657" spans="1:7">
      <c r="A2657" s="3">
        <v>12</v>
      </c>
      <c r="B2657" s="3">
        <v>4</v>
      </c>
      <c r="C2657" s="3">
        <v>74</v>
      </c>
      <c r="D2657" s="3">
        <v>35</v>
      </c>
      <c r="E2657" s="3">
        <v>-221.774</v>
      </c>
      <c r="F2657" s="4" t="str">
        <f>HYPERLINK("http://141.218.60.56/~jnz1568/getInfo.php?workbook=12_04.xlsx&amp;sheet=A0&amp;row=2657&amp;col=6&amp;number=6710&amp;sourceID=14","6710")</f>
        <v>6710</v>
      </c>
      <c r="G2657" s="4" t="str">
        <f>HYPERLINK("http://141.218.60.56/~jnz1568/getInfo.php?workbook=12_04.xlsx&amp;sheet=A0&amp;row=2657&amp;col=7&amp;number=0&amp;sourceID=14","0")</f>
        <v>0</v>
      </c>
    </row>
    <row r="2658" spans="1:7">
      <c r="A2658" s="3">
        <v>12</v>
      </c>
      <c r="B2658" s="3">
        <v>4</v>
      </c>
      <c r="C2658" s="3">
        <v>75</v>
      </c>
      <c r="D2658" s="3">
        <v>35</v>
      </c>
      <c r="E2658" s="3">
        <v>221.45</v>
      </c>
      <c r="F2658" s="4" t="str">
        <f>HYPERLINK("http://141.218.60.56/~jnz1568/getInfo.php?workbook=12_04.xlsx&amp;sheet=A0&amp;row=2658&amp;col=6&amp;number=203000&amp;sourceID=14","203000")</f>
        <v>203000</v>
      </c>
      <c r="G2658" s="4" t="str">
        <f>HYPERLINK("http://141.218.60.56/~jnz1568/getInfo.php?workbook=12_04.xlsx&amp;sheet=A0&amp;row=2658&amp;col=7&amp;number=0&amp;sourceID=14","0")</f>
        <v>0</v>
      </c>
    </row>
    <row r="2659" spans="1:7">
      <c r="A2659" s="3">
        <v>12</v>
      </c>
      <c r="B2659" s="3">
        <v>4</v>
      </c>
      <c r="C2659" s="3">
        <v>76</v>
      </c>
      <c r="D2659" s="3">
        <v>35</v>
      </c>
      <c r="E2659" s="3">
        <v>221.514</v>
      </c>
      <c r="F2659" s="4" t="str">
        <f>HYPERLINK("http://141.218.60.56/~jnz1568/getInfo.php?workbook=12_04.xlsx&amp;sheet=A0&amp;row=2659&amp;col=6&amp;number=35600&amp;sourceID=14","35600")</f>
        <v>35600</v>
      </c>
      <c r="G2659" s="4" t="str">
        <f>HYPERLINK("http://141.218.60.56/~jnz1568/getInfo.php?workbook=12_04.xlsx&amp;sheet=A0&amp;row=2659&amp;col=7&amp;number=0&amp;sourceID=14","0")</f>
        <v>0</v>
      </c>
    </row>
    <row r="2660" spans="1:7">
      <c r="A2660" s="3">
        <v>12</v>
      </c>
      <c r="B2660" s="3">
        <v>4</v>
      </c>
      <c r="C2660" s="3">
        <v>77</v>
      </c>
      <c r="D2660" s="3">
        <v>35</v>
      </c>
      <c r="E2660" s="3">
        <v>-220.709</v>
      </c>
      <c r="F2660" s="4" t="str">
        <f>HYPERLINK("http://141.218.60.56/~jnz1568/getInfo.php?workbook=12_04.xlsx&amp;sheet=A0&amp;row=2660&amp;col=6&amp;number=1150&amp;sourceID=14","1150")</f>
        <v>1150</v>
      </c>
      <c r="G2660" s="4" t="str">
        <f>HYPERLINK("http://141.218.60.56/~jnz1568/getInfo.php?workbook=12_04.xlsx&amp;sheet=A0&amp;row=2660&amp;col=7&amp;number=0&amp;sourceID=14","0")</f>
        <v>0</v>
      </c>
    </row>
    <row r="2661" spans="1:7">
      <c r="A2661" s="3">
        <v>12</v>
      </c>
      <c r="B2661" s="3">
        <v>4</v>
      </c>
      <c r="C2661" s="3">
        <v>78</v>
      </c>
      <c r="D2661" s="3">
        <v>35</v>
      </c>
      <c r="E2661" s="3">
        <v>-219.256</v>
      </c>
      <c r="F2661" s="4" t="str">
        <f>HYPERLINK("http://141.218.60.56/~jnz1568/getInfo.php?workbook=12_04.xlsx&amp;sheet=A0&amp;row=2661&amp;col=6&amp;number=10200&amp;sourceID=14","10200")</f>
        <v>10200</v>
      </c>
      <c r="G2661" s="4" t="str">
        <f>HYPERLINK("http://141.218.60.56/~jnz1568/getInfo.php?workbook=12_04.xlsx&amp;sheet=A0&amp;row=2661&amp;col=7&amp;number=0&amp;sourceID=14","0")</f>
        <v>0</v>
      </c>
    </row>
    <row r="2662" spans="1:7">
      <c r="A2662" s="3">
        <v>12</v>
      </c>
      <c r="B2662" s="3">
        <v>4</v>
      </c>
      <c r="C2662" s="3">
        <v>79</v>
      </c>
      <c r="D2662" s="3">
        <v>35</v>
      </c>
      <c r="E2662" s="3">
        <v>-218.959</v>
      </c>
      <c r="F2662" s="4" t="str">
        <f>HYPERLINK("http://141.218.60.56/~jnz1568/getInfo.php?workbook=12_04.xlsx&amp;sheet=A0&amp;row=2662&amp;col=6&amp;number=692&amp;sourceID=14","692")</f>
        <v>692</v>
      </c>
      <c r="G2662" s="4" t="str">
        <f>HYPERLINK("http://141.218.60.56/~jnz1568/getInfo.php?workbook=12_04.xlsx&amp;sheet=A0&amp;row=2662&amp;col=7&amp;number=0&amp;sourceID=14","0")</f>
        <v>0</v>
      </c>
    </row>
    <row r="2663" spans="1:7">
      <c r="A2663" s="3">
        <v>12</v>
      </c>
      <c r="B2663" s="3">
        <v>4</v>
      </c>
      <c r="C2663" s="3">
        <v>80</v>
      </c>
      <c r="D2663" s="3">
        <v>35</v>
      </c>
      <c r="E2663" s="3">
        <v>-218.365</v>
      </c>
      <c r="F2663" s="4" t="str">
        <f>HYPERLINK("http://141.218.60.56/~jnz1568/getInfo.php?workbook=12_04.xlsx&amp;sheet=A0&amp;row=2663&amp;col=6&amp;number=38100000000&amp;sourceID=14","38100000000")</f>
        <v>38100000000</v>
      </c>
      <c r="G2663" s="4" t="str">
        <f>HYPERLINK("http://141.218.60.56/~jnz1568/getInfo.php?workbook=12_04.xlsx&amp;sheet=A0&amp;row=2663&amp;col=7&amp;number=0&amp;sourceID=14","0")</f>
        <v>0</v>
      </c>
    </row>
    <row r="2664" spans="1:7">
      <c r="A2664" s="3">
        <v>12</v>
      </c>
      <c r="B2664" s="3">
        <v>4</v>
      </c>
      <c r="C2664" s="3">
        <v>81</v>
      </c>
      <c r="D2664" s="3">
        <v>35</v>
      </c>
      <c r="E2664" s="3">
        <v>218.051</v>
      </c>
      <c r="F2664" s="4" t="str">
        <f>HYPERLINK("http://141.218.60.56/~jnz1568/getInfo.php?workbook=12_04.xlsx&amp;sheet=A0&amp;row=2664&amp;col=6&amp;number=162&amp;sourceID=14","162")</f>
        <v>162</v>
      </c>
      <c r="G2664" s="4" t="str">
        <f>HYPERLINK("http://141.218.60.56/~jnz1568/getInfo.php?workbook=12_04.xlsx&amp;sheet=A0&amp;row=2664&amp;col=7&amp;number=0&amp;sourceID=14","0")</f>
        <v>0</v>
      </c>
    </row>
    <row r="2665" spans="1:7">
      <c r="A2665" s="3">
        <v>12</v>
      </c>
      <c r="B2665" s="3">
        <v>4</v>
      </c>
      <c r="C2665" s="3">
        <v>82</v>
      </c>
      <c r="D2665" s="3">
        <v>35</v>
      </c>
      <c r="E2665" s="3">
        <v>-218.193</v>
      </c>
      <c r="F2665" s="4" t="str">
        <f>HYPERLINK("http://141.218.60.56/~jnz1568/getInfo.php?workbook=12_04.xlsx&amp;sheet=A0&amp;row=2665&amp;col=6&amp;number=367000000&amp;sourceID=14","367000000")</f>
        <v>367000000</v>
      </c>
      <c r="G2665" s="4" t="str">
        <f>HYPERLINK("http://141.218.60.56/~jnz1568/getInfo.php?workbook=12_04.xlsx&amp;sheet=A0&amp;row=2665&amp;col=7&amp;number=0&amp;sourceID=14","0")</f>
        <v>0</v>
      </c>
    </row>
    <row r="2666" spans="1:7">
      <c r="A2666" s="3">
        <v>12</v>
      </c>
      <c r="B2666" s="3">
        <v>4</v>
      </c>
      <c r="C2666" s="3">
        <v>83</v>
      </c>
      <c r="D2666" s="3">
        <v>35</v>
      </c>
      <c r="E2666" s="3">
        <v>-218.19</v>
      </c>
      <c r="F2666" s="4" t="str">
        <f>HYPERLINK("http://141.218.60.56/~jnz1568/getInfo.php?workbook=12_04.xlsx&amp;sheet=A0&amp;row=2666&amp;col=6&amp;number=3590000000&amp;sourceID=14","3590000000")</f>
        <v>3590000000</v>
      </c>
      <c r="G2666" s="4" t="str">
        <f>HYPERLINK("http://141.218.60.56/~jnz1568/getInfo.php?workbook=12_04.xlsx&amp;sheet=A0&amp;row=2666&amp;col=7&amp;number=0&amp;sourceID=14","0")</f>
        <v>0</v>
      </c>
    </row>
    <row r="2667" spans="1:7">
      <c r="A2667" s="3">
        <v>12</v>
      </c>
      <c r="B2667" s="3">
        <v>4</v>
      </c>
      <c r="C2667" s="3">
        <v>84</v>
      </c>
      <c r="D2667" s="3">
        <v>35</v>
      </c>
      <c r="E2667" s="3">
        <v>-218.036</v>
      </c>
      <c r="F2667" s="4" t="str">
        <f>HYPERLINK("http://141.218.60.56/~jnz1568/getInfo.php?workbook=12_04.xlsx&amp;sheet=A0&amp;row=2667&amp;col=6&amp;number=26.3&amp;sourceID=14","26.3")</f>
        <v>26.3</v>
      </c>
      <c r="G2667" s="4" t="str">
        <f>HYPERLINK("http://141.218.60.56/~jnz1568/getInfo.php?workbook=12_04.xlsx&amp;sheet=A0&amp;row=2667&amp;col=7&amp;number=0&amp;sourceID=14","0")</f>
        <v>0</v>
      </c>
    </row>
    <row r="2668" spans="1:7">
      <c r="A2668" s="3">
        <v>12</v>
      </c>
      <c r="B2668" s="3">
        <v>4</v>
      </c>
      <c r="C2668" s="3">
        <v>85</v>
      </c>
      <c r="D2668" s="3">
        <v>35</v>
      </c>
      <c r="E2668" s="3">
        <v>217.482</v>
      </c>
      <c r="F2668" s="4" t="str">
        <f>HYPERLINK("http://141.218.60.56/~jnz1568/getInfo.php?workbook=12_04.xlsx&amp;sheet=A0&amp;row=2668&amp;col=6&amp;number=1350&amp;sourceID=14","1350")</f>
        <v>1350</v>
      </c>
      <c r="G2668" s="4" t="str">
        <f>HYPERLINK("http://141.218.60.56/~jnz1568/getInfo.php?workbook=12_04.xlsx&amp;sheet=A0&amp;row=2668&amp;col=7&amp;number=0&amp;sourceID=14","0")</f>
        <v>0</v>
      </c>
    </row>
    <row r="2669" spans="1:7">
      <c r="A2669" s="3">
        <v>12</v>
      </c>
      <c r="B2669" s="3">
        <v>4</v>
      </c>
      <c r="C2669" s="3">
        <v>86</v>
      </c>
      <c r="D2669" s="3">
        <v>35</v>
      </c>
      <c r="E2669" s="3">
        <v>217.236</v>
      </c>
      <c r="F2669" s="4" t="str">
        <f>HYPERLINK("http://141.218.60.56/~jnz1568/getInfo.php?workbook=12_04.xlsx&amp;sheet=A0&amp;row=2669&amp;col=6&amp;number=1020&amp;sourceID=14","1020")</f>
        <v>1020</v>
      </c>
      <c r="G2669" s="4" t="str">
        <f>HYPERLINK("http://141.218.60.56/~jnz1568/getInfo.php?workbook=12_04.xlsx&amp;sheet=A0&amp;row=2669&amp;col=7&amp;number=0&amp;sourceID=14","0")</f>
        <v>0</v>
      </c>
    </row>
    <row r="2670" spans="1:7">
      <c r="A2670" s="3">
        <v>12</v>
      </c>
      <c r="B2670" s="3">
        <v>4</v>
      </c>
      <c r="C2670" s="3">
        <v>87</v>
      </c>
      <c r="D2670" s="3">
        <v>35</v>
      </c>
      <c r="E2670" s="3">
        <v>-216.887</v>
      </c>
      <c r="F2670" s="4" t="str">
        <f>HYPERLINK("http://141.218.60.56/~jnz1568/getInfo.php?workbook=12_04.xlsx&amp;sheet=A0&amp;row=2670&amp;col=6&amp;number=11500&amp;sourceID=14","11500")</f>
        <v>11500</v>
      </c>
      <c r="G2670" s="4" t="str">
        <f>HYPERLINK("http://141.218.60.56/~jnz1568/getInfo.php?workbook=12_04.xlsx&amp;sheet=A0&amp;row=2670&amp;col=7&amp;number=0&amp;sourceID=14","0")</f>
        <v>0</v>
      </c>
    </row>
    <row r="2671" spans="1:7">
      <c r="A2671" s="3">
        <v>12</v>
      </c>
      <c r="B2671" s="3">
        <v>4</v>
      </c>
      <c r="C2671" s="3">
        <v>88</v>
      </c>
      <c r="D2671" s="3">
        <v>35</v>
      </c>
      <c r="E2671" s="3">
        <v>-216.519</v>
      </c>
      <c r="F2671" s="4" t="str">
        <f>HYPERLINK("http://141.218.60.56/~jnz1568/getInfo.php?workbook=12_04.xlsx&amp;sheet=A0&amp;row=2671&amp;col=6&amp;number=42800000000&amp;sourceID=14","42800000000")</f>
        <v>42800000000</v>
      </c>
      <c r="G2671" s="4" t="str">
        <f>HYPERLINK("http://141.218.60.56/~jnz1568/getInfo.php?workbook=12_04.xlsx&amp;sheet=A0&amp;row=2671&amp;col=7&amp;number=0&amp;sourceID=14","0")</f>
        <v>0</v>
      </c>
    </row>
    <row r="2672" spans="1:7">
      <c r="A2672" s="3">
        <v>12</v>
      </c>
      <c r="B2672" s="3">
        <v>4</v>
      </c>
      <c r="C2672" s="3">
        <v>89</v>
      </c>
      <c r="D2672" s="3">
        <v>35</v>
      </c>
      <c r="E2672" s="3">
        <v>-216.302</v>
      </c>
      <c r="F2672" s="4" t="str">
        <f>HYPERLINK("http://141.218.60.56/~jnz1568/getInfo.php?workbook=12_04.xlsx&amp;sheet=A0&amp;row=2672&amp;col=6&amp;number=22.2&amp;sourceID=14","22.2")</f>
        <v>22.2</v>
      </c>
      <c r="G2672" s="4" t="str">
        <f>HYPERLINK("http://141.218.60.56/~jnz1568/getInfo.php?workbook=12_04.xlsx&amp;sheet=A0&amp;row=2672&amp;col=7&amp;number=0&amp;sourceID=14","0")</f>
        <v>0</v>
      </c>
    </row>
    <row r="2673" spans="1:7">
      <c r="A2673" s="3">
        <v>12</v>
      </c>
      <c r="B2673" s="3">
        <v>4</v>
      </c>
      <c r="C2673" s="3">
        <v>90</v>
      </c>
      <c r="D2673" s="3">
        <v>35</v>
      </c>
      <c r="E2673" s="3">
        <v>-215.661</v>
      </c>
      <c r="F2673" s="4" t="str">
        <f>HYPERLINK("http://141.218.60.56/~jnz1568/getInfo.php?workbook=12_04.xlsx&amp;sheet=A0&amp;row=2673&amp;col=6&amp;number=0.0645&amp;sourceID=14","0.0645")</f>
        <v>0.0645</v>
      </c>
      <c r="G2673" s="4" t="str">
        <f>HYPERLINK("http://141.218.60.56/~jnz1568/getInfo.php?workbook=12_04.xlsx&amp;sheet=A0&amp;row=2673&amp;col=7&amp;number=0&amp;sourceID=14","0")</f>
        <v>0</v>
      </c>
    </row>
    <row r="2674" spans="1:7">
      <c r="A2674" s="3">
        <v>12</v>
      </c>
      <c r="B2674" s="3">
        <v>4</v>
      </c>
      <c r="C2674" s="3">
        <v>91</v>
      </c>
      <c r="D2674" s="3">
        <v>35</v>
      </c>
      <c r="E2674" s="3">
        <v>-215.096</v>
      </c>
      <c r="F2674" s="4" t="str">
        <f>HYPERLINK("http://141.218.60.56/~jnz1568/getInfo.php?workbook=12_04.xlsx&amp;sheet=A0&amp;row=2674&amp;col=6&amp;number=1630000000&amp;sourceID=14","1630000000")</f>
        <v>1630000000</v>
      </c>
      <c r="G2674" s="4" t="str">
        <f>HYPERLINK("http://141.218.60.56/~jnz1568/getInfo.php?workbook=12_04.xlsx&amp;sheet=A0&amp;row=2674&amp;col=7&amp;number=0&amp;sourceID=14","0")</f>
        <v>0</v>
      </c>
    </row>
    <row r="2675" spans="1:7">
      <c r="A2675" s="3">
        <v>12</v>
      </c>
      <c r="B2675" s="3">
        <v>4</v>
      </c>
      <c r="C2675" s="3">
        <v>92</v>
      </c>
      <c r="D2675" s="3">
        <v>35</v>
      </c>
      <c r="E2675" s="3">
        <v>-214.963</v>
      </c>
      <c r="F2675" s="4" t="str">
        <f>HYPERLINK("http://141.218.60.56/~jnz1568/getInfo.php?workbook=12_04.xlsx&amp;sheet=A0&amp;row=2675&amp;col=6&amp;number=98.6&amp;sourceID=14","98.6")</f>
        <v>98.6</v>
      </c>
      <c r="G2675" s="4" t="str">
        <f>HYPERLINK("http://141.218.60.56/~jnz1568/getInfo.php?workbook=12_04.xlsx&amp;sheet=A0&amp;row=2675&amp;col=7&amp;number=0&amp;sourceID=14","0")</f>
        <v>0</v>
      </c>
    </row>
    <row r="2676" spans="1:7">
      <c r="A2676" s="3">
        <v>12</v>
      </c>
      <c r="B2676" s="3">
        <v>4</v>
      </c>
      <c r="C2676" s="3">
        <v>93</v>
      </c>
      <c r="D2676" s="3">
        <v>35</v>
      </c>
      <c r="E2676" s="3">
        <v>-214.842</v>
      </c>
      <c r="F2676" s="4" t="str">
        <f>HYPERLINK("http://141.218.60.56/~jnz1568/getInfo.php?workbook=12_04.xlsx&amp;sheet=A0&amp;row=2676&amp;col=6&amp;number=2780000000&amp;sourceID=14","2780000000")</f>
        <v>2780000000</v>
      </c>
      <c r="G2676" s="4" t="str">
        <f>HYPERLINK("http://141.218.60.56/~jnz1568/getInfo.php?workbook=12_04.xlsx&amp;sheet=A0&amp;row=2676&amp;col=7&amp;number=0&amp;sourceID=14","0")</f>
        <v>0</v>
      </c>
    </row>
    <row r="2677" spans="1:7">
      <c r="A2677" s="3">
        <v>12</v>
      </c>
      <c r="B2677" s="3">
        <v>4</v>
      </c>
      <c r="C2677" s="3">
        <v>94</v>
      </c>
      <c r="D2677" s="3">
        <v>35</v>
      </c>
      <c r="E2677" s="3">
        <v>-214.396</v>
      </c>
      <c r="F2677" s="4" t="str">
        <f>HYPERLINK("http://141.218.60.56/~jnz1568/getInfo.php?workbook=12_04.xlsx&amp;sheet=A0&amp;row=2677&amp;col=6&amp;number=77100000&amp;sourceID=14","77100000")</f>
        <v>77100000</v>
      </c>
      <c r="G2677" s="4" t="str">
        <f>HYPERLINK("http://141.218.60.56/~jnz1568/getInfo.php?workbook=12_04.xlsx&amp;sheet=A0&amp;row=2677&amp;col=7&amp;number=0&amp;sourceID=14","0")</f>
        <v>0</v>
      </c>
    </row>
    <row r="2678" spans="1:7">
      <c r="A2678" s="3">
        <v>12</v>
      </c>
      <c r="B2678" s="3">
        <v>4</v>
      </c>
      <c r="C2678" s="3">
        <v>95</v>
      </c>
      <c r="D2678" s="3">
        <v>35</v>
      </c>
      <c r="E2678" s="3">
        <v>-214.105</v>
      </c>
      <c r="F2678" s="4" t="str">
        <f>HYPERLINK("http://141.218.60.56/~jnz1568/getInfo.php?workbook=12_04.xlsx&amp;sheet=A0&amp;row=2678&amp;col=6&amp;number=0.283&amp;sourceID=14","0.283")</f>
        <v>0.283</v>
      </c>
      <c r="G2678" s="4" t="str">
        <f>HYPERLINK("http://141.218.60.56/~jnz1568/getInfo.php?workbook=12_04.xlsx&amp;sheet=A0&amp;row=2678&amp;col=7&amp;number=0&amp;sourceID=14","0")</f>
        <v>0</v>
      </c>
    </row>
    <row r="2679" spans="1:7">
      <c r="A2679" s="3">
        <v>12</v>
      </c>
      <c r="B2679" s="3">
        <v>4</v>
      </c>
      <c r="C2679" s="3">
        <v>96</v>
      </c>
      <c r="D2679" s="3">
        <v>35</v>
      </c>
      <c r="E2679" s="3">
        <v>-213.836</v>
      </c>
      <c r="F2679" s="4" t="str">
        <f>HYPERLINK("http://141.218.60.56/~jnz1568/getInfo.php?workbook=12_04.xlsx&amp;sheet=A0&amp;row=2679&amp;col=6&amp;number=11800000000&amp;sourceID=14","11800000000")</f>
        <v>11800000000</v>
      </c>
      <c r="G2679" s="4" t="str">
        <f>HYPERLINK("http://141.218.60.56/~jnz1568/getInfo.php?workbook=12_04.xlsx&amp;sheet=A0&amp;row=2679&amp;col=7&amp;number=0&amp;sourceID=14","0")</f>
        <v>0</v>
      </c>
    </row>
    <row r="2680" spans="1:7">
      <c r="A2680" s="3">
        <v>12</v>
      </c>
      <c r="B2680" s="3">
        <v>4</v>
      </c>
      <c r="C2680" s="3">
        <v>97</v>
      </c>
      <c r="D2680" s="3">
        <v>35</v>
      </c>
      <c r="E2680" s="3">
        <v>214.165</v>
      </c>
      <c r="F2680" s="4" t="str">
        <f>HYPERLINK("http://141.218.60.56/~jnz1568/getInfo.php?workbook=12_04.xlsx&amp;sheet=A0&amp;row=2680&amp;col=6&amp;number=144000&amp;sourceID=14","144000")</f>
        <v>144000</v>
      </c>
      <c r="G2680" s="4" t="str">
        <f>HYPERLINK("http://141.218.60.56/~jnz1568/getInfo.php?workbook=12_04.xlsx&amp;sheet=A0&amp;row=2680&amp;col=7&amp;number=0&amp;sourceID=14","0")</f>
        <v>0</v>
      </c>
    </row>
    <row r="2681" spans="1:7">
      <c r="A2681" s="3">
        <v>12</v>
      </c>
      <c r="B2681" s="3">
        <v>4</v>
      </c>
      <c r="C2681" s="3">
        <v>98</v>
      </c>
      <c r="D2681" s="3">
        <v>35</v>
      </c>
      <c r="E2681" s="3">
        <v>213.37</v>
      </c>
      <c r="F2681" s="4" t="str">
        <f>HYPERLINK("http://141.218.60.56/~jnz1568/getInfo.php?workbook=12_04.xlsx&amp;sheet=A0&amp;row=2681&amp;col=6&amp;number=285000&amp;sourceID=14","285000")</f>
        <v>285000</v>
      </c>
      <c r="G2681" s="4" t="str">
        <f>HYPERLINK("http://141.218.60.56/~jnz1568/getInfo.php?workbook=12_04.xlsx&amp;sheet=A0&amp;row=2681&amp;col=7&amp;number=0&amp;sourceID=14","0")</f>
        <v>0</v>
      </c>
    </row>
    <row r="2682" spans="1:7">
      <c r="A2682" s="3">
        <v>12</v>
      </c>
      <c r="B2682" s="3">
        <v>4</v>
      </c>
      <c r="C2682" s="3">
        <v>37</v>
      </c>
      <c r="D2682" s="3">
        <v>36</v>
      </c>
      <c r="E2682" s="3">
        <v>-11054.63</v>
      </c>
      <c r="F2682" s="4" t="str">
        <f>HYPERLINK("http://141.218.60.56/~jnz1568/getInfo.php?workbook=12_04.xlsx&amp;sheet=A0&amp;row=2682&amp;col=6&amp;number=4.34e-08&amp;sourceID=14","4.34e-08")</f>
        <v>4.34e-08</v>
      </c>
      <c r="G2682" s="4" t="str">
        <f>HYPERLINK("http://141.218.60.56/~jnz1568/getInfo.php?workbook=12_04.xlsx&amp;sheet=A0&amp;row=2682&amp;col=7&amp;number=0&amp;sourceID=14","0")</f>
        <v>0</v>
      </c>
    </row>
    <row r="2683" spans="1:7">
      <c r="A2683" s="3">
        <v>12</v>
      </c>
      <c r="B2683" s="3">
        <v>4</v>
      </c>
      <c r="C2683" s="3">
        <v>38</v>
      </c>
      <c r="D2683" s="3">
        <v>36</v>
      </c>
      <c r="E2683" s="3">
        <v>-5885.48</v>
      </c>
      <c r="F2683" s="4" t="str">
        <f>HYPERLINK("http://141.218.60.56/~jnz1568/getInfo.php?workbook=12_04.xlsx&amp;sheet=A0&amp;row=2683&amp;col=6&amp;number=1.74e-15&amp;sourceID=14","1.74e-15")</f>
        <v>1.74e-15</v>
      </c>
      <c r="G2683" s="4" t="str">
        <f>HYPERLINK("http://141.218.60.56/~jnz1568/getInfo.php?workbook=12_04.xlsx&amp;sheet=A0&amp;row=2683&amp;col=7&amp;number=0&amp;sourceID=14","0")</f>
        <v>0</v>
      </c>
    </row>
    <row r="2684" spans="1:7">
      <c r="A2684" s="3">
        <v>12</v>
      </c>
      <c r="B2684" s="3">
        <v>4</v>
      </c>
      <c r="C2684" s="3">
        <v>39</v>
      </c>
      <c r="D2684" s="3">
        <v>36</v>
      </c>
      <c r="E2684" s="3">
        <v>-5702.891</v>
      </c>
      <c r="F2684" s="4" t="str">
        <f>HYPERLINK("http://141.218.60.56/~jnz1568/getInfo.php?workbook=12_04.xlsx&amp;sheet=A0&amp;row=2684&amp;col=6&amp;number=0.00164&amp;sourceID=14","0.00164")</f>
        <v>0.00164</v>
      </c>
      <c r="G2684" s="4" t="str">
        <f>HYPERLINK("http://141.218.60.56/~jnz1568/getInfo.php?workbook=12_04.xlsx&amp;sheet=A0&amp;row=2684&amp;col=7&amp;number=0&amp;sourceID=14","0")</f>
        <v>0</v>
      </c>
    </row>
    <row r="2685" spans="1:7">
      <c r="A2685" s="3">
        <v>12</v>
      </c>
      <c r="B2685" s="3">
        <v>4</v>
      </c>
      <c r="C2685" s="3">
        <v>40</v>
      </c>
      <c r="D2685" s="3">
        <v>36</v>
      </c>
      <c r="E2685" s="3">
        <v>-5385.62</v>
      </c>
      <c r="F2685" s="4" t="str">
        <f>HYPERLINK("http://141.218.60.56/~jnz1568/getInfo.php?workbook=12_04.xlsx&amp;sheet=A0&amp;row=2685&amp;col=6&amp;number=0.642&amp;sourceID=14","0.642")</f>
        <v>0.642</v>
      </c>
      <c r="G2685" s="4" t="str">
        <f>HYPERLINK("http://141.218.60.56/~jnz1568/getInfo.php?workbook=12_04.xlsx&amp;sheet=A0&amp;row=2685&amp;col=7&amp;number=0&amp;sourceID=14","0")</f>
        <v>0</v>
      </c>
    </row>
    <row r="2686" spans="1:7">
      <c r="A2686" s="3">
        <v>12</v>
      </c>
      <c r="B2686" s="3">
        <v>4</v>
      </c>
      <c r="C2686" s="3">
        <v>41</v>
      </c>
      <c r="D2686" s="3">
        <v>36</v>
      </c>
      <c r="E2686" s="3">
        <v>-3930.207</v>
      </c>
      <c r="F2686" s="4" t="str">
        <f>HYPERLINK("http://141.218.60.56/~jnz1568/getInfo.php?workbook=12_04.xlsx&amp;sheet=A0&amp;row=2686&amp;col=6&amp;number=0.218&amp;sourceID=14","0.218")</f>
        <v>0.218</v>
      </c>
      <c r="G2686" s="4" t="str">
        <f>HYPERLINK("http://141.218.60.56/~jnz1568/getInfo.php?workbook=12_04.xlsx&amp;sheet=A0&amp;row=2686&amp;col=7&amp;number=0&amp;sourceID=14","0")</f>
        <v>0</v>
      </c>
    </row>
    <row r="2687" spans="1:7">
      <c r="A2687" s="3">
        <v>12</v>
      </c>
      <c r="B2687" s="3">
        <v>4</v>
      </c>
      <c r="C2687" s="3">
        <v>42</v>
      </c>
      <c r="D2687" s="3">
        <v>36</v>
      </c>
      <c r="E2687" s="3">
        <v>-3801.132</v>
      </c>
      <c r="F2687" s="4" t="str">
        <f>HYPERLINK("http://141.218.60.56/~jnz1568/getInfo.php?workbook=12_04.xlsx&amp;sheet=A0&amp;row=2687&amp;col=6&amp;number=8.84e-14&amp;sourceID=14","8.84e-14")</f>
        <v>8.84e-14</v>
      </c>
      <c r="G2687" s="4" t="str">
        <f>HYPERLINK("http://141.218.60.56/~jnz1568/getInfo.php?workbook=12_04.xlsx&amp;sheet=A0&amp;row=2687&amp;col=7&amp;number=0&amp;sourceID=14","0")</f>
        <v>0</v>
      </c>
    </row>
    <row r="2688" spans="1:7">
      <c r="A2688" s="3">
        <v>12</v>
      </c>
      <c r="B2688" s="3">
        <v>4</v>
      </c>
      <c r="C2688" s="3">
        <v>43</v>
      </c>
      <c r="D2688" s="3">
        <v>36</v>
      </c>
      <c r="E2688" s="3">
        <v>-3738.464</v>
      </c>
      <c r="F2688" s="4" t="str">
        <f>HYPERLINK("http://141.218.60.56/~jnz1568/getInfo.php?workbook=12_04.xlsx&amp;sheet=A0&amp;row=2688&amp;col=6&amp;number=1.07e-15&amp;sourceID=14","1.07e-15")</f>
        <v>1.07e-15</v>
      </c>
      <c r="G2688" s="4" t="str">
        <f>HYPERLINK("http://141.218.60.56/~jnz1568/getInfo.php?workbook=12_04.xlsx&amp;sheet=A0&amp;row=2688&amp;col=7&amp;number=0&amp;sourceID=14","0")</f>
        <v>0</v>
      </c>
    </row>
    <row r="2689" spans="1:7">
      <c r="A2689" s="3">
        <v>12</v>
      </c>
      <c r="B2689" s="3">
        <v>4</v>
      </c>
      <c r="C2689" s="3">
        <v>45</v>
      </c>
      <c r="D2689" s="3">
        <v>36</v>
      </c>
      <c r="E2689" s="3">
        <v>-2035.171</v>
      </c>
      <c r="F2689" s="4" t="str">
        <f>HYPERLINK("http://141.218.60.56/~jnz1568/getInfo.php?workbook=12_04.xlsx&amp;sheet=A0&amp;row=2689&amp;col=6&amp;number=1.63&amp;sourceID=14","1.63")</f>
        <v>1.63</v>
      </c>
      <c r="G2689" s="4" t="str">
        <f>HYPERLINK("http://141.218.60.56/~jnz1568/getInfo.php?workbook=12_04.xlsx&amp;sheet=A0&amp;row=2689&amp;col=7&amp;number=0&amp;sourceID=14","0")</f>
        <v>0</v>
      </c>
    </row>
    <row r="2690" spans="1:7">
      <c r="A2690" s="3">
        <v>12</v>
      </c>
      <c r="B2690" s="3">
        <v>4</v>
      </c>
      <c r="C2690" s="3">
        <v>46</v>
      </c>
      <c r="D2690" s="3">
        <v>36</v>
      </c>
      <c r="E2690" s="3">
        <v>-1843.321</v>
      </c>
      <c r="F2690" s="4" t="str">
        <f>HYPERLINK("http://141.218.60.56/~jnz1568/getInfo.php?workbook=12_04.xlsx&amp;sheet=A0&amp;row=2690&amp;col=6&amp;number=5.04e-13&amp;sourceID=14","5.04e-13")</f>
        <v>5.04e-13</v>
      </c>
      <c r="G2690" s="4" t="str">
        <f>HYPERLINK("http://141.218.60.56/~jnz1568/getInfo.php?workbook=12_04.xlsx&amp;sheet=A0&amp;row=2690&amp;col=7&amp;number=0&amp;sourceID=14","0")</f>
        <v>0</v>
      </c>
    </row>
    <row r="2691" spans="1:7">
      <c r="A2691" s="3">
        <v>12</v>
      </c>
      <c r="B2691" s="3">
        <v>4</v>
      </c>
      <c r="C2691" s="3">
        <v>47</v>
      </c>
      <c r="D2691" s="3">
        <v>36</v>
      </c>
      <c r="E2691" s="3">
        <v>-399.839</v>
      </c>
      <c r="F2691" s="4" t="str">
        <f>HYPERLINK("http://141.218.60.56/~jnz1568/getInfo.php?workbook=12_04.xlsx&amp;sheet=A0&amp;row=2691&amp;col=6&amp;number=0.0632&amp;sourceID=14","0.0632")</f>
        <v>0.0632</v>
      </c>
      <c r="G2691" s="4" t="str">
        <f>HYPERLINK("http://141.218.60.56/~jnz1568/getInfo.php?workbook=12_04.xlsx&amp;sheet=A0&amp;row=2691&amp;col=7&amp;number=0&amp;sourceID=14","0")</f>
        <v>0</v>
      </c>
    </row>
    <row r="2692" spans="1:7">
      <c r="A2692" s="3">
        <v>12</v>
      </c>
      <c r="B2692" s="3">
        <v>4</v>
      </c>
      <c r="C2692" s="3">
        <v>49</v>
      </c>
      <c r="D2692" s="3">
        <v>36</v>
      </c>
      <c r="E2692" s="3">
        <v>-364.037</v>
      </c>
      <c r="F2692" s="4" t="str">
        <f>HYPERLINK("http://141.218.60.56/~jnz1568/getInfo.php?workbook=12_04.xlsx&amp;sheet=A0&amp;row=2692&amp;col=6&amp;number=1.27e-06&amp;sourceID=14","1.27e-06")</f>
        <v>1.27e-06</v>
      </c>
      <c r="G2692" s="4" t="str">
        <f>HYPERLINK("http://141.218.60.56/~jnz1568/getInfo.php?workbook=12_04.xlsx&amp;sheet=A0&amp;row=2692&amp;col=7&amp;number=0&amp;sourceID=14","0")</f>
        <v>0</v>
      </c>
    </row>
    <row r="2693" spans="1:7">
      <c r="A2693" s="3">
        <v>12</v>
      </c>
      <c r="B2693" s="3">
        <v>4</v>
      </c>
      <c r="C2693" s="3">
        <v>50</v>
      </c>
      <c r="D2693" s="3">
        <v>36</v>
      </c>
      <c r="E2693" s="3">
        <v>-363.883</v>
      </c>
      <c r="F2693" s="4" t="str">
        <f>HYPERLINK("http://141.218.60.56/~jnz1568/getInfo.php?workbook=12_04.xlsx&amp;sheet=A0&amp;row=2693&amp;col=6&amp;number=1.13e-06&amp;sourceID=14","1.13e-06")</f>
        <v>1.13e-06</v>
      </c>
      <c r="G2693" s="4" t="str">
        <f>HYPERLINK("http://141.218.60.56/~jnz1568/getInfo.php?workbook=12_04.xlsx&amp;sheet=A0&amp;row=2693&amp;col=7&amp;number=0&amp;sourceID=14","0")</f>
        <v>0</v>
      </c>
    </row>
    <row r="2694" spans="1:7">
      <c r="A2694" s="3">
        <v>12</v>
      </c>
      <c r="B2694" s="3">
        <v>4</v>
      </c>
      <c r="C2694" s="3">
        <v>51</v>
      </c>
      <c r="D2694" s="3">
        <v>36</v>
      </c>
      <c r="E2694" s="3">
        <v>-363.537</v>
      </c>
      <c r="F2694" s="4" t="str">
        <f>HYPERLINK("http://141.218.60.56/~jnz1568/getInfo.php?workbook=12_04.xlsx&amp;sheet=A0&amp;row=2694&amp;col=6&amp;number=6760&amp;sourceID=14","6760")</f>
        <v>6760</v>
      </c>
      <c r="G2694" s="4" t="str">
        <f>HYPERLINK("http://141.218.60.56/~jnz1568/getInfo.php?workbook=12_04.xlsx&amp;sheet=A0&amp;row=2694&amp;col=7&amp;number=0&amp;sourceID=14","0")</f>
        <v>0</v>
      </c>
    </row>
    <row r="2695" spans="1:7">
      <c r="A2695" s="3">
        <v>12</v>
      </c>
      <c r="B2695" s="3">
        <v>4</v>
      </c>
      <c r="C2695" s="3">
        <v>52</v>
      </c>
      <c r="D2695" s="3">
        <v>36</v>
      </c>
      <c r="E2695" s="3">
        <v>-359.929</v>
      </c>
      <c r="F2695" s="4" t="str">
        <f>HYPERLINK("http://141.218.60.56/~jnz1568/getInfo.php?workbook=12_04.xlsx&amp;sheet=A0&amp;row=2695&amp;col=6&amp;number=9.37e-06&amp;sourceID=14","9.37e-06")</f>
        <v>9.37e-06</v>
      </c>
      <c r="G2695" s="4" t="str">
        <f>HYPERLINK("http://141.218.60.56/~jnz1568/getInfo.php?workbook=12_04.xlsx&amp;sheet=A0&amp;row=2695&amp;col=7&amp;number=0&amp;sourceID=14","0")</f>
        <v>0</v>
      </c>
    </row>
    <row r="2696" spans="1:7">
      <c r="A2696" s="3">
        <v>12</v>
      </c>
      <c r="B2696" s="3">
        <v>4</v>
      </c>
      <c r="C2696" s="3">
        <v>53</v>
      </c>
      <c r="D2696" s="3">
        <v>36</v>
      </c>
      <c r="E2696" s="3">
        <v>-346.347</v>
      </c>
      <c r="F2696" s="4" t="str">
        <f>HYPERLINK("http://141.218.60.56/~jnz1568/getInfo.php?workbook=12_04.xlsx&amp;sheet=A0&amp;row=2696&amp;col=6&amp;number=0.00744&amp;sourceID=14","0.00744")</f>
        <v>0.00744</v>
      </c>
      <c r="G2696" s="4" t="str">
        <f>HYPERLINK("http://141.218.60.56/~jnz1568/getInfo.php?workbook=12_04.xlsx&amp;sheet=A0&amp;row=2696&amp;col=7&amp;number=0&amp;sourceID=14","0")</f>
        <v>0</v>
      </c>
    </row>
    <row r="2697" spans="1:7">
      <c r="A2697" s="3">
        <v>12</v>
      </c>
      <c r="B2697" s="3">
        <v>4</v>
      </c>
      <c r="C2697" s="3">
        <v>54</v>
      </c>
      <c r="D2697" s="3">
        <v>36</v>
      </c>
      <c r="E2697" s="3">
        <v>-346.291</v>
      </c>
      <c r="F2697" s="4" t="str">
        <f>HYPERLINK("http://141.218.60.56/~jnz1568/getInfo.php?workbook=12_04.xlsx&amp;sheet=A0&amp;row=2697&amp;col=6&amp;number=0.0492&amp;sourceID=14","0.0492")</f>
        <v>0.0492</v>
      </c>
      <c r="G2697" s="4" t="str">
        <f>HYPERLINK("http://141.218.60.56/~jnz1568/getInfo.php?workbook=12_04.xlsx&amp;sheet=A0&amp;row=2697&amp;col=7&amp;number=0&amp;sourceID=14","0")</f>
        <v>0</v>
      </c>
    </row>
    <row r="2698" spans="1:7">
      <c r="A2698" s="3">
        <v>12</v>
      </c>
      <c r="B2698" s="3">
        <v>4</v>
      </c>
      <c r="C2698" s="3">
        <v>55</v>
      </c>
      <c r="D2698" s="3">
        <v>36</v>
      </c>
      <c r="E2698" s="3">
        <v>-346.205</v>
      </c>
      <c r="F2698" s="4" t="str">
        <f>HYPERLINK("http://141.218.60.56/~jnz1568/getInfo.php?workbook=12_04.xlsx&amp;sheet=A0&amp;row=2698&amp;col=6&amp;number=286000000&amp;sourceID=14","286000000")</f>
        <v>286000000</v>
      </c>
      <c r="G2698" s="4" t="str">
        <f>HYPERLINK("http://141.218.60.56/~jnz1568/getInfo.php?workbook=12_04.xlsx&amp;sheet=A0&amp;row=2698&amp;col=7&amp;number=0&amp;sourceID=14","0")</f>
        <v>0</v>
      </c>
    </row>
    <row r="2699" spans="1:7">
      <c r="A2699" s="3">
        <v>12</v>
      </c>
      <c r="B2699" s="3">
        <v>4</v>
      </c>
      <c r="C2699" s="3">
        <v>56</v>
      </c>
      <c r="D2699" s="3">
        <v>36</v>
      </c>
      <c r="E2699" s="3">
        <v>-336.202</v>
      </c>
      <c r="F2699" s="4" t="str">
        <f>HYPERLINK("http://141.218.60.56/~jnz1568/getInfo.php?workbook=12_04.xlsx&amp;sheet=A0&amp;row=2699&amp;col=6&amp;number=0.109&amp;sourceID=14","0.109")</f>
        <v>0.109</v>
      </c>
      <c r="G2699" s="4" t="str">
        <f>HYPERLINK("http://141.218.60.56/~jnz1568/getInfo.php?workbook=12_04.xlsx&amp;sheet=A0&amp;row=2699&amp;col=7&amp;number=0&amp;sourceID=14","0")</f>
        <v>0</v>
      </c>
    </row>
    <row r="2700" spans="1:7">
      <c r="A2700" s="3">
        <v>12</v>
      </c>
      <c r="B2700" s="3">
        <v>4</v>
      </c>
      <c r="C2700" s="3">
        <v>57</v>
      </c>
      <c r="D2700" s="3">
        <v>36</v>
      </c>
      <c r="E2700" s="3">
        <v>-335.87</v>
      </c>
      <c r="F2700" s="4" t="str">
        <f>HYPERLINK("http://141.218.60.56/~jnz1568/getInfo.php?workbook=12_04.xlsx&amp;sheet=A0&amp;row=2700&amp;col=6&amp;number=31.9&amp;sourceID=14","31.9")</f>
        <v>31.9</v>
      </c>
      <c r="G2700" s="4" t="str">
        <f>HYPERLINK("http://141.218.60.56/~jnz1568/getInfo.php?workbook=12_04.xlsx&amp;sheet=A0&amp;row=2700&amp;col=7&amp;number=0&amp;sourceID=14","0")</f>
        <v>0</v>
      </c>
    </row>
    <row r="2701" spans="1:7">
      <c r="A2701" s="3">
        <v>12</v>
      </c>
      <c r="B2701" s="3">
        <v>4</v>
      </c>
      <c r="C2701" s="3">
        <v>58</v>
      </c>
      <c r="D2701" s="3">
        <v>36</v>
      </c>
      <c r="E2701" s="3">
        <v>-335.837</v>
      </c>
      <c r="F2701" s="4" t="str">
        <f>HYPERLINK("http://141.218.60.56/~jnz1568/getInfo.php?workbook=12_04.xlsx&amp;sheet=A0&amp;row=2701&amp;col=6&amp;number=497&amp;sourceID=14","497")</f>
        <v>497</v>
      </c>
      <c r="G2701" s="4" t="str">
        <f>HYPERLINK("http://141.218.60.56/~jnz1568/getInfo.php?workbook=12_04.xlsx&amp;sheet=A0&amp;row=2701&amp;col=7&amp;number=0&amp;sourceID=14","0")</f>
        <v>0</v>
      </c>
    </row>
    <row r="2702" spans="1:7">
      <c r="A2702" s="3">
        <v>12</v>
      </c>
      <c r="B2702" s="3">
        <v>4</v>
      </c>
      <c r="C2702" s="3">
        <v>59</v>
      </c>
      <c r="D2702" s="3">
        <v>36</v>
      </c>
      <c r="E2702" s="3">
        <v>-335.794</v>
      </c>
      <c r="F2702" s="4" t="str">
        <f>HYPERLINK("http://141.218.60.56/~jnz1568/getInfo.php?workbook=12_04.xlsx&amp;sheet=A0&amp;row=2702&amp;col=6&amp;number=1820&amp;sourceID=14","1820")</f>
        <v>1820</v>
      </c>
      <c r="G2702" s="4" t="str">
        <f>HYPERLINK("http://141.218.60.56/~jnz1568/getInfo.php?workbook=12_04.xlsx&amp;sheet=A0&amp;row=2702&amp;col=7&amp;number=0&amp;sourceID=14","0")</f>
        <v>0</v>
      </c>
    </row>
    <row r="2703" spans="1:7">
      <c r="A2703" s="3">
        <v>12</v>
      </c>
      <c r="B2703" s="3">
        <v>4</v>
      </c>
      <c r="C2703" s="3">
        <v>60</v>
      </c>
      <c r="D2703" s="3">
        <v>36</v>
      </c>
      <c r="E2703" s="3">
        <v>-332.97</v>
      </c>
      <c r="F2703" s="4" t="str">
        <f>HYPERLINK("http://141.218.60.56/~jnz1568/getInfo.php?workbook=12_04.xlsx&amp;sheet=A0&amp;row=2703&amp;col=6&amp;number=0.171&amp;sourceID=14","0.171")</f>
        <v>0.171</v>
      </c>
      <c r="G2703" s="4" t="str">
        <f>HYPERLINK("http://141.218.60.56/~jnz1568/getInfo.php?workbook=12_04.xlsx&amp;sheet=A0&amp;row=2703&amp;col=7&amp;number=0&amp;sourceID=14","0")</f>
        <v>0</v>
      </c>
    </row>
    <row r="2704" spans="1:7">
      <c r="A2704" s="3">
        <v>12</v>
      </c>
      <c r="B2704" s="3">
        <v>4</v>
      </c>
      <c r="C2704" s="3">
        <v>61</v>
      </c>
      <c r="D2704" s="3">
        <v>36</v>
      </c>
      <c r="E2704" s="3">
        <v>-240.364</v>
      </c>
      <c r="F2704" s="4" t="str">
        <f>HYPERLINK("http://141.218.60.56/~jnz1568/getInfo.php?workbook=12_04.xlsx&amp;sheet=A0&amp;row=2704&amp;col=6&amp;number=2.1e-06&amp;sourceID=14","2.1e-06")</f>
        <v>2.1e-06</v>
      </c>
      <c r="G2704" s="4" t="str">
        <f>HYPERLINK("http://141.218.60.56/~jnz1568/getInfo.php?workbook=12_04.xlsx&amp;sheet=A0&amp;row=2704&amp;col=7&amp;number=0&amp;sourceID=14","0")</f>
        <v>0</v>
      </c>
    </row>
    <row r="2705" spans="1:7">
      <c r="A2705" s="3">
        <v>12</v>
      </c>
      <c r="B2705" s="3">
        <v>4</v>
      </c>
      <c r="C2705" s="3">
        <v>62</v>
      </c>
      <c r="D2705" s="3">
        <v>36</v>
      </c>
      <c r="E2705" s="3">
        <v>-239.834</v>
      </c>
      <c r="F2705" s="4" t="str">
        <f>HYPERLINK("http://141.218.60.56/~jnz1568/getInfo.php?workbook=12_04.xlsx&amp;sheet=A0&amp;row=2705&amp;col=6&amp;number=0.000229&amp;sourceID=14","0.000229")</f>
        <v>0.000229</v>
      </c>
      <c r="G2705" s="4" t="str">
        <f>HYPERLINK("http://141.218.60.56/~jnz1568/getInfo.php?workbook=12_04.xlsx&amp;sheet=A0&amp;row=2705&amp;col=7&amp;number=0&amp;sourceID=14","0")</f>
        <v>0</v>
      </c>
    </row>
    <row r="2706" spans="1:7">
      <c r="A2706" s="3">
        <v>12</v>
      </c>
      <c r="B2706" s="3">
        <v>4</v>
      </c>
      <c r="C2706" s="3">
        <v>63</v>
      </c>
      <c r="D2706" s="3">
        <v>36</v>
      </c>
      <c r="E2706" s="3">
        <v>-238.132</v>
      </c>
      <c r="F2706" s="4" t="str">
        <f>HYPERLINK("http://141.218.60.56/~jnz1568/getInfo.php?workbook=12_04.xlsx&amp;sheet=A0&amp;row=2706&amp;col=6&amp;number=168000&amp;sourceID=14","168000")</f>
        <v>168000</v>
      </c>
      <c r="G2706" s="4" t="str">
        <f>HYPERLINK("http://141.218.60.56/~jnz1568/getInfo.php?workbook=12_04.xlsx&amp;sheet=A0&amp;row=2706&amp;col=7&amp;number=0&amp;sourceID=14","0")</f>
        <v>0</v>
      </c>
    </row>
    <row r="2707" spans="1:7">
      <c r="A2707" s="3">
        <v>12</v>
      </c>
      <c r="B2707" s="3">
        <v>4</v>
      </c>
      <c r="C2707" s="3">
        <v>64</v>
      </c>
      <c r="D2707" s="3">
        <v>36</v>
      </c>
      <c r="E2707" s="3">
        <v>-234.646</v>
      </c>
      <c r="F2707" s="4" t="str">
        <f>HYPERLINK("http://141.218.60.56/~jnz1568/getInfo.php?workbook=12_04.xlsx&amp;sheet=A0&amp;row=2707&amp;col=6&amp;number=0.00019&amp;sourceID=14","0.00019")</f>
        <v>0.00019</v>
      </c>
      <c r="G2707" s="4" t="str">
        <f>HYPERLINK("http://141.218.60.56/~jnz1568/getInfo.php?workbook=12_04.xlsx&amp;sheet=A0&amp;row=2707&amp;col=7&amp;number=0&amp;sourceID=14","0")</f>
        <v>0</v>
      </c>
    </row>
    <row r="2708" spans="1:7">
      <c r="A2708" s="3">
        <v>12</v>
      </c>
      <c r="B2708" s="3">
        <v>4</v>
      </c>
      <c r="C2708" s="3">
        <v>65</v>
      </c>
      <c r="D2708" s="3">
        <v>36</v>
      </c>
      <c r="E2708" s="3">
        <v>-230.574</v>
      </c>
      <c r="F2708" s="4" t="str">
        <f>HYPERLINK("http://141.218.60.56/~jnz1568/getInfo.php?workbook=12_04.xlsx&amp;sheet=A0&amp;row=2708&amp;col=6&amp;number=0.016&amp;sourceID=14","0.016")</f>
        <v>0.016</v>
      </c>
      <c r="G2708" s="4" t="str">
        <f>HYPERLINK("http://141.218.60.56/~jnz1568/getInfo.php?workbook=12_04.xlsx&amp;sheet=A0&amp;row=2708&amp;col=7&amp;number=0&amp;sourceID=14","0")</f>
        <v>0</v>
      </c>
    </row>
    <row r="2709" spans="1:7">
      <c r="A2709" s="3">
        <v>12</v>
      </c>
      <c r="B2709" s="3">
        <v>4</v>
      </c>
      <c r="C2709" s="3">
        <v>66</v>
      </c>
      <c r="D2709" s="3">
        <v>36</v>
      </c>
      <c r="E2709" s="3">
        <v>-229.225</v>
      </c>
      <c r="F2709" s="4" t="str">
        <f>HYPERLINK("http://141.218.60.56/~jnz1568/getInfo.php?workbook=12_04.xlsx&amp;sheet=A0&amp;row=2709&amp;col=6&amp;number=0.167&amp;sourceID=14","0.167")</f>
        <v>0.167</v>
      </c>
      <c r="G2709" s="4" t="str">
        <f>HYPERLINK("http://141.218.60.56/~jnz1568/getInfo.php?workbook=12_04.xlsx&amp;sheet=A0&amp;row=2709&amp;col=7&amp;number=0&amp;sourceID=14","0")</f>
        <v>0</v>
      </c>
    </row>
    <row r="2710" spans="1:7">
      <c r="A2710" s="3">
        <v>12</v>
      </c>
      <c r="B2710" s="3">
        <v>4</v>
      </c>
      <c r="C2710" s="3">
        <v>67</v>
      </c>
      <c r="D2710" s="3">
        <v>36</v>
      </c>
      <c r="E2710" s="3">
        <v>-228.988</v>
      </c>
      <c r="F2710" s="4" t="str">
        <f>HYPERLINK("http://141.218.60.56/~jnz1568/getInfo.php?workbook=12_04.xlsx&amp;sheet=A0&amp;row=2710&amp;col=6&amp;number=1.48&amp;sourceID=14","1.48")</f>
        <v>1.48</v>
      </c>
      <c r="G2710" s="4" t="str">
        <f>HYPERLINK("http://141.218.60.56/~jnz1568/getInfo.php?workbook=12_04.xlsx&amp;sheet=A0&amp;row=2710&amp;col=7&amp;number=0&amp;sourceID=14","0")</f>
        <v>0</v>
      </c>
    </row>
    <row r="2711" spans="1:7">
      <c r="A2711" s="3">
        <v>12</v>
      </c>
      <c r="B2711" s="3">
        <v>4</v>
      </c>
      <c r="C2711" s="3">
        <v>68</v>
      </c>
      <c r="D2711" s="3">
        <v>36</v>
      </c>
      <c r="E2711" s="3">
        <v>-227.716</v>
      </c>
      <c r="F2711" s="4" t="str">
        <f>HYPERLINK("http://141.218.60.56/~jnz1568/getInfo.php?workbook=12_04.xlsx&amp;sheet=A0&amp;row=2711&amp;col=6&amp;number=1710000000&amp;sourceID=14","1710000000")</f>
        <v>1710000000</v>
      </c>
      <c r="G2711" s="4" t="str">
        <f>HYPERLINK("http://141.218.60.56/~jnz1568/getInfo.php?workbook=12_04.xlsx&amp;sheet=A0&amp;row=2711&amp;col=7&amp;number=0&amp;sourceID=14","0")</f>
        <v>0</v>
      </c>
    </row>
    <row r="2712" spans="1:7">
      <c r="A2712" s="3">
        <v>12</v>
      </c>
      <c r="B2712" s="3">
        <v>4</v>
      </c>
      <c r="C2712" s="3">
        <v>69</v>
      </c>
      <c r="D2712" s="3">
        <v>36</v>
      </c>
      <c r="E2712" s="3">
        <v>-226.224</v>
      </c>
      <c r="F2712" s="4" t="str">
        <f>HYPERLINK("http://141.218.60.56/~jnz1568/getInfo.php?workbook=12_04.xlsx&amp;sheet=A0&amp;row=2712&amp;col=6&amp;number=0.531&amp;sourceID=14","0.531")</f>
        <v>0.531</v>
      </c>
      <c r="G2712" s="4" t="str">
        <f>HYPERLINK("http://141.218.60.56/~jnz1568/getInfo.php?workbook=12_04.xlsx&amp;sheet=A0&amp;row=2712&amp;col=7&amp;number=0&amp;sourceID=14","0")</f>
        <v>0</v>
      </c>
    </row>
    <row r="2713" spans="1:7">
      <c r="A2713" s="3">
        <v>12</v>
      </c>
      <c r="B2713" s="3">
        <v>4</v>
      </c>
      <c r="C2713" s="3">
        <v>71</v>
      </c>
      <c r="D2713" s="3">
        <v>36</v>
      </c>
      <c r="E2713" s="3">
        <v>-224.92</v>
      </c>
      <c r="F2713" s="4" t="str">
        <f>HYPERLINK("http://141.218.60.56/~jnz1568/getInfo.php?workbook=12_04.xlsx&amp;sheet=A0&amp;row=2713&amp;col=6&amp;number=10.7&amp;sourceID=14","10.7")</f>
        <v>10.7</v>
      </c>
      <c r="G2713" s="4" t="str">
        <f>HYPERLINK("http://141.218.60.56/~jnz1568/getInfo.php?workbook=12_04.xlsx&amp;sheet=A0&amp;row=2713&amp;col=7&amp;number=0&amp;sourceID=14","0")</f>
        <v>0</v>
      </c>
    </row>
    <row r="2714" spans="1:7">
      <c r="A2714" s="3">
        <v>12</v>
      </c>
      <c r="B2714" s="3">
        <v>4</v>
      </c>
      <c r="C2714" s="3">
        <v>72</v>
      </c>
      <c r="D2714" s="3">
        <v>36</v>
      </c>
      <c r="E2714" s="3">
        <v>-224.684</v>
      </c>
      <c r="F2714" s="4" t="str">
        <f>HYPERLINK("http://141.218.60.56/~jnz1568/getInfo.php?workbook=12_04.xlsx&amp;sheet=A0&amp;row=2714&amp;col=6&amp;number=5.97&amp;sourceID=14","5.97")</f>
        <v>5.97</v>
      </c>
      <c r="G2714" s="4" t="str">
        <f>HYPERLINK("http://141.218.60.56/~jnz1568/getInfo.php?workbook=12_04.xlsx&amp;sheet=A0&amp;row=2714&amp;col=7&amp;number=0&amp;sourceID=14","0")</f>
        <v>0</v>
      </c>
    </row>
    <row r="2715" spans="1:7">
      <c r="A2715" s="3">
        <v>12</v>
      </c>
      <c r="B2715" s="3">
        <v>4</v>
      </c>
      <c r="C2715" s="3">
        <v>73</v>
      </c>
      <c r="D2715" s="3">
        <v>36</v>
      </c>
      <c r="E2715" s="3">
        <v>-223.162</v>
      </c>
      <c r="F2715" s="4" t="str">
        <f>HYPERLINK("http://141.218.60.56/~jnz1568/getInfo.php?workbook=12_04.xlsx&amp;sheet=A0&amp;row=2715&amp;col=6&amp;number=1360&amp;sourceID=14","1360")</f>
        <v>1360</v>
      </c>
      <c r="G2715" s="4" t="str">
        <f>HYPERLINK("http://141.218.60.56/~jnz1568/getInfo.php?workbook=12_04.xlsx&amp;sheet=A0&amp;row=2715&amp;col=7&amp;number=0&amp;sourceID=14","0")</f>
        <v>0</v>
      </c>
    </row>
    <row r="2716" spans="1:7">
      <c r="A2716" s="3">
        <v>12</v>
      </c>
      <c r="B2716" s="3">
        <v>4</v>
      </c>
      <c r="C2716" s="3">
        <v>74</v>
      </c>
      <c r="D2716" s="3">
        <v>36</v>
      </c>
      <c r="E2716" s="3">
        <v>-222.215</v>
      </c>
      <c r="F2716" s="4" t="str">
        <f>HYPERLINK("http://141.218.60.56/~jnz1568/getInfo.php?workbook=12_04.xlsx&amp;sheet=A0&amp;row=2716&amp;col=6&amp;number=45200&amp;sourceID=14","45200")</f>
        <v>45200</v>
      </c>
      <c r="G2716" s="4" t="str">
        <f>HYPERLINK("http://141.218.60.56/~jnz1568/getInfo.php?workbook=12_04.xlsx&amp;sheet=A0&amp;row=2716&amp;col=7&amp;number=0&amp;sourceID=14","0")</f>
        <v>0</v>
      </c>
    </row>
    <row r="2717" spans="1:7">
      <c r="A2717" s="3">
        <v>12</v>
      </c>
      <c r="B2717" s="3">
        <v>4</v>
      </c>
      <c r="C2717" s="3">
        <v>75</v>
      </c>
      <c r="D2717" s="3">
        <v>36</v>
      </c>
      <c r="E2717" s="3">
        <v>-221.918</v>
      </c>
      <c r="F2717" s="4" t="str">
        <f>HYPERLINK("http://141.218.60.56/~jnz1568/getInfo.php?workbook=12_04.xlsx&amp;sheet=A0&amp;row=2717&amp;col=6&amp;number=769&amp;sourceID=14","769")</f>
        <v>769</v>
      </c>
      <c r="G2717" s="4" t="str">
        <f>HYPERLINK("http://141.218.60.56/~jnz1568/getInfo.php?workbook=12_04.xlsx&amp;sheet=A0&amp;row=2717&amp;col=7&amp;number=0&amp;sourceID=14","0")</f>
        <v>0</v>
      </c>
    </row>
    <row r="2718" spans="1:7">
      <c r="A2718" s="3">
        <v>12</v>
      </c>
      <c r="B2718" s="3">
        <v>4</v>
      </c>
      <c r="C2718" s="3">
        <v>76</v>
      </c>
      <c r="D2718" s="3">
        <v>36</v>
      </c>
      <c r="E2718" s="3">
        <v>-221.389</v>
      </c>
      <c r="F2718" s="4" t="str">
        <f>HYPERLINK("http://141.218.60.56/~jnz1568/getInfo.php?workbook=12_04.xlsx&amp;sheet=A0&amp;row=2718&amp;col=6&amp;number=1.57&amp;sourceID=14","1.57")</f>
        <v>1.57</v>
      </c>
      <c r="G2718" s="4" t="str">
        <f>HYPERLINK("http://141.218.60.56/~jnz1568/getInfo.php?workbook=12_04.xlsx&amp;sheet=A0&amp;row=2718&amp;col=7&amp;number=0&amp;sourceID=14","0")</f>
        <v>0</v>
      </c>
    </row>
    <row r="2719" spans="1:7">
      <c r="A2719" s="3">
        <v>12</v>
      </c>
      <c r="B2719" s="3">
        <v>4</v>
      </c>
      <c r="C2719" s="3">
        <v>77</v>
      </c>
      <c r="D2719" s="3">
        <v>36</v>
      </c>
      <c r="E2719" s="3">
        <v>-221.146</v>
      </c>
      <c r="F2719" s="4" t="str">
        <f>HYPERLINK("http://141.218.60.56/~jnz1568/getInfo.php?workbook=12_04.xlsx&amp;sheet=A0&amp;row=2719&amp;col=6&amp;number=326000&amp;sourceID=14","326000")</f>
        <v>326000</v>
      </c>
      <c r="G2719" s="4" t="str">
        <f>HYPERLINK("http://141.218.60.56/~jnz1568/getInfo.php?workbook=12_04.xlsx&amp;sheet=A0&amp;row=2719&amp;col=7&amp;number=0&amp;sourceID=14","0")</f>
        <v>0</v>
      </c>
    </row>
    <row r="2720" spans="1:7">
      <c r="A2720" s="3">
        <v>12</v>
      </c>
      <c r="B2720" s="3">
        <v>4</v>
      </c>
      <c r="C2720" s="3">
        <v>78</v>
      </c>
      <c r="D2720" s="3">
        <v>36</v>
      </c>
      <c r="E2720" s="3">
        <v>-219.686</v>
      </c>
      <c r="F2720" s="4" t="str">
        <f>HYPERLINK("http://141.218.60.56/~jnz1568/getInfo.php?workbook=12_04.xlsx&amp;sheet=A0&amp;row=2720&amp;col=6&amp;number=3.09e-05&amp;sourceID=14","3.09e-05")</f>
        <v>3.09e-05</v>
      </c>
      <c r="G2720" s="4" t="str">
        <f>HYPERLINK("http://141.218.60.56/~jnz1568/getInfo.php?workbook=12_04.xlsx&amp;sheet=A0&amp;row=2720&amp;col=7&amp;number=0&amp;sourceID=14","0")</f>
        <v>0</v>
      </c>
    </row>
    <row r="2721" spans="1:7">
      <c r="A2721" s="3">
        <v>12</v>
      </c>
      <c r="B2721" s="3">
        <v>4</v>
      </c>
      <c r="C2721" s="3">
        <v>79</v>
      </c>
      <c r="D2721" s="3">
        <v>36</v>
      </c>
      <c r="E2721" s="3">
        <v>-219.388</v>
      </c>
      <c r="F2721" s="4" t="str">
        <f>HYPERLINK("http://141.218.60.56/~jnz1568/getInfo.php?workbook=12_04.xlsx&amp;sheet=A0&amp;row=2721&amp;col=6&amp;number=15900&amp;sourceID=14","15900")</f>
        <v>15900</v>
      </c>
      <c r="G2721" s="4" t="str">
        <f>HYPERLINK("http://141.218.60.56/~jnz1568/getInfo.php?workbook=12_04.xlsx&amp;sheet=A0&amp;row=2721&amp;col=7&amp;number=0&amp;sourceID=14","0")</f>
        <v>0</v>
      </c>
    </row>
    <row r="2722" spans="1:7">
      <c r="A2722" s="3">
        <v>12</v>
      </c>
      <c r="B2722" s="3">
        <v>4</v>
      </c>
      <c r="C2722" s="3">
        <v>80</v>
      </c>
      <c r="D2722" s="3">
        <v>36</v>
      </c>
      <c r="E2722" s="3">
        <v>-218.792</v>
      </c>
      <c r="F2722" s="4" t="str">
        <f>HYPERLINK("http://141.218.60.56/~jnz1568/getInfo.php?workbook=12_04.xlsx&amp;sheet=A0&amp;row=2722&amp;col=6&amp;number=40900000&amp;sourceID=14","40900000")</f>
        <v>40900000</v>
      </c>
      <c r="G2722" s="4" t="str">
        <f>HYPERLINK("http://141.218.60.56/~jnz1568/getInfo.php?workbook=12_04.xlsx&amp;sheet=A0&amp;row=2722&amp;col=7&amp;number=0&amp;sourceID=14","0")</f>
        <v>0</v>
      </c>
    </row>
    <row r="2723" spans="1:7">
      <c r="A2723" s="3">
        <v>12</v>
      </c>
      <c r="B2723" s="3">
        <v>4</v>
      </c>
      <c r="C2723" s="3">
        <v>81</v>
      </c>
      <c r="D2723" s="3">
        <v>36</v>
      </c>
      <c r="E2723" s="3">
        <v>-218.78</v>
      </c>
      <c r="F2723" s="4" t="str">
        <f>HYPERLINK("http://141.218.60.56/~jnz1568/getInfo.php?workbook=12_04.xlsx&amp;sheet=A0&amp;row=2723&amp;col=6&amp;number=226000&amp;sourceID=14","226000")</f>
        <v>226000</v>
      </c>
      <c r="G2723" s="4" t="str">
        <f>HYPERLINK("http://141.218.60.56/~jnz1568/getInfo.php?workbook=12_04.xlsx&amp;sheet=A0&amp;row=2723&amp;col=7&amp;number=0&amp;sourceID=14","0")</f>
        <v>0</v>
      </c>
    </row>
    <row r="2724" spans="1:7">
      <c r="A2724" s="3">
        <v>12</v>
      </c>
      <c r="B2724" s="3">
        <v>4</v>
      </c>
      <c r="C2724" s="3">
        <v>82</v>
      </c>
      <c r="D2724" s="3">
        <v>36</v>
      </c>
      <c r="E2724" s="3">
        <v>-218.619</v>
      </c>
      <c r="F2724" s="4" t="str">
        <f>HYPERLINK("http://141.218.60.56/~jnz1568/getInfo.php?workbook=12_04.xlsx&amp;sheet=A0&amp;row=2724&amp;col=6&amp;number=0.453&amp;sourceID=14","0.453")</f>
        <v>0.453</v>
      </c>
      <c r="G2724" s="4" t="str">
        <f>HYPERLINK("http://141.218.60.56/~jnz1568/getInfo.php?workbook=12_04.xlsx&amp;sheet=A0&amp;row=2724&amp;col=7&amp;number=0&amp;sourceID=14","0")</f>
        <v>0</v>
      </c>
    </row>
    <row r="2725" spans="1:7">
      <c r="A2725" s="3">
        <v>12</v>
      </c>
      <c r="B2725" s="3">
        <v>4</v>
      </c>
      <c r="C2725" s="3">
        <v>83</v>
      </c>
      <c r="D2725" s="3">
        <v>36</v>
      </c>
      <c r="E2725" s="3">
        <v>-218.617</v>
      </c>
      <c r="F2725" s="4" t="str">
        <f>HYPERLINK("http://141.218.60.56/~jnz1568/getInfo.php?workbook=12_04.xlsx&amp;sheet=A0&amp;row=2725&amp;col=6&amp;number=321000000&amp;sourceID=14","321000000")</f>
        <v>321000000</v>
      </c>
      <c r="G2725" s="4" t="str">
        <f>HYPERLINK("http://141.218.60.56/~jnz1568/getInfo.php?workbook=12_04.xlsx&amp;sheet=A0&amp;row=2725&amp;col=7&amp;number=0&amp;sourceID=14","0")</f>
        <v>0</v>
      </c>
    </row>
    <row r="2726" spans="1:7">
      <c r="A2726" s="3">
        <v>12</v>
      </c>
      <c r="B2726" s="3">
        <v>4</v>
      </c>
      <c r="C2726" s="3">
        <v>84</v>
      </c>
      <c r="D2726" s="3">
        <v>36</v>
      </c>
      <c r="E2726" s="3">
        <v>-218.462</v>
      </c>
      <c r="F2726" s="4" t="str">
        <f>HYPERLINK("http://141.218.60.56/~jnz1568/getInfo.php?workbook=12_04.xlsx&amp;sheet=A0&amp;row=2726&amp;col=6&amp;number=3290000000&amp;sourceID=14","3290000000")</f>
        <v>3290000000</v>
      </c>
      <c r="G2726" s="4" t="str">
        <f>HYPERLINK("http://141.218.60.56/~jnz1568/getInfo.php?workbook=12_04.xlsx&amp;sheet=A0&amp;row=2726&amp;col=7&amp;number=0&amp;sourceID=14","0")</f>
        <v>0</v>
      </c>
    </row>
    <row r="2727" spans="1:7">
      <c r="A2727" s="3">
        <v>12</v>
      </c>
      <c r="B2727" s="3">
        <v>4</v>
      </c>
      <c r="C2727" s="3">
        <v>85</v>
      </c>
      <c r="D2727" s="3">
        <v>36</v>
      </c>
      <c r="E2727" s="3">
        <v>-217.759</v>
      </c>
      <c r="F2727" s="4" t="str">
        <f>HYPERLINK("http://141.218.60.56/~jnz1568/getInfo.php?workbook=12_04.xlsx&amp;sheet=A0&amp;row=2727&amp;col=6&amp;number=77000&amp;sourceID=14","77000")</f>
        <v>77000</v>
      </c>
      <c r="G2727" s="4" t="str">
        <f>HYPERLINK("http://141.218.60.56/~jnz1568/getInfo.php?workbook=12_04.xlsx&amp;sheet=A0&amp;row=2727&amp;col=7&amp;number=0&amp;sourceID=14","0")</f>
        <v>0</v>
      </c>
    </row>
    <row r="2728" spans="1:7">
      <c r="A2728" s="3">
        <v>12</v>
      </c>
      <c r="B2728" s="3">
        <v>4</v>
      </c>
      <c r="C2728" s="3">
        <v>86</v>
      </c>
      <c r="D2728" s="3">
        <v>36</v>
      </c>
      <c r="E2728" s="3">
        <v>-217.465</v>
      </c>
      <c r="F2728" s="4" t="str">
        <f>HYPERLINK("http://141.218.60.56/~jnz1568/getInfo.php?workbook=12_04.xlsx&amp;sheet=A0&amp;row=2728&amp;col=6&amp;number=0.000328&amp;sourceID=14","0.000328")</f>
        <v>0.000328</v>
      </c>
      <c r="G2728" s="4" t="str">
        <f>HYPERLINK("http://141.218.60.56/~jnz1568/getInfo.php?workbook=12_04.xlsx&amp;sheet=A0&amp;row=2728&amp;col=7&amp;number=0&amp;sourceID=14","0")</f>
        <v>0</v>
      </c>
    </row>
    <row r="2729" spans="1:7">
      <c r="A2729" s="3">
        <v>12</v>
      </c>
      <c r="B2729" s="3">
        <v>4</v>
      </c>
      <c r="C2729" s="3">
        <v>87</v>
      </c>
      <c r="D2729" s="3">
        <v>36</v>
      </c>
      <c r="E2729" s="3">
        <v>-217.308</v>
      </c>
      <c r="F2729" s="4" t="str">
        <f>HYPERLINK("http://141.218.60.56/~jnz1568/getInfo.php?workbook=12_04.xlsx&amp;sheet=A0&amp;row=2729&amp;col=6&amp;number=0.000401&amp;sourceID=14","0.000401")</f>
        <v>0.000401</v>
      </c>
      <c r="G2729" s="4" t="str">
        <f>HYPERLINK("http://141.218.60.56/~jnz1568/getInfo.php?workbook=12_04.xlsx&amp;sheet=A0&amp;row=2729&amp;col=7&amp;number=0&amp;sourceID=14","0")</f>
        <v>0</v>
      </c>
    </row>
    <row r="2730" spans="1:7">
      <c r="A2730" s="3">
        <v>12</v>
      </c>
      <c r="B2730" s="3">
        <v>4</v>
      </c>
      <c r="C2730" s="3">
        <v>88</v>
      </c>
      <c r="D2730" s="3">
        <v>36</v>
      </c>
      <c r="E2730" s="3">
        <v>-216.939</v>
      </c>
      <c r="F2730" s="4" t="str">
        <f>HYPERLINK("http://141.218.60.56/~jnz1568/getInfo.php?workbook=12_04.xlsx&amp;sheet=A0&amp;row=2730&amp;col=6&amp;number=432000000&amp;sourceID=14","432000000")</f>
        <v>432000000</v>
      </c>
      <c r="G2730" s="4" t="str">
        <f>HYPERLINK("http://141.218.60.56/~jnz1568/getInfo.php?workbook=12_04.xlsx&amp;sheet=A0&amp;row=2730&amp;col=7&amp;number=0&amp;sourceID=14","0")</f>
        <v>0</v>
      </c>
    </row>
    <row r="2731" spans="1:7">
      <c r="A2731" s="3">
        <v>12</v>
      </c>
      <c r="B2731" s="3">
        <v>4</v>
      </c>
      <c r="C2731" s="3">
        <v>89</v>
      </c>
      <c r="D2731" s="3">
        <v>36</v>
      </c>
      <c r="E2731" s="3">
        <v>-216.721</v>
      </c>
      <c r="F2731" s="4" t="str">
        <f>HYPERLINK("http://141.218.60.56/~jnz1568/getInfo.php?workbook=12_04.xlsx&amp;sheet=A0&amp;row=2731&amp;col=6&amp;number=13600000000&amp;sourceID=14","13600000000")</f>
        <v>13600000000</v>
      </c>
      <c r="G2731" s="4" t="str">
        <f>HYPERLINK("http://141.218.60.56/~jnz1568/getInfo.php?workbook=12_04.xlsx&amp;sheet=A0&amp;row=2731&amp;col=7&amp;number=0&amp;sourceID=14","0")</f>
        <v>0</v>
      </c>
    </row>
    <row r="2732" spans="1:7">
      <c r="A2732" s="3">
        <v>12</v>
      </c>
      <c r="B2732" s="3">
        <v>4</v>
      </c>
      <c r="C2732" s="3">
        <v>90</v>
      </c>
      <c r="D2732" s="3">
        <v>36</v>
      </c>
      <c r="E2732" s="3">
        <v>-216.078</v>
      </c>
      <c r="F2732" s="4" t="str">
        <f>HYPERLINK("http://141.218.60.56/~jnz1568/getInfo.php?workbook=12_04.xlsx&amp;sheet=A0&amp;row=2732&amp;col=6&amp;number=93100000000&amp;sourceID=14","93100000000")</f>
        <v>93100000000</v>
      </c>
      <c r="G2732" s="4" t="str">
        <f>HYPERLINK("http://141.218.60.56/~jnz1568/getInfo.php?workbook=12_04.xlsx&amp;sheet=A0&amp;row=2732&amp;col=7&amp;number=0&amp;sourceID=14","0")</f>
        <v>0</v>
      </c>
    </row>
    <row r="2733" spans="1:7">
      <c r="A2733" s="3">
        <v>12</v>
      </c>
      <c r="B2733" s="3">
        <v>4</v>
      </c>
      <c r="C2733" s="3">
        <v>91</v>
      </c>
      <c r="D2733" s="3">
        <v>36</v>
      </c>
      <c r="E2733" s="3">
        <v>-215.51</v>
      </c>
      <c r="F2733" s="4" t="str">
        <f>HYPERLINK("http://141.218.60.56/~jnz1568/getInfo.php?workbook=12_04.xlsx&amp;sheet=A0&amp;row=2733&amp;col=6&amp;number=699000000&amp;sourceID=14","699000000")</f>
        <v>699000000</v>
      </c>
      <c r="G2733" s="4" t="str">
        <f>HYPERLINK("http://141.218.60.56/~jnz1568/getInfo.php?workbook=12_04.xlsx&amp;sheet=A0&amp;row=2733&amp;col=7&amp;number=0&amp;sourceID=14","0")</f>
        <v>0</v>
      </c>
    </row>
    <row r="2734" spans="1:7">
      <c r="A2734" s="3">
        <v>12</v>
      </c>
      <c r="B2734" s="3">
        <v>4</v>
      </c>
      <c r="C2734" s="3">
        <v>92</v>
      </c>
      <c r="D2734" s="3">
        <v>36</v>
      </c>
      <c r="E2734" s="3">
        <v>-215.377</v>
      </c>
      <c r="F2734" s="4" t="str">
        <f>HYPERLINK("http://141.218.60.56/~jnz1568/getInfo.php?workbook=12_04.xlsx&amp;sheet=A0&amp;row=2734&amp;col=6&amp;number=308000000&amp;sourceID=14","308000000")</f>
        <v>308000000</v>
      </c>
      <c r="G2734" s="4" t="str">
        <f>HYPERLINK("http://141.218.60.56/~jnz1568/getInfo.php?workbook=12_04.xlsx&amp;sheet=A0&amp;row=2734&amp;col=7&amp;number=0&amp;sourceID=14","0")</f>
        <v>0</v>
      </c>
    </row>
    <row r="2735" spans="1:7">
      <c r="A2735" s="3">
        <v>12</v>
      </c>
      <c r="B2735" s="3">
        <v>4</v>
      </c>
      <c r="C2735" s="3">
        <v>93</v>
      </c>
      <c r="D2735" s="3">
        <v>36</v>
      </c>
      <c r="E2735" s="3">
        <v>-215.255</v>
      </c>
      <c r="F2735" s="4" t="str">
        <f>HYPERLINK("http://141.218.60.56/~jnz1568/getInfo.php?workbook=12_04.xlsx&amp;sheet=A0&amp;row=2735&amp;col=6&amp;number=3.06&amp;sourceID=14","3.06")</f>
        <v>3.06</v>
      </c>
      <c r="G2735" s="4" t="str">
        <f>HYPERLINK("http://141.218.60.56/~jnz1568/getInfo.php?workbook=12_04.xlsx&amp;sheet=A0&amp;row=2735&amp;col=7&amp;number=0&amp;sourceID=14","0")</f>
        <v>0</v>
      </c>
    </row>
    <row r="2736" spans="1:7">
      <c r="A2736" s="3">
        <v>12</v>
      </c>
      <c r="B2736" s="3">
        <v>4</v>
      </c>
      <c r="C2736" s="3">
        <v>94</v>
      </c>
      <c r="D2736" s="3">
        <v>36</v>
      </c>
      <c r="E2736" s="3">
        <v>-214.808</v>
      </c>
      <c r="F2736" s="4" t="str">
        <f>HYPERLINK("http://141.218.60.56/~jnz1568/getInfo.php?workbook=12_04.xlsx&amp;sheet=A0&amp;row=2736&amp;col=6&amp;number=0.401&amp;sourceID=14","0.401")</f>
        <v>0.401</v>
      </c>
      <c r="G2736" s="4" t="str">
        <f>HYPERLINK("http://141.218.60.56/~jnz1568/getInfo.php?workbook=12_04.xlsx&amp;sheet=A0&amp;row=2736&amp;col=7&amp;number=0&amp;sourceID=14","0")</f>
        <v>0</v>
      </c>
    </row>
    <row r="2737" spans="1:7">
      <c r="A2737" s="3">
        <v>12</v>
      </c>
      <c r="B2737" s="3">
        <v>4</v>
      </c>
      <c r="C2737" s="3">
        <v>96</v>
      </c>
      <c r="D2737" s="3">
        <v>36</v>
      </c>
      <c r="E2737" s="3">
        <v>-214.246</v>
      </c>
      <c r="F2737" s="4" t="str">
        <f>HYPERLINK("http://141.218.60.56/~jnz1568/getInfo.php?workbook=12_04.xlsx&amp;sheet=A0&amp;row=2737&amp;col=6&amp;number=0.462&amp;sourceID=14","0.462")</f>
        <v>0.462</v>
      </c>
      <c r="G2737" s="4" t="str">
        <f>HYPERLINK("http://141.218.60.56/~jnz1568/getInfo.php?workbook=12_04.xlsx&amp;sheet=A0&amp;row=2737&amp;col=7&amp;number=0&amp;sourceID=14","0")</f>
        <v>0</v>
      </c>
    </row>
    <row r="2738" spans="1:7">
      <c r="A2738" s="3">
        <v>12</v>
      </c>
      <c r="B2738" s="3">
        <v>4</v>
      </c>
      <c r="C2738" s="3">
        <v>97</v>
      </c>
      <c r="D2738" s="3">
        <v>36</v>
      </c>
      <c r="E2738" s="3">
        <v>-213.106</v>
      </c>
      <c r="F2738" s="4" t="str">
        <f>HYPERLINK("http://141.218.60.56/~jnz1568/getInfo.php?workbook=12_04.xlsx&amp;sheet=A0&amp;row=2738&amp;col=6&amp;number=165&amp;sourceID=14","165")</f>
        <v>165</v>
      </c>
      <c r="G2738" s="4" t="str">
        <f>HYPERLINK("http://141.218.60.56/~jnz1568/getInfo.php?workbook=12_04.xlsx&amp;sheet=A0&amp;row=2738&amp;col=7&amp;number=0&amp;sourceID=14","0")</f>
        <v>0</v>
      </c>
    </row>
    <row r="2739" spans="1:7">
      <c r="A2739" s="3">
        <v>12</v>
      </c>
      <c r="B2739" s="3">
        <v>4</v>
      </c>
      <c r="C2739" s="3">
        <v>98</v>
      </c>
      <c r="D2739" s="3">
        <v>36</v>
      </c>
      <c r="E2739" s="3">
        <v>-212.564</v>
      </c>
      <c r="F2739" s="4" t="str">
        <f>HYPERLINK("http://141.218.60.56/~jnz1568/getInfo.php?workbook=12_04.xlsx&amp;sheet=A0&amp;row=2739&amp;col=6&amp;number=6.04e-05&amp;sourceID=14","6.04e-05")</f>
        <v>6.04e-05</v>
      </c>
      <c r="G2739" s="4" t="str">
        <f>HYPERLINK("http://141.218.60.56/~jnz1568/getInfo.php?workbook=12_04.xlsx&amp;sheet=A0&amp;row=2739&amp;col=7&amp;number=0&amp;sourceID=14","0")</f>
        <v>0</v>
      </c>
    </row>
    <row r="2740" spans="1:7">
      <c r="A2740" s="3">
        <v>12</v>
      </c>
      <c r="B2740" s="3">
        <v>4</v>
      </c>
      <c r="C2740" s="3">
        <v>38</v>
      </c>
      <c r="D2740" s="3">
        <v>37</v>
      </c>
      <c r="E2740" s="3">
        <v>8733.641</v>
      </c>
      <c r="F2740" s="4" t="str">
        <f>HYPERLINK("http://141.218.60.56/~jnz1568/getInfo.php?workbook=12_04.xlsx&amp;sheet=A0&amp;row=2740&amp;col=6&amp;number=321&amp;sourceID=14","321")</f>
        <v>321</v>
      </c>
      <c r="G2740" s="4" t="str">
        <f>HYPERLINK("http://141.218.60.56/~jnz1568/getInfo.php?workbook=12_04.xlsx&amp;sheet=A0&amp;row=2740&amp;col=7&amp;number=0&amp;sourceID=14","0")</f>
        <v>0</v>
      </c>
    </row>
    <row r="2741" spans="1:7">
      <c r="A2741" s="3">
        <v>12</v>
      </c>
      <c r="B2741" s="3">
        <v>4</v>
      </c>
      <c r="C2741" s="3">
        <v>39</v>
      </c>
      <c r="D2741" s="3">
        <v>37</v>
      </c>
      <c r="E2741" s="3">
        <v>8340.299</v>
      </c>
      <c r="F2741" s="4" t="str">
        <f>HYPERLINK("http://141.218.60.56/~jnz1568/getInfo.php?workbook=12_04.xlsx&amp;sheet=A0&amp;row=2741&amp;col=6&amp;number=98.3&amp;sourceID=14","98.3")</f>
        <v>98.3</v>
      </c>
      <c r="G2741" s="4" t="str">
        <f>HYPERLINK("http://141.218.60.56/~jnz1568/getInfo.php?workbook=12_04.xlsx&amp;sheet=A0&amp;row=2741&amp;col=7&amp;number=0&amp;sourceID=14","0")</f>
        <v>0</v>
      </c>
    </row>
    <row r="2742" spans="1:7">
      <c r="A2742" s="3">
        <v>12</v>
      </c>
      <c r="B2742" s="3">
        <v>4</v>
      </c>
      <c r="C2742" s="3">
        <v>40</v>
      </c>
      <c r="D2742" s="3">
        <v>37</v>
      </c>
      <c r="E2742" s="3">
        <v>7698.244</v>
      </c>
      <c r="F2742" s="4" t="str">
        <f>HYPERLINK("http://141.218.60.56/~jnz1568/getInfo.php?workbook=12_04.xlsx&amp;sheet=A0&amp;row=2742&amp;col=6&amp;number=812&amp;sourceID=14","812")</f>
        <v>812</v>
      </c>
      <c r="G2742" s="4" t="str">
        <f>HYPERLINK("http://141.218.60.56/~jnz1568/getInfo.php?workbook=12_04.xlsx&amp;sheet=A0&amp;row=2742&amp;col=7&amp;number=0&amp;sourceID=14","0")</f>
        <v>0</v>
      </c>
    </row>
    <row r="2743" spans="1:7">
      <c r="A2743" s="3">
        <v>12</v>
      </c>
      <c r="B2743" s="3">
        <v>4</v>
      </c>
      <c r="C2743" s="3">
        <v>41</v>
      </c>
      <c r="D2743" s="3">
        <v>37</v>
      </c>
      <c r="E2743" s="3">
        <v>5167.968</v>
      </c>
      <c r="F2743" s="4" t="str">
        <f>HYPERLINK("http://141.218.60.56/~jnz1568/getInfo.php?workbook=12_04.xlsx&amp;sheet=A0&amp;row=2743&amp;col=6&amp;number=22400&amp;sourceID=14","22400")</f>
        <v>22400</v>
      </c>
      <c r="G2743" s="4" t="str">
        <f>HYPERLINK("http://141.218.60.56/~jnz1568/getInfo.php?workbook=12_04.xlsx&amp;sheet=A0&amp;row=2743&amp;col=7&amp;number=0&amp;sourceID=14","0")</f>
        <v>0</v>
      </c>
    </row>
    <row r="2744" spans="1:7">
      <c r="A2744" s="3">
        <v>12</v>
      </c>
      <c r="B2744" s="3">
        <v>4</v>
      </c>
      <c r="C2744" s="3">
        <v>42</v>
      </c>
      <c r="D2744" s="3">
        <v>37</v>
      </c>
      <c r="E2744" s="3">
        <v>4916.43</v>
      </c>
      <c r="F2744" s="4" t="str">
        <f>HYPERLINK("http://141.218.60.56/~jnz1568/getInfo.php?workbook=12_04.xlsx&amp;sheet=A0&amp;row=2744&amp;col=6&amp;number=22.4&amp;sourceID=14","22.4")</f>
        <v>22.4</v>
      </c>
      <c r="G2744" s="4" t="str">
        <f>HYPERLINK("http://141.218.60.56/~jnz1568/getInfo.php?workbook=12_04.xlsx&amp;sheet=A0&amp;row=2744&amp;col=7&amp;number=0&amp;sourceID=14","0")</f>
        <v>0</v>
      </c>
    </row>
    <row r="2745" spans="1:7">
      <c r="A2745" s="3">
        <v>12</v>
      </c>
      <c r="B2745" s="3">
        <v>4</v>
      </c>
      <c r="C2745" s="3">
        <v>43</v>
      </c>
      <c r="D2745" s="3">
        <v>37</v>
      </c>
      <c r="E2745" s="3">
        <v>4793.873</v>
      </c>
      <c r="F2745" s="4" t="str">
        <f>HYPERLINK("http://141.218.60.56/~jnz1568/getInfo.php?workbook=12_04.xlsx&amp;sheet=A0&amp;row=2745&amp;col=6&amp;number=6.14e-07&amp;sourceID=14","6.14e-07")</f>
        <v>6.14e-07</v>
      </c>
      <c r="G2745" s="4" t="str">
        <f>HYPERLINK("http://141.218.60.56/~jnz1568/getInfo.php?workbook=12_04.xlsx&amp;sheet=A0&amp;row=2745&amp;col=7&amp;number=0&amp;sourceID=14","0")</f>
        <v>0</v>
      </c>
    </row>
    <row r="2746" spans="1:7">
      <c r="A2746" s="3">
        <v>12</v>
      </c>
      <c r="B2746" s="3">
        <v>4</v>
      </c>
      <c r="C2746" s="3">
        <v>44</v>
      </c>
      <c r="D2746" s="3">
        <v>37</v>
      </c>
      <c r="E2746" s="3">
        <v>-3062.699</v>
      </c>
      <c r="F2746" s="4" t="str">
        <f>HYPERLINK("http://141.218.60.56/~jnz1568/getInfo.php?workbook=12_04.xlsx&amp;sheet=A0&amp;row=2746&amp;col=6&amp;number=15&amp;sourceID=14","15")</f>
        <v>15</v>
      </c>
      <c r="G2746" s="4" t="str">
        <f>HYPERLINK("http://141.218.60.56/~jnz1568/getInfo.php?workbook=12_04.xlsx&amp;sheet=A0&amp;row=2746&amp;col=7&amp;number=0&amp;sourceID=14","0")</f>
        <v>0</v>
      </c>
    </row>
    <row r="2747" spans="1:7">
      <c r="A2747" s="3">
        <v>12</v>
      </c>
      <c r="B2747" s="3">
        <v>4</v>
      </c>
      <c r="C2747" s="3">
        <v>45</v>
      </c>
      <c r="D2747" s="3">
        <v>37</v>
      </c>
      <c r="E2747" s="3">
        <v>2575.997</v>
      </c>
      <c r="F2747" s="4" t="str">
        <f>HYPERLINK("http://141.218.60.56/~jnz1568/getInfo.php?workbook=12_04.xlsx&amp;sheet=A0&amp;row=2747&amp;col=6&amp;number=66000000&amp;sourceID=14","66000000")</f>
        <v>66000000</v>
      </c>
      <c r="G2747" s="4" t="str">
        <f>HYPERLINK("http://141.218.60.56/~jnz1568/getInfo.php?workbook=12_04.xlsx&amp;sheet=A0&amp;row=2747&amp;col=7&amp;number=0&amp;sourceID=14","0")</f>
        <v>0</v>
      </c>
    </row>
    <row r="2748" spans="1:7">
      <c r="A2748" s="3">
        <v>12</v>
      </c>
      <c r="B2748" s="3">
        <v>4</v>
      </c>
      <c r="C2748" s="3">
        <v>46</v>
      </c>
      <c r="D2748" s="3">
        <v>37</v>
      </c>
      <c r="E2748" s="3">
        <v>2188.667</v>
      </c>
      <c r="F2748" s="4" t="str">
        <f>HYPERLINK("http://141.218.60.56/~jnz1568/getInfo.php?workbook=12_04.xlsx&amp;sheet=A0&amp;row=2748&amp;col=6&amp;number=6210000&amp;sourceID=14","6210000")</f>
        <v>6210000</v>
      </c>
      <c r="G2748" s="4" t="str">
        <f>HYPERLINK("http://141.218.60.56/~jnz1568/getInfo.php?workbook=12_04.xlsx&amp;sheet=A0&amp;row=2748&amp;col=7&amp;number=0&amp;sourceID=14","0")</f>
        <v>0</v>
      </c>
    </row>
    <row r="2749" spans="1:7">
      <c r="A2749" s="3">
        <v>12</v>
      </c>
      <c r="B2749" s="3">
        <v>4</v>
      </c>
      <c r="C2749" s="3">
        <v>47</v>
      </c>
      <c r="D2749" s="3">
        <v>37</v>
      </c>
      <c r="E2749" s="3">
        <v>-414.844</v>
      </c>
      <c r="F2749" s="4" t="str">
        <f>HYPERLINK("http://141.218.60.56/~jnz1568/getInfo.php?workbook=12_04.xlsx&amp;sheet=A0&amp;row=2749&amp;col=6&amp;number=0.0526&amp;sourceID=14","0.0526")</f>
        <v>0.0526</v>
      </c>
      <c r="G2749" s="4" t="str">
        <f>HYPERLINK("http://141.218.60.56/~jnz1568/getInfo.php?workbook=12_04.xlsx&amp;sheet=A0&amp;row=2749&amp;col=7&amp;number=0&amp;sourceID=14","0")</f>
        <v>0</v>
      </c>
    </row>
    <row r="2750" spans="1:7">
      <c r="A2750" s="3">
        <v>12</v>
      </c>
      <c r="B2750" s="3">
        <v>4</v>
      </c>
      <c r="C2750" s="3">
        <v>48</v>
      </c>
      <c r="D2750" s="3">
        <v>37</v>
      </c>
      <c r="E2750" s="3">
        <v>-398.209</v>
      </c>
      <c r="F2750" s="4" t="str">
        <f>HYPERLINK("http://141.218.60.56/~jnz1568/getInfo.php?workbook=12_04.xlsx&amp;sheet=A0&amp;row=2750&amp;col=6&amp;number=4870&amp;sourceID=14","4870")</f>
        <v>4870</v>
      </c>
      <c r="G2750" s="4" t="str">
        <f>HYPERLINK("http://141.218.60.56/~jnz1568/getInfo.php?workbook=12_04.xlsx&amp;sheet=A0&amp;row=2750&amp;col=7&amp;number=0&amp;sourceID=14","0")</f>
        <v>0</v>
      </c>
    </row>
    <row r="2751" spans="1:7">
      <c r="A2751" s="3">
        <v>12</v>
      </c>
      <c r="B2751" s="3">
        <v>4</v>
      </c>
      <c r="C2751" s="3">
        <v>49</v>
      </c>
      <c r="D2751" s="3">
        <v>37</v>
      </c>
      <c r="E2751" s="3">
        <v>-376.433</v>
      </c>
      <c r="F2751" s="4" t="str">
        <f>HYPERLINK("http://141.218.60.56/~jnz1568/getInfo.php?workbook=12_04.xlsx&amp;sheet=A0&amp;row=2751&amp;col=6&amp;number=0.0108&amp;sourceID=14","0.0108")</f>
        <v>0.0108</v>
      </c>
      <c r="G2751" s="4" t="str">
        <f>HYPERLINK("http://141.218.60.56/~jnz1568/getInfo.php?workbook=12_04.xlsx&amp;sheet=A0&amp;row=2751&amp;col=7&amp;number=0&amp;sourceID=14","0")</f>
        <v>0</v>
      </c>
    </row>
    <row r="2752" spans="1:7">
      <c r="A2752" s="3">
        <v>12</v>
      </c>
      <c r="B2752" s="3">
        <v>4</v>
      </c>
      <c r="C2752" s="3">
        <v>50</v>
      </c>
      <c r="D2752" s="3">
        <v>37</v>
      </c>
      <c r="E2752" s="3">
        <v>-376.269</v>
      </c>
      <c r="F2752" s="4" t="str">
        <f>HYPERLINK("http://141.218.60.56/~jnz1568/getInfo.php?workbook=12_04.xlsx&amp;sheet=A0&amp;row=2752&amp;col=6&amp;number=664000&amp;sourceID=14","664000")</f>
        <v>664000</v>
      </c>
      <c r="G2752" s="4" t="str">
        <f>HYPERLINK("http://141.218.60.56/~jnz1568/getInfo.php?workbook=12_04.xlsx&amp;sheet=A0&amp;row=2752&amp;col=7&amp;number=0&amp;sourceID=14","0")</f>
        <v>0</v>
      </c>
    </row>
    <row r="2753" spans="1:7">
      <c r="A2753" s="3">
        <v>12</v>
      </c>
      <c r="B2753" s="3">
        <v>4</v>
      </c>
      <c r="C2753" s="3">
        <v>51</v>
      </c>
      <c r="D2753" s="3">
        <v>37</v>
      </c>
      <c r="E2753" s="3">
        <v>-375.898</v>
      </c>
      <c r="F2753" s="4" t="str">
        <f>HYPERLINK("http://141.218.60.56/~jnz1568/getInfo.php?workbook=12_04.xlsx&amp;sheet=A0&amp;row=2753&amp;col=6&amp;number=38200&amp;sourceID=14","38200")</f>
        <v>38200</v>
      </c>
      <c r="G2753" s="4" t="str">
        <f>HYPERLINK("http://141.218.60.56/~jnz1568/getInfo.php?workbook=12_04.xlsx&amp;sheet=A0&amp;row=2753&amp;col=7&amp;number=0&amp;sourceID=14","0")</f>
        <v>0</v>
      </c>
    </row>
    <row r="2754" spans="1:7">
      <c r="A2754" s="3">
        <v>12</v>
      </c>
      <c r="B2754" s="3">
        <v>4</v>
      </c>
      <c r="C2754" s="3">
        <v>52</v>
      </c>
      <c r="D2754" s="3">
        <v>37</v>
      </c>
      <c r="E2754" s="3">
        <v>366.556</v>
      </c>
      <c r="F2754" s="4" t="str">
        <f>HYPERLINK("http://141.218.60.56/~jnz1568/getInfo.php?workbook=12_04.xlsx&amp;sheet=A0&amp;row=2754&amp;col=6&amp;number=262000000&amp;sourceID=14","262000000")</f>
        <v>262000000</v>
      </c>
      <c r="G2754" s="4" t="str">
        <f>HYPERLINK("http://141.218.60.56/~jnz1568/getInfo.php?workbook=12_04.xlsx&amp;sheet=A0&amp;row=2754&amp;col=7&amp;number=0&amp;sourceID=14","0")</f>
        <v>0</v>
      </c>
    </row>
    <row r="2755" spans="1:7">
      <c r="A2755" s="3">
        <v>12</v>
      </c>
      <c r="B2755" s="3">
        <v>4</v>
      </c>
      <c r="C2755" s="3">
        <v>53</v>
      </c>
      <c r="D2755" s="3">
        <v>37</v>
      </c>
      <c r="E2755" s="3">
        <v>351.989</v>
      </c>
      <c r="F2755" s="4" t="str">
        <f>HYPERLINK("http://141.218.60.56/~jnz1568/getInfo.php?workbook=12_04.xlsx&amp;sheet=A0&amp;row=2755&amp;col=6&amp;number=0.0443&amp;sourceID=14","0.0443")</f>
        <v>0.0443</v>
      </c>
      <c r="G2755" s="4" t="str">
        <f>HYPERLINK("http://141.218.60.56/~jnz1568/getInfo.php?workbook=12_04.xlsx&amp;sheet=A0&amp;row=2755&amp;col=7&amp;number=0&amp;sourceID=14","0")</f>
        <v>0</v>
      </c>
    </row>
    <row r="2756" spans="1:7">
      <c r="A2756" s="3">
        <v>12</v>
      </c>
      <c r="B2756" s="3">
        <v>4</v>
      </c>
      <c r="C2756" s="3">
        <v>54</v>
      </c>
      <c r="D2756" s="3">
        <v>37</v>
      </c>
      <c r="E2756" s="3">
        <v>351.989</v>
      </c>
      <c r="F2756" s="4" t="str">
        <f>HYPERLINK("http://141.218.60.56/~jnz1568/getInfo.php?workbook=12_04.xlsx&amp;sheet=A0&amp;row=2756&amp;col=6&amp;number=0.000609&amp;sourceID=14","0.000609")</f>
        <v>0.000609</v>
      </c>
      <c r="G2756" s="4" t="str">
        <f>HYPERLINK("http://141.218.60.56/~jnz1568/getInfo.php?workbook=12_04.xlsx&amp;sheet=A0&amp;row=2756&amp;col=7&amp;number=0&amp;sourceID=14","0")</f>
        <v>0</v>
      </c>
    </row>
    <row r="2757" spans="1:7">
      <c r="A2757" s="3">
        <v>12</v>
      </c>
      <c r="B2757" s="3">
        <v>4</v>
      </c>
      <c r="C2757" s="3">
        <v>55</v>
      </c>
      <c r="D2757" s="3">
        <v>37</v>
      </c>
      <c r="E2757" s="3">
        <v>351.89</v>
      </c>
      <c r="F2757" s="4" t="str">
        <f>HYPERLINK("http://141.218.60.56/~jnz1568/getInfo.php?workbook=12_04.xlsx&amp;sheet=A0&amp;row=2757&amp;col=6&amp;number=0.178&amp;sourceID=14","0.178")</f>
        <v>0.178</v>
      </c>
      <c r="G2757" s="4" t="str">
        <f>HYPERLINK("http://141.218.60.56/~jnz1568/getInfo.php?workbook=12_04.xlsx&amp;sheet=A0&amp;row=2757&amp;col=7&amp;number=0&amp;sourceID=14","0")</f>
        <v>0</v>
      </c>
    </row>
    <row r="2758" spans="1:7">
      <c r="A2758" s="3">
        <v>12</v>
      </c>
      <c r="B2758" s="3">
        <v>4</v>
      </c>
      <c r="C2758" s="3">
        <v>56</v>
      </c>
      <c r="D2758" s="3">
        <v>37</v>
      </c>
      <c r="E2758" s="3">
        <v>342.443</v>
      </c>
      <c r="F2758" s="4" t="str">
        <f>HYPERLINK("http://141.218.60.56/~jnz1568/getInfo.php?workbook=12_04.xlsx&amp;sheet=A0&amp;row=2758&amp;col=6&amp;number=114&amp;sourceID=14","114")</f>
        <v>114</v>
      </c>
      <c r="G2758" s="4" t="str">
        <f>HYPERLINK("http://141.218.60.56/~jnz1568/getInfo.php?workbook=12_04.xlsx&amp;sheet=A0&amp;row=2758&amp;col=7&amp;number=0&amp;sourceID=14","0")</f>
        <v>0</v>
      </c>
    </row>
    <row r="2759" spans="1:7">
      <c r="A2759" s="3">
        <v>12</v>
      </c>
      <c r="B2759" s="3">
        <v>4</v>
      </c>
      <c r="C2759" s="3">
        <v>57</v>
      </c>
      <c r="D2759" s="3">
        <v>37</v>
      </c>
      <c r="E2759" s="3">
        <v>-346.394</v>
      </c>
      <c r="F2759" s="4" t="str">
        <f>HYPERLINK("http://141.218.60.56/~jnz1568/getInfo.php?workbook=12_04.xlsx&amp;sheet=A0&amp;row=2759&amp;col=6&amp;number=58700&amp;sourceID=14","58700")</f>
        <v>58700</v>
      </c>
      <c r="G2759" s="4" t="str">
        <f>HYPERLINK("http://141.218.60.56/~jnz1568/getInfo.php?workbook=12_04.xlsx&amp;sheet=A0&amp;row=2759&amp;col=7&amp;number=0&amp;sourceID=14","0")</f>
        <v>0</v>
      </c>
    </row>
    <row r="2760" spans="1:7">
      <c r="A2760" s="3">
        <v>12</v>
      </c>
      <c r="B2760" s="3">
        <v>4</v>
      </c>
      <c r="C2760" s="3">
        <v>58</v>
      </c>
      <c r="D2760" s="3">
        <v>37</v>
      </c>
      <c r="E2760" s="3">
        <v>-346.359</v>
      </c>
      <c r="F2760" s="4" t="str">
        <f>HYPERLINK("http://141.218.60.56/~jnz1568/getInfo.php?workbook=12_04.xlsx&amp;sheet=A0&amp;row=2760&amp;col=6&amp;number=710000&amp;sourceID=14","710000")</f>
        <v>710000</v>
      </c>
      <c r="G2760" s="4" t="str">
        <f>HYPERLINK("http://141.218.60.56/~jnz1568/getInfo.php?workbook=12_04.xlsx&amp;sheet=A0&amp;row=2760&amp;col=7&amp;number=0&amp;sourceID=14","0")</f>
        <v>0</v>
      </c>
    </row>
    <row r="2761" spans="1:7">
      <c r="A2761" s="3">
        <v>12</v>
      </c>
      <c r="B2761" s="3">
        <v>4</v>
      </c>
      <c r="C2761" s="3">
        <v>59</v>
      </c>
      <c r="D2761" s="3">
        <v>37</v>
      </c>
      <c r="E2761" s="3">
        <v>-346.314</v>
      </c>
      <c r="F2761" s="4" t="str">
        <f>HYPERLINK("http://141.218.60.56/~jnz1568/getInfo.php?workbook=12_04.xlsx&amp;sheet=A0&amp;row=2761&amp;col=6&amp;number=0.214&amp;sourceID=14","0.214")</f>
        <v>0.214</v>
      </c>
      <c r="G2761" s="4" t="str">
        <f>HYPERLINK("http://141.218.60.56/~jnz1568/getInfo.php?workbook=12_04.xlsx&amp;sheet=A0&amp;row=2761&amp;col=7&amp;number=0&amp;sourceID=14","0")</f>
        <v>0</v>
      </c>
    </row>
    <row r="2762" spans="1:7">
      <c r="A2762" s="3">
        <v>12</v>
      </c>
      <c r="B2762" s="3">
        <v>4</v>
      </c>
      <c r="C2762" s="3">
        <v>60</v>
      </c>
      <c r="D2762" s="3">
        <v>37</v>
      </c>
      <c r="E2762" s="3">
        <v>-343.31</v>
      </c>
      <c r="F2762" s="4" t="str">
        <f>HYPERLINK("http://141.218.60.56/~jnz1568/getInfo.php?workbook=12_04.xlsx&amp;sheet=A0&amp;row=2762&amp;col=6&amp;number=1100000000&amp;sourceID=14","1100000000")</f>
        <v>1100000000</v>
      </c>
      <c r="G2762" s="4" t="str">
        <f>HYPERLINK("http://141.218.60.56/~jnz1568/getInfo.php?workbook=12_04.xlsx&amp;sheet=A0&amp;row=2762&amp;col=7&amp;number=0&amp;sourceID=14","0")</f>
        <v>0</v>
      </c>
    </row>
    <row r="2763" spans="1:7">
      <c r="A2763" s="3">
        <v>12</v>
      </c>
      <c r="B2763" s="3">
        <v>4</v>
      </c>
      <c r="C2763" s="3">
        <v>61</v>
      </c>
      <c r="D2763" s="3">
        <v>37</v>
      </c>
      <c r="E2763" s="3">
        <v>-245.706</v>
      </c>
      <c r="F2763" s="4" t="str">
        <f>HYPERLINK("http://141.218.60.56/~jnz1568/getInfo.php?workbook=12_04.xlsx&amp;sheet=A0&amp;row=2763&amp;col=6&amp;number=10.5&amp;sourceID=14","10.5")</f>
        <v>10.5</v>
      </c>
      <c r="G2763" s="4" t="str">
        <f>HYPERLINK("http://141.218.60.56/~jnz1568/getInfo.php?workbook=12_04.xlsx&amp;sheet=A0&amp;row=2763&amp;col=7&amp;number=0&amp;sourceID=14","0")</f>
        <v>0</v>
      </c>
    </row>
    <row r="2764" spans="1:7">
      <c r="A2764" s="3">
        <v>12</v>
      </c>
      <c r="B2764" s="3">
        <v>4</v>
      </c>
      <c r="C2764" s="3">
        <v>62</v>
      </c>
      <c r="D2764" s="3">
        <v>37</v>
      </c>
      <c r="E2764" s="3">
        <v>-245.153</v>
      </c>
      <c r="F2764" s="4" t="str">
        <f>HYPERLINK("http://141.218.60.56/~jnz1568/getInfo.php?workbook=12_04.xlsx&amp;sheet=A0&amp;row=2764&amp;col=6&amp;number=301000000&amp;sourceID=14","301000000")</f>
        <v>301000000</v>
      </c>
      <c r="G2764" s="4" t="str">
        <f>HYPERLINK("http://141.218.60.56/~jnz1568/getInfo.php?workbook=12_04.xlsx&amp;sheet=A0&amp;row=2764&amp;col=7&amp;number=0&amp;sourceID=14","0")</f>
        <v>0</v>
      </c>
    </row>
    <row r="2765" spans="1:7">
      <c r="A2765" s="3">
        <v>12</v>
      </c>
      <c r="B2765" s="3">
        <v>4</v>
      </c>
      <c r="C2765" s="3">
        <v>63</v>
      </c>
      <c r="D2765" s="3">
        <v>37</v>
      </c>
      <c r="E2765" s="3">
        <v>-243.375</v>
      </c>
      <c r="F2765" s="4" t="str">
        <f>HYPERLINK("http://141.218.60.56/~jnz1568/getInfo.php?workbook=12_04.xlsx&amp;sheet=A0&amp;row=2765&amp;col=6&amp;number=18000000&amp;sourceID=14","18000000")</f>
        <v>18000000</v>
      </c>
      <c r="G2765" s="4" t="str">
        <f>HYPERLINK("http://141.218.60.56/~jnz1568/getInfo.php?workbook=12_04.xlsx&amp;sheet=A0&amp;row=2765&amp;col=7&amp;number=0&amp;sourceID=14","0")</f>
        <v>0</v>
      </c>
    </row>
    <row r="2766" spans="1:7">
      <c r="A2766" s="3">
        <v>12</v>
      </c>
      <c r="B2766" s="3">
        <v>4</v>
      </c>
      <c r="C2766" s="3">
        <v>64</v>
      </c>
      <c r="D2766" s="3">
        <v>37</v>
      </c>
      <c r="E2766" s="3">
        <v>-239.735</v>
      </c>
      <c r="F2766" s="4" t="str">
        <f>HYPERLINK("http://141.218.60.56/~jnz1568/getInfo.php?workbook=12_04.xlsx&amp;sheet=A0&amp;row=2766&amp;col=6&amp;number=13000000000&amp;sourceID=14","13000000000")</f>
        <v>13000000000</v>
      </c>
      <c r="G2766" s="4" t="str">
        <f>HYPERLINK("http://141.218.60.56/~jnz1568/getInfo.php?workbook=12_04.xlsx&amp;sheet=A0&amp;row=2766&amp;col=7&amp;number=0&amp;sourceID=14","0")</f>
        <v>0</v>
      </c>
    </row>
    <row r="2767" spans="1:7">
      <c r="A2767" s="3">
        <v>12</v>
      </c>
      <c r="B2767" s="3">
        <v>4</v>
      </c>
      <c r="C2767" s="3">
        <v>65</v>
      </c>
      <c r="D2767" s="3">
        <v>37</v>
      </c>
      <c r="E2767" s="3">
        <v>-235.486</v>
      </c>
      <c r="F2767" s="4" t="str">
        <f>HYPERLINK("http://141.218.60.56/~jnz1568/getInfo.php?workbook=12_04.xlsx&amp;sheet=A0&amp;row=2767&amp;col=6&amp;number=804000&amp;sourceID=14","804000")</f>
        <v>804000</v>
      </c>
      <c r="G2767" s="4" t="str">
        <f>HYPERLINK("http://141.218.60.56/~jnz1568/getInfo.php?workbook=12_04.xlsx&amp;sheet=A0&amp;row=2767&amp;col=7&amp;number=0&amp;sourceID=14","0")</f>
        <v>0</v>
      </c>
    </row>
    <row r="2768" spans="1:7">
      <c r="A2768" s="3">
        <v>12</v>
      </c>
      <c r="B2768" s="3">
        <v>4</v>
      </c>
      <c r="C2768" s="3">
        <v>66</v>
      </c>
      <c r="D2768" s="3">
        <v>37</v>
      </c>
      <c r="E2768" s="3">
        <v>-234.079</v>
      </c>
      <c r="F2768" s="4" t="str">
        <f>HYPERLINK("http://141.218.60.56/~jnz1568/getInfo.php?workbook=12_04.xlsx&amp;sheet=A0&amp;row=2768&amp;col=6&amp;number=386000&amp;sourceID=14","386000")</f>
        <v>386000</v>
      </c>
      <c r="G2768" s="4" t="str">
        <f>HYPERLINK("http://141.218.60.56/~jnz1568/getInfo.php?workbook=12_04.xlsx&amp;sheet=A0&amp;row=2768&amp;col=7&amp;number=0&amp;sourceID=14","0")</f>
        <v>0</v>
      </c>
    </row>
    <row r="2769" spans="1:7">
      <c r="A2769" s="3">
        <v>12</v>
      </c>
      <c r="B2769" s="3">
        <v>4</v>
      </c>
      <c r="C2769" s="3">
        <v>67</v>
      </c>
      <c r="D2769" s="3">
        <v>37</v>
      </c>
      <c r="E2769" s="3">
        <v>-233.832</v>
      </c>
      <c r="F2769" s="4" t="str">
        <f>HYPERLINK("http://141.218.60.56/~jnz1568/getInfo.php?workbook=12_04.xlsx&amp;sheet=A0&amp;row=2769&amp;col=6&amp;number=1140&amp;sourceID=14","1140")</f>
        <v>1140</v>
      </c>
      <c r="G2769" s="4" t="str">
        <f>HYPERLINK("http://141.218.60.56/~jnz1568/getInfo.php?workbook=12_04.xlsx&amp;sheet=A0&amp;row=2769&amp;col=7&amp;number=0&amp;sourceID=14","0")</f>
        <v>0</v>
      </c>
    </row>
    <row r="2770" spans="1:7">
      <c r="A2770" s="3">
        <v>12</v>
      </c>
      <c r="B2770" s="3">
        <v>4</v>
      </c>
      <c r="C2770" s="3">
        <v>68</v>
      </c>
      <c r="D2770" s="3">
        <v>37</v>
      </c>
      <c r="E2770" s="3">
        <v>230.489</v>
      </c>
      <c r="F2770" s="4" t="str">
        <f>HYPERLINK("http://141.218.60.56/~jnz1568/getInfo.php?workbook=12_04.xlsx&amp;sheet=A0&amp;row=2770&amp;col=6&amp;number=1080&amp;sourceID=14","1080")</f>
        <v>1080</v>
      </c>
      <c r="G2770" s="4" t="str">
        <f>HYPERLINK("http://141.218.60.56/~jnz1568/getInfo.php?workbook=12_04.xlsx&amp;sheet=A0&amp;row=2770&amp;col=7&amp;number=0&amp;sourceID=14","0")</f>
        <v>0</v>
      </c>
    </row>
    <row r="2771" spans="1:7">
      <c r="A2771" s="3">
        <v>12</v>
      </c>
      <c r="B2771" s="3">
        <v>4</v>
      </c>
      <c r="C2771" s="3">
        <v>69</v>
      </c>
      <c r="D2771" s="3">
        <v>37</v>
      </c>
      <c r="E2771" s="3">
        <v>-230.951</v>
      </c>
      <c r="F2771" s="4" t="str">
        <f>HYPERLINK("http://141.218.60.56/~jnz1568/getInfo.php?workbook=12_04.xlsx&amp;sheet=A0&amp;row=2771&amp;col=6&amp;number=78800&amp;sourceID=14","78800")</f>
        <v>78800</v>
      </c>
      <c r="G2771" s="4" t="str">
        <f>HYPERLINK("http://141.218.60.56/~jnz1568/getInfo.php?workbook=12_04.xlsx&amp;sheet=A0&amp;row=2771&amp;col=7&amp;number=0&amp;sourceID=14","0")</f>
        <v>0</v>
      </c>
    </row>
    <row r="2772" spans="1:7">
      <c r="A2772" s="3">
        <v>12</v>
      </c>
      <c r="B2772" s="3">
        <v>4</v>
      </c>
      <c r="C2772" s="3">
        <v>70</v>
      </c>
      <c r="D2772" s="3">
        <v>37</v>
      </c>
      <c r="E2772" s="3">
        <v>-230.614</v>
      </c>
      <c r="F2772" s="4" t="str">
        <f>HYPERLINK("http://141.218.60.56/~jnz1568/getInfo.php?workbook=12_04.xlsx&amp;sheet=A0&amp;row=2772&amp;col=6&amp;number=1400&amp;sourceID=14","1400")</f>
        <v>1400</v>
      </c>
      <c r="G2772" s="4" t="str">
        <f>HYPERLINK("http://141.218.60.56/~jnz1568/getInfo.php?workbook=12_04.xlsx&amp;sheet=A0&amp;row=2772&amp;col=7&amp;number=0&amp;sourceID=14","0")</f>
        <v>0</v>
      </c>
    </row>
    <row r="2773" spans="1:7">
      <c r="A2773" s="3">
        <v>12</v>
      </c>
      <c r="B2773" s="3">
        <v>4</v>
      </c>
      <c r="C2773" s="3">
        <v>71</v>
      </c>
      <c r="D2773" s="3">
        <v>37</v>
      </c>
      <c r="E2773" s="3">
        <v>-229.591</v>
      </c>
      <c r="F2773" s="4" t="str">
        <f>HYPERLINK("http://141.218.60.56/~jnz1568/getInfo.php?workbook=12_04.xlsx&amp;sheet=A0&amp;row=2773&amp;col=6&amp;number=1710&amp;sourceID=14","1710")</f>
        <v>1710</v>
      </c>
      <c r="G2773" s="4" t="str">
        <f>HYPERLINK("http://141.218.60.56/~jnz1568/getInfo.php?workbook=12_04.xlsx&amp;sheet=A0&amp;row=2773&amp;col=7&amp;number=0&amp;sourceID=14","0")</f>
        <v>0</v>
      </c>
    </row>
    <row r="2774" spans="1:7">
      <c r="A2774" s="3">
        <v>12</v>
      </c>
      <c r="B2774" s="3">
        <v>4</v>
      </c>
      <c r="C2774" s="3">
        <v>72</v>
      </c>
      <c r="D2774" s="3">
        <v>37</v>
      </c>
      <c r="E2774" s="3">
        <v>227.542</v>
      </c>
      <c r="F2774" s="4" t="str">
        <f>HYPERLINK("http://141.218.60.56/~jnz1568/getInfo.php?workbook=12_04.xlsx&amp;sheet=A0&amp;row=2774&amp;col=6&amp;number=12300&amp;sourceID=14","12300")</f>
        <v>12300</v>
      </c>
      <c r="G2774" s="4" t="str">
        <f>HYPERLINK("http://141.218.60.56/~jnz1568/getInfo.php?workbook=12_04.xlsx&amp;sheet=A0&amp;row=2774&amp;col=7&amp;number=0&amp;sourceID=14","0")</f>
        <v>0</v>
      </c>
    </row>
    <row r="2775" spans="1:7">
      <c r="A2775" s="3">
        <v>12</v>
      </c>
      <c r="B2775" s="3">
        <v>4</v>
      </c>
      <c r="C2775" s="3">
        <v>73</v>
      </c>
      <c r="D2775" s="3">
        <v>37</v>
      </c>
      <c r="E2775" s="3">
        <v>-227.76</v>
      </c>
      <c r="F2775" s="4" t="str">
        <f>HYPERLINK("http://141.218.60.56/~jnz1568/getInfo.php?workbook=12_04.xlsx&amp;sheet=A0&amp;row=2775&amp;col=6&amp;number=3460000000&amp;sourceID=14","3460000000")</f>
        <v>3460000000</v>
      </c>
      <c r="G2775" s="4" t="str">
        <f>HYPERLINK("http://141.218.60.56/~jnz1568/getInfo.php?workbook=12_04.xlsx&amp;sheet=A0&amp;row=2775&amp;col=7&amp;number=0&amp;sourceID=14","0")</f>
        <v>0</v>
      </c>
    </row>
    <row r="2776" spans="1:7">
      <c r="A2776" s="3">
        <v>12</v>
      </c>
      <c r="B2776" s="3">
        <v>4</v>
      </c>
      <c r="C2776" s="3">
        <v>74</v>
      </c>
      <c r="D2776" s="3">
        <v>37</v>
      </c>
      <c r="E2776" s="3">
        <v>-226.773</v>
      </c>
      <c r="F2776" s="4" t="str">
        <f>HYPERLINK("http://141.218.60.56/~jnz1568/getInfo.php?workbook=12_04.xlsx&amp;sheet=A0&amp;row=2776&amp;col=6&amp;number=108000000&amp;sourceID=14","108000000")</f>
        <v>108000000</v>
      </c>
      <c r="G2776" s="4" t="str">
        <f>HYPERLINK("http://141.218.60.56/~jnz1568/getInfo.php?workbook=12_04.xlsx&amp;sheet=A0&amp;row=2776&amp;col=7&amp;number=0&amp;sourceID=14","0")</f>
        <v>0</v>
      </c>
    </row>
    <row r="2777" spans="1:7">
      <c r="A2777" s="3">
        <v>12</v>
      </c>
      <c r="B2777" s="3">
        <v>4</v>
      </c>
      <c r="C2777" s="3">
        <v>75</v>
      </c>
      <c r="D2777" s="3">
        <v>37</v>
      </c>
      <c r="E2777" s="3">
        <v>224.548</v>
      </c>
      <c r="F2777" s="4" t="str">
        <f>HYPERLINK("http://141.218.60.56/~jnz1568/getInfo.php?workbook=12_04.xlsx&amp;sheet=A0&amp;row=2777&amp;col=6&amp;number=8570000000&amp;sourceID=14","8570000000")</f>
        <v>8570000000</v>
      </c>
      <c r="G2777" s="4" t="str">
        <f>HYPERLINK("http://141.218.60.56/~jnz1568/getInfo.php?workbook=12_04.xlsx&amp;sheet=A0&amp;row=2777&amp;col=7&amp;number=0&amp;sourceID=14","0")</f>
        <v>0</v>
      </c>
    </row>
    <row r="2778" spans="1:7">
      <c r="A2778" s="3">
        <v>12</v>
      </c>
      <c r="B2778" s="3">
        <v>4</v>
      </c>
      <c r="C2778" s="3">
        <v>76</v>
      </c>
      <c r="D2778" s="3">
        <v>37</v>
      </c>
      <c r="E2778" s="3">
        <v>224.613</v>
      </c>
      <c r="F2778" s="4" t="str">
        <f>HYPERLINK("http://141.218.60.56/~jnz1568/getInfo.php?workbook=12_04.xlsx&amp;sheet=A0&amp;row=2778&amp;col=6&amp;number=622000&amp;sourceID=14","622000")</f>
        <v>622000</v>
      </c>
      <c r="G2778" s="4" t="str">
        <f>HYPERLINK("http://141.218.60.56/~jnz1568/getInfo.php?workbook=12_04.xlsx&amp;sheet=A0&amp;row=2778&amp;col=7&amp;number=0&amp;sourceID=14","0")</f>
        <v>0</v>
      </c>
    </row>
    <row r="2779" spans="1:7">
      <c r="A2779" s="3">
        <v>12</v>
      </c>
      <c r="B2779" s="3">
        <v>4</v>
      </c>
      <c r="C2779" s="3">
        <v>77</v>
      </c>
      <c r="D2779" s="3">
        <v>37</v>
      </c>
      <c r="E2779" s="3">
        <v>-225.66</v>
      </c>
      <c r="F2779" s="4" t="str">
        <f>HYPERLINK("http://141.218.60.56/~jnz1568/getInfo.php?workbook=12_04.xlsx&amp;sheet=A0&amp;row=2779&amp;col=6&amp;number=44.6&amp;sourceID=14","44.6")</f>
        <v>44.6</v>
      </c>
      <c r="G2779" s="4" t="str">
        <f>HYPERLINK("http://141.218.60.56/~jnz1568/getInfo.php?workbook=12_04.xlsx&amp;sheet=A0&amp;row=2779&amp;col=7&amp;number=0&amp;sourceID=14","0")</f>
        <v>0</v>
      </c>
    </row>
    <row r="2780" spans="1:7">
      <c r="A2780" s="3">
        <v>12</v>
      </c>
      <c r="B2780" s="3">
        <v>4</v>
      </c>
      <c r="C2780" s="3">
        <v>78</v>
      </c>
      <c r="D2780" s="3">
        <v>37</v>
      </c>
      <c r="E2780" s="3">
        <v>-224.141</v>
      </c>
      <c r="F2780" s="4" t="str">
        <f>HYPERLINK("http://141.218.60.56/~jnz1568/getInfo.php?workbook=12_04.xlsx&amp;sheet=A0&amp;row=2780&amp;col=6&amp;number=4160000&amp;sourceID=14","4160000")</f>
        <v>4160000</v>
      </c>
      <c r="G2780" s="4" t="str">
        <f>HYPERLINK("http://141.218.60.56/~jnz1568/getInfo.php?workbook=12_04.xlsx&amp;sheet=A0&amp;row=2780&amp;col=7&amp;number=0&amp;sourceID=14","0")</f>
        <v>0</v>
      </c>
    </row>
    <row r="2781" spans="1:7">
      <c r="A2781" s="3">
        <v>12</v>
      </c>
      <c r="B2781" s="3">
        <v>4</v>
      </c>
      <c r="C2781" s="3">
        <v>79</v>
      </c>
      <c r="D2781" s="3">
        <v>37</v>
      </c>
      <c r="E2781" s="3">
        <v>-223.83</v>
      </c>
      <c r="F2781" s="4" t="str">
        <f>HYPERLINK("http://141.218.60.56/~jnz1568/getInfo.php?workbook=12_04.xlsx&amp;sheet=A0&amp;row=2781&amp;col=6&amp;number=573000000&amp;sourceID=14","573000000")</f>
        <v>573000000</v>
      </c>
      <c r="G2781" s="4" t="str">
        <f>HYPERLINK("http://141.218.60.56/~jnz1568/getInfo.php?workbook=12_04.xlsx&amp;sheet=A0&amp;row=2781&amp;col=7&amp;number=0&amp;sourceID=14","0")</f>
        <v>0</v>
      </c>
    </row>
    <row r="2782" spans="1:7">
      <c r="A2782" s="3">
        <v>12</v>
      </c>
      <c r="B2782" s="3">
        <v>4</v>
      </c>
      <c r="C2782" s="3">
        <v>80</v>
      </c>
      <c r="D2782" s="3">
        <v>37</v>
      </c>
      <c r="E2782" s="3">
        <v>-223.21</v>
      </c>
      <c r="F2782" s="4" t="str">
        <f>HYPERLINK("http://141.218.60.56/~jnz1568/getInfo.php?workbook=12_04.xlsx&amp;sheet=A0&amp;row=2782&amp;col=6&amp;number=939000&amp;sourceID=14","939000")</f>
        <v>939000</v>
      </c>
      <c r="G2782" s="4" t="str">
        <f>HYPERLINK("http://141.218.60.56/~jnz1568/getInfo.php?workbook=12_04.xlsx&amp;sheet=A0&amp;row=2782&amp;col=7&amp;number=0&amp;sourceID=14","0")</f>
        <v>0</v>
      </c>
    </row>
    <row r="2783" spans="1:7">
      <c r="A2783" s="3">
        <v>12</v>
      </c>
      <c r="B2783" s="3">
        <v>4</v>
      </c>
      <c r="C2783" s="3">
        <v>81</v>
      </c>
      <c r="D2783" s="3">
        <v>37</v>
      </c>
      <c r="E2783" s="3">
        <v>221.054</v>
      </c>
      <c r="F2783" s="4" t="str">
        <f>HYPERLINK("http://141.218.60.56/~jnz1568/getInfo.php?workbook=12_04.xlsx&amp;sheet=A0&amp;row=2783&amp;col=6&amp;number=7250000&amp;sourceID=14","7250000")</f>
        <v>7250000</v>
      </c>
      <c r="G2783" s="4" t="str">
        <f>HYPERLINK("http://141.218.60.56/~jnz1568/getInfo.php?workbook=12_04.xlsx&amp;sheet=A0&amp;row=2783&amp;col=7&amp;number=0&amp;sourceID=14","0")</f>
        <v>0</v>
      </c>
    </row>
    <row r="2784" spans="1:7">
      <c r="A2784" s="3">
        <v>12</v>
      </c>
      <c r="B2784" s="3">
        <v>4</v>
      </c>
      <c r="C2784" s="3">
        <v>82</v>
      </c>
      <c r="D2784" s="3">
        <v>37</v>
      </c>
      <c r="E2784" s="3">
        <v>-223.03</v>
      </c>
      <c r="F2784" s="4" t="str">
        <f>HYPERLINK("http://141.218.60.56/~jnz1568/getInfo.php?workbook=12_04.xlsx&amp;sheet=A0&amp;row=2784&amp;col=6&amp;number=642&amp;sourceID=14","642")</f>
        <v>642</v>
      </c>
      <c r="G2784" s="4" t="str">
        <f>HYPERLINK("http://141.218.60.56/~jnz1568/getInfo.php?workbook=12_04.xlsx&amp;sheet=A0&amp;row=2784&amp;col=7&amp;number=0&amp;sourceID=14","0")</f>
        <v>0</v>
      </c>
    </row>
    <row r="2785" spans="1:7">
      <c r="A2785" s="3">
        <v>12</v>
      </c>
      <c r="B2785" s="3">
        <v>4</v>
      </c>
      <c r="C2785" s="3">
        <v>83</v>
      </c>
      <c r="D2785" s="3">
        <v>37</v>
      </c>
      <c r="E2785" s="3">
        <v>-223.028</v>
      </c>
      <c r="F2785" s="4" t="str">
        <f>HYPERLINK("http://141.218.60.56/~jnz1568/getInfo.php?workbook=12_04.xlsx&amp;sheet=A0&amp;row=2785&amp;col=6&amp;number=9980&amp;sourceID=14","9980")</f>
        <v>9980</v>
      </c>
      <c r="G2785" s="4" t="str">
        <f>HYPERLINK("http://141.218.60.56/~jnz1568/getInfo.php?workbook=12_04.xlsx&amp;sheet=A0&amp;row=2785&amp;col=7&amp;number=0&amp;sourceID=14","0")</f>
        <v>0</v>
      </c>
    </row>
    <row r="2786" spans="1:7">
      <c r="A2786" s="3">
        <v>12</v>
      </c>
      <c r="B2786" s="3">
        <v>4</v>
      </c>
      <c r="C2786" s="3">
        <v>84</v>
      </c>
      <c r="D2786" s="3">
        <v>37</v>
      </c>
      <c r="E2786" s="3">
        <v>-222.866</v>
      </c>
      <c r="F2786" s="4" t="str">
        <f>HYPERLINK("http://141.218.60.56/~jnz1568/getInfo.php?workbook=12_04.xlsx&amp;sheet=A0&amp;row=2786&amp;col=6&amp;number=172000&amp;sourceID=14","172000")</f>
        <v>172000</v>
      </c>
      <c r="G2786" s="4" t="str">
        <f>HYPERLINK("http://141.218.60.56/~jnz1568/getInfo.php?workbook=12_04.xlsx&amp;sheet=A0&amp;row=2786&amp;col=7&amp;number=0&amp;sourceID=14","0")</f>
        <v>0</v>
      </c>
    </row>
    <row r="2787" spans="1:7">
      <c r="A2787" s="3">
        <v>12</v>
      </c>
      <c r="B2787" s="3">
        <v>4</v>
      </c>
      <c r="C2787" s="3">
        <v>85</v>
      </c>
      <c r="D2787" s="3">
        <v>37</v>
      </c>
      <c r="E2787" s="3">
        <v>220.469</v>
      </c>
      <c r="F2787" s="4" t="str">
        <f>HYPERLINK("http://141.218.60.56/~jnz1568/getInfo.php?workbook=12_04.xlsx&amp;sheet=A0&amp;row=2787&amp;col=6&amp;number=357000000&amp;sourceID=14","357000000")</f>
        <v>357000000</v>
      </c>
      <c r="G2787" s="4" t="str">
        <f>HYPERLINK("http://141.218.60.56/~jnz1568/getInfo.php?workbook=12_04.xlsx&amp;sheet=A0&amp;row=2787&amp;col=7&amp;number=0&amp;sourceID=14","0")</f>
        <v>0</v>
      </c>
    </row>
    <row r="2788" spans="1:7">
      <c r="A2788" s="3">
        <v>12</v>
      </c>
      <c r="B2788" s="3">
        <v>4</v>
      </c>
      <c r="C2788" s="3">
        <v>86</v>
      </c>
      <c r="D2788" s="3">
        <v>37</v>
      </c>
      <c r="E2788" s="3">
        <v>220.216</v>
      </c>
      <c r="F2788" s="4" t="str">
        <f>HYPERLINK("http://141.218.60.56/~jnz1568/getInfo.php?workbook=12_04.xlsx&amp;sheet=A0&amp;row=2788&amp;col=6&amp;number=8400000&amp;sourceID=14","8400000")</f>
        <v>8400000</v>
      </c>
      <c r="G2788" s="4" t="str">
        <f>HYPERLINK("http://141.218.60.56/~jnz1568/getInfo.php?workbook=12_04.xlsx&amp;sheet=A0&amp;row=2788&amp;col=7&amp;number=0&amp;sourceID=14","0")</f>
        <v>0</v>
      </c>
    </row>
    <row r="2789" spans="1:7">
      <c r="A2789" s="3">
        <v>12</v>
      </c>
      <c r="B2789" s="3">
        <v>4</v>
      </c>
      <c r="C2789" s="3">
        <v>87</v>
      </c>
      <c r="D2789" s="3">
        <v>37</v>
      </c>
      <c r="E2789" s="3">
        <v>-221.666</v>
      </c>
      <c r="F2789" s="4" t="str">
        <f>HYPERLINK("http://141.218.60.56/~jnz1568/getInfo.php?workbook=12_04.xlsx&amp;sheet=A0&amp;row=2789&amp;col=6&amp;number=0.968&amp;sourceID=14","0.968")</f>
        <v>0.968</v>
      </c>
      <c r="G2789" s="4" t="str">
        <f>HYPERLINK("http://141.218.60.56/~jnz1568/getInfo.php?workbook=12_04.xlsx&amp;sheet=A0&amp;row=2789&amp;col=7&amp;number=0&amp;sourceID=14","0")</f>
        <v>0</v>
      </c>
    </row>
    <row r="2790" spans="1:7">
      <c r="A2790" s="3">
        <v>12</v>
      </c>
      <c r="B2790" s="3">
        <v>4</v>
      </c>
      <c r="C2790" s="3">
        <v>88</v>
      </c>
      <c r="D2790" s="3">
        <v>37</v>
      </c>
      <c r="E2790" s="3">
        <v>-221.281</v>
      </c>
      <c r="F2790" s="4" t="str">
        <f>HYPERLINK("http://141.218.60.56/~jnz1568/getInfo.php?workbook=12_04.xlsx&amp;sheet=A0&amp;row=2790&amp;col=6&amp;number=224000&amp;sourceID=14","224000")</f>
        <v>224000</v>
      </c>
      <c r="G2790" s="4" t="str">
        <f>HYPERLINK("http://141.218.60.56/~jnz1568/getInfo.php?workbook=12_04.xlsx&amp;sheet=A0&amp;row=2790&amp;col=7&amp;number=0&amp;sourceID=14","0")</f>
        <v>0</v>
      </c>
    </row>
    <row r="2791" spans="1:7">
      <c r="A2791" s="3">
        <v>12</v>
      </c>
      <c r="B2791" s="3">
        <v>4</v>
      </c>
      <c r="C2791" s="3">
        <v>89</v>
      </c>
      <c r="D2791" s="3">
        <v>37</v>
      </c>
      <c r="E2791" s="3">
        <v>-221.055</v>
      </c>
      <c r="F2791" s="4" t="str">
        <f>HYPERLINK("http://141.218.60.56/~jnz1568/getInfo.php?workbook=12_04.xlsx&amp;sheet=A0&amp;row=2791&amp;col=6&amp;number=298000&amp;sourceID=14","298000")</f>
        <v>298000</v>
      </c>
      <c r="G2791" s="4" t="str">
        <f>HYPERLINK("http://141.218.60.56/~jnz1568/getInfo.php?workbook=12_04.xlsx&amp;sheet=A0&amp;row=2791&amp;col=7&amp;number=0&amp;sourceID=14","0")</f>
        <v>0</v>
      </c>
    </row>
    <row r="2792" spans="1:7">
      <c r="A2792" s="3">
        <v>12</v>
      </c>
      <c r="B2792" s="3">
        <v>4</v>
      </c>
      <c r="C2792" s="3">
        <v>90</v>
      </c>
      <c r="D2792" s="3">
        <v>37</v>
      </c>
      <c r="E2792" s="3">
        <v>-220.386</v>
      </c>
      <c r="F2792" s="4" t="str">
        <f>HYPERLINK("http://141.218.60.56/~jnz1568/getInfo.php?workbook=12_04.xlsx&amp;sheet=A0&amp;row=2792&amp;col=6&amp;number=0.00442&amp;sourceID=14","0.00442")</f>
        <v>0.00442</v>
      </c>
      <c r="G2792" s="4" t="str">
        <f>HYPERLINK("http://141.218.60.56/~jnz1568/getInfo.php?workbook=12_04.xlsx&amp;sheet=A0&amp;row=2792&amp;col=7&amp;number=0&amp;sourceID=14","0")</f>
        <v>0</v>
      </c>
    </row>
    <row r="2793" spans="1:7">
      <c r="A2793" s="3">
        <v>12</v>
      </c>
      <c r="B2793" s="3">
        <v>4</v>
      </c>
      <c r="C2793" s="3">
        <v>91</v>
      </c>
      <c r="D2793" s="3">
        <v>37</v>
      </c>
      <c r="E2793" s="3">
        <v>-219.795</v>
      </c>
      <c r="F2793" s="4" t="str">
        <f>HYPERLINK("http://141.218.60.56/~jnz1568/getInfo.php?workbook=12_04.xlsx&amp;sheet=A0&amp;row=2793&amp;col=6&amp;number=86500&amp;sourceID=14","86500")</f>
        <v>86500</v>
      </c>
      <c r="G2793" s="4" t="str">
        <f>HYPERLINK("http://141.218.60.56/~jnz1568/getInfo.php?workbook=12_04.xlsx&amp;sheet=A0&amp;row=2793&amp;col=7&amp;number=0&amp;sourceID=14","0")</f>
        <v>0</v>
      </c>
    </row>
    <row r="2794" spans="1:7">
      <c r="A2794" s="3">
        <v>12</v>
      </c>
      <c r="B2794" s="3">
        <v>4</v>
      </c>
      <c r="C2794" s="3">
        <v>92</v>
      </c>
      <c r="D2794" s="3">
        <v>37</v>
      </c>
      <c r="E2794" s="3">
        <v>-219.657</v>
      </c>
      <c r="F2794" s="4" t="str">
        <f>HYPERLINK("http://141.218.60.56/~jnz1568/getInfo.php?workbook=12_04.xlsx&amp;sheet=A0&amp;row=2794&amp;col=6&amp;number=3280000&amp;sourceID=14","3280000")</f>
        <v>3280000</v>
      </c>
      <c r="G2794" s="4" t="str">
        <f>HYPERLINK("http://141.218.60.56/~jnz1568/getInfo.php?workbook=12_04.xlsx&amp;sheet=A0&amp;row=2794&amp;col=7&amp;number=0&amp;sourceID=14","0")</f>
        <v>0</v>
      </c>
    </row>
    <row r="2795" spans="1:7">
      <c r="A2795" s="3">
        <v>12</v>
      </c>
      <c r="B2795" s="3">
        <v>4</v>
      </c>
      <c r="C2795" s="3">
        <v>93</v>
      </c>
      <c r="D2795" s="3">
        <v>37</v>
      </c>
      <c r="E2795" s="3">
        <v>-219.53</v>
      </c>
      <c r="F2795" s="4" t="str">
        <f>HYPERLINK("http://141.218.60.56/~jnz1568/getInfo.php?workbook=12_04.xlsx&amp;sheet=A0&amp;row=2795&amp;col=6&amp;number=5740&amp;sourceID=14","5740")</f>
        <v>5740</v>
      </c>
      <c r="G2795" s="4" t="str">
        <f>HYPERLINK("http://141.218.60.56/~jnz1568/getInfo.php?workbook=12_04.xlsx&amp;sheet=A0&amp;row=2795&amp;col=7&amp;number=0&amp;sourceID=14","0")</f>
        <v>0</v>
      </c>
    </row>
    <row r="2796" spans="1:7">
      <c r="A2796" s="3">
        <v>12</v>
      </c>
      <c r="B2796" s="3">
        <v>4</v>
      </c>
      <c r="C2796" s="3">
        <v>94</v>
      </c>
      <c r="D2796" s="3">
        <v>37</v>
      </c>
      <c r="E2796" s="3">
        <v>-219.065</v>
      </c>
      <c r="F2796" s="4" t="str">
        <f>HYPERLINK("http://141.218.60.56/~jnz1568/getInfo.php?workbook=12_04.xlsx&amp;sheet=A0&amp;row=2796&amp;col=6&amp;number=1070&amp;sourceID=14","1070")</f>
        <v>1070</v>
      </c>
      <c r="G2796" s="4" t="str">
        <f>HYPERLINK("http://141.218.60.56/~jnz1568/getInfo.php?workbook=12_04.xlsx&amp;sheet=A0&amp;row=2796&amp;col=7&amp;number=0&amp;sourceID=14","0")</f>
        <v>0</v>
      </c>
    </row>
    <row r="2797" spans="1:7">
      <c r="A2797" s="3">
        <v>12</v>
      </c>
      <c r="B2797" s="3">
        <v>4</v>
      </c>
      <c r="C2797" s="3">
        <v>95</v>
      </c>
      <c r="D2797" s="3">
        <v>37</v>
      </c>
      <c r="E2797" s="3">
        <v>-218.761</v>
      </c>
      <c r="F2797" s="4" t="str">
        <f>HYPERLINK("http://141.218.60.56/~jnz1568/getInfo.php?workbook=12_04.xlsx&amp;sheet=A0&amp;row=2797&amp;col=6&amp;number=1400000&amp;sourceID=14","1400000")</f>
        <v>1400000</v>
      </c>
      <c r="G2797" s="4" t="str">
        <f>HYPERLINK("http://141.218.60.56/~jnz1568/getInfo.php?workbook=12_04.xlsx&amp;sheet=A0&amp;row=2797&amp;col=7&amp;number=0&amp;sourceID=14","0")</f>
        <v>0</v>
      </c>
    </row>
    <row r="2798" spans="1:7">
      <c r="A2798" s="3">
        <v>12</v>
      </c>
      <c r="B2798" s="3">
        <v>4</v>
      </c>
      <c r="C2798" s="3">
        <v>96</v>
      </c>
      <c r="D2798" s="3">
        <v>37</v>
      </c>
      <c r="E2798" s="3">
        <v>-218.48</v>
      </c>
      <c r="F2798" s="4" t="str">
        <f>HYPERLINK("http://141.218.60.56/~jnz1568/getInfo.php?workbook=12_04.xlsx&amp;sheet=A0&amp;row=2798&amp;col=6&amp;number=123000&amp;sourceID=14","123000")</f>
        <v>123000</v>
      </c>
      <c r="G2798" s="4" t="str">
        <f>HYPERLINK("http://141.218.60.56/~jnz1568/getInfo.php?workbook=12_04.xlsx&amp;sheet=A0&amp;row=2798&amp;col=7&amp;number=0&amp;sourceID=14","0")</f>
        <v>0</v>
      </c>
    </row>
    <row r="2799" spans="1:7">
      <c r="A2799" s="3">
        <v>12</v>
      </c>
      <c r="B2799" s="3">
        <v>4</v>
      </c>
      <c r="C2799" s="3">
        <v>97</v>
      </c>
      <c r="D2799" s="3">
        <v>37</v>
      </c>
      <c r="E2799" s="3">
        <v>217.061</v>
      </c>
      <c r="F2799" s="4" t="str">
        <f>HYPERLINK("http://141.218.60.56/~jnz1568/getInfo.php?workbook=12_04.xlsx&amp;sheet=A0&amp;row=2799&amp;col=6&amp;number=42700000000&amp;sourceID=14","42700000000")</f>
        <v>42700000000</v>
      </c>
      <c r="G2799" s="4" t="str">
        <f>HYPERLINK("http://141.218.60.56/~jnz1568/getInfo.php?workbook=12_04.xlsx&amp;sheet=A0&amp;row=2799&amp;col=7&amp;number=0&amp;sourceID=14","0")</f>
        <v>0</v>
      </c>
    </row>
    <row r="2800" spans="1:7">
      <c r="A2800" s="3">
        <v>12</v>
      </c>
      <c r="B2800" s="3">
        <v>4</v>
      </c>
      <c r="C2800" s="3">
        <v>98</v>
      </c>
      <c r="D2800" s="3">
        <v>37</v>
      </c>
      <c r="E2800" s="3">
        <v>216.245</v>
      </c>
      <c r="F2800" s="4" t="str">
        <f>HYPERLINK("http://141.218.60.56/~jnz1568/getInfo.php?workbook=12_04.xlsx&amp;sheet=A0&amp;row=2800&amp;col=6&amp;number=517000000&amp;sourceID=14","517000000")</f>
        <v>517000000</v>
      </c>
      <c r="G2800" s="4" t="str">
        <f>HYPERLINK("http://141.218.60.56/~jnz1568/getInfo.php?workbook=12_04.xlsx&amp;sheet=A0&amp;row=2800&amp;col=7&amp;number=0&amp;sourceID=14","0")</f>
        <v>0</v>
      </c>
    </row>
    <row r="2801" spans="1:7">
      <c r="A2801" s="3">
        <v>12</v>
      </c>
      <c r="B2801" s="3">
        <v>4</v>
      </c>
      <c r="C2801" s="3">
        <v>39</v>
      </c>
      <c r="D2801" s="3">
        <v>38</v>
      </c>
      <c r="E2801" s="3">
        <v>185185.531</v>
      </c>
      <c r="F2801" s="4" t="str">
        <f>HYPERLINK("http://141.218.60.56/~jnz1568/getInfo.php?workbook=12_04.xlsx&amp;sheet=A0&amp;row=2801&amp;col=6&amp;number=0.00374&amp;sourceID=14","0.00374")</f>
        <v>0.00374</v>
      </c>
      <c r="G2801" s="4" t="str">
        <f>HYPERLINK("http://141.218.60.56/~jnz1568/getInfo.php?workbook=12_04.xlsx&amp;sheet=A0&amp;row=2801&amp;col=7&amp;number=0&amp;sourceID=14","0")</f>
        <v>0</v>
      </c>
    </row>
    <row r="2802" spans="1:7">
      <c r="A2802" s="3">
        <v>12</v>
      </c>
      <c r="B2802" s="3">
        <v>4</v>
      </c>
      <c r="C2802" s="3">
        <v>40</v>
      </c>
      <c r="D2802" s="3">
        <v>38</v>
      </c>
      <c r="E2802" s="3">
        <v>64935.184</v>
      </c>
      <c r="F2802" s="4" t="str">
        <f>HYPERLINK("http://141.218.60.56/~jnz1568/getInfo.php?workbook=12_04.xlsx&amp;sheet=A0&amp;row=2802&amp;col=6&amp;number=5.71e-10&amp;sourceID=14","5.71e-10")</f>
        <v>5.71e-10</v>
      </c>
      <c r="G2802" s="4" t="str">
        <f>HYPERLINK("http://141.218.60.56/~jnz1568/getInfo.php?workbook=12_04.xlsx&amp;sheet=A0&amp;row=2802&amp;col=7&amp;number=0&amp;sourceID=14","0")</f>
        <v>0</v>
      </c>
    </row>
    <row r="2803" spans="1:7">
      <c r="A2803" s="3">
        <v>12</v>
      </c>
      <c r="B2803" s="3">
        <v>4</v>
      </c>
      <c r="C2803" s="3">
        <v>41</v>
      </c>
      <c r="D2803" s="3">
        <v>38</v>
      </c>
      <c r="E2803" s="3">
        <v>12658.251</v>
      </c>
      <c r="F2803" s="4" t="str">
        <f>HYPERLINK("http://141.218.60.56/~jnz1568/getInfo.php?workbook=12_04.xlsx&amp;sheet=A0&amp;row=2803&amp;col=6&amp;number=0.102&amp;sourceID=14","0.102")</f>
        <v>0.102</v>
      </c>
      <c r="G2803" s="4" t="str">
        <f>HYPERLINK("http://141.218.60.56/~jnz1568/getInfo.php?workbook=12_04.xlsx&amp;sheet=A0&amp;row=2803&amp;col=7&amp;number=0&amp;sourceID=14","0")</f>
        <v>0</v>
      </c>
    </row>
    <row r="2804" spans="1:7">
      <c r="A2804" s="3">
        <v>12</v>
      </c>
      <c r="B2804" s="3">
        <v>4</v>
      </c>
      <c r="C2804" s="3">
        <v>42</v>
      </c>
      <c r="D2804" s="3">
        <v>38</v>
      </c>
      <c r="E2804" s="3">
        <v>11248.614</v>
      </c>
      <c r="F2804" s="4" t="str">
        <f>HYPERLINK("http://141.218.60.56/~jnz1568/getInfo.php?workbook=12_04.xlsx&amp;sheet=A0&amp;row=2804&amp;col=6&amp;number=0.559&amp;sourceID=14","0.559")</f>
        <v>0.559</v>
      </c>
      <c r="G2804" s="4" t="str">
        <f>HYPERLINK("http://141.218.60.56/~jnz1568/getInfo.php?workbook=12_04.xlsx&amp;sheet=A0&amp;row=2804&amp;col=7&amp;number=0&amp;sourceID=14","0")</f>
        <v>0</v>
      </c>
    </row>
    <row r="2805" spans="1:7">
      <c r="A2805" s="3">
        <v>12</v>
      </c>
      <c r="B2805" s="3">
        <v>4</v>
      </c>
      <c r="C2805" s="3">
        <v>43</v>
      </c>
      <c r="D2805" s="3">
        <v>38</v>
      </c>
      <c r="E2805" s="3">
        <v>10627.012</v>
      </c>
      <c r="F2805" s="4" t="str">
        <f>HYPERLINK("http://141.218.60.56/~jnz1568/getInfo.php?workbook=12_04.xlsx&amp;sheet=A0&amp;row=2805&amp;col=6&amp;number=0.665&amp;sourceID=14","0.665")</f>
        <v>0.665</v>
      </c>
      <c r="G2805" s="4" t="str">
        <f>HYPERLINK("http://141.218.60.56/~jnz1568/getInfo.php?workbook=12_04.xlsx&amp;sheet=A0&amp;row=2805&amp;col=7&amp;number=0&amp;sourceID=14","0")</f>
        <v>0</v>
      </c>
    </row>
    <row r="2806" spans="1:7">
      <c r="A2806" s="3">
        <v>12</v>
      </c>
      <c r="B2806" s="3">
        <v>4</v>
      </c>
      <c r="C2806" s="3">
        <v>44</v>
      </c>
      <c r="D2806" s="3">
        <v>38</v>
      </c>
      <c r="E2806" s="3">
        <v>-4047.607</v>
      </c>
      <c r="F2806" s="4" t="str">
        <f>HYPERLINK("http://141.218.60.56/~jnz1568/getInfo.php?workbook=12_04.xlsx&amp;sheet=A0&amp;row=2806&amp;col=6&amp;number=4170&amp;sourceID=14","4170")</f>
        <v>4170</v>
      </c>
      <c r="G2806" s="4" t="str">
        <f>HYPERLINK("http://141.218.60.56/~jnz1568/getInfo.php?workbook=12_04.xlsx&amp;sheet=A0&amp;row=2806&amp;col=7&amp;number=0&amp;sourceID=14","0")</f>
        <v>0</v>
      </c>
    </row>
    <row r="2807" spans="1:7">
      <c r="A2807" s="3">
        <v>12</v>
      </c>
      <c r="B2807" s="3">
        <v>4</v>
      </c>
      <c r="C2807" s="3">
        <v>45</v>
      </c>
      <c r="D2807" s="3">
        <v>38</v>
      </c>
      <c r="E2807" s="3">
        <v>3653.642</v>
      </c>
      <c r="F2807" s="4" t="str">
        <f>HYPERLINK("http://141.218.60.56/~jnz1568/getInfo.php?workbook=12_04.xlsx&amp;sheet=A0&amp;row=2807&amp;col=6&amp;number=0.000157&amp;sourceID=14","0.000157")</f>
        <v>0.000157</v>
      </c>
      <c r="G2807" s="4" t="str">
        <f>HYPERLINK("http://141.218.60.56/~jnz1568/getInfo.php?workbook=12_04.xlsx&amp;sheet=A0&amp;row=2807&amp;col=7&amp;number=0&amp;sourceID=14","0")</f>
        <v>0</v>
      </c>
    </row>
    <row r="2808" spans="1:7">
      <c r="A2808" s="3">
        <v>12</v>
      </c>
      <c r="B2808" s="3">
        <v>4</v>
      </c>
      <c r="C2808" s="3">
        <v>46</v>
      </c>
      <c r="D2808" s="3">
        <v>38</v>
      </c>
      <c r="E2808" s="3">
        <v>2920.566</v>
      </c>
      <c r="F2808" s="4" t="str">
        <f>HYPERLINK("http://141.218.60.56/~jnz1568/getInfo.php?workbook=12_04.xlsx&amp;sheet=A0&amp;row=2808&amp;col=6&amp;number=0.839&amp;sourceID=14","0.839")</f>
        <v>0.839</v>
      </c>
      <c r="G2808" s="4" t="str">
        <f>HYPERLINK("http://141.218.60.56/~jnz1568/getInfo.php?workbook=12_04.xlsx&amp;sheet=A0&amp;row=2808&amp;col=7&amp;number=0&amp;sourceID=14","0")</f>
        <v>0</v>
      </c>
    </row>
    <row r="2809" spans="1:7">
      <c r="A2809" s="3">
        <v>12</v>
      </c>
      <c r="B2809" s="3">
        <v>4</v>
      </c>
      <c r="C2809" s="3">
        <v>47</v>
      </c>
      <c r="D2809" s="3">
        <v>38</v>
      </c>
      <c r="E2809" s="3">
        <v>-428.983</v>
      </c>
      <c r="F2809" s="4" t="str">
        <f>HYPERLINK("http://141.218.60.56/~jnz1568/getInfo.php?workbook=12_04.xlsx&amp;sheet=A0&amp;row=2809&amp;col=6&amp;number=508000&amp;sourceID=14","508000")</f>
        <v>508000</v>
      </c>
      <c r="G2809" s="4" t="str">
        <f>HYPERLINK("http://141.218.60.56/~jnz1568/getInfo.php?workbook=12_04.xlsx&amp;sheet=A0&amp;row=2809&amp;col=7&amp;number=0&amp;sourceID=14","0")</f>
        <v>0</v>
      </c>
    </row>
    <row r="2810" spans="1:7">
      <c r="A2810" s="3">
        <v>12</v>
      </c>
      <c r="B2810" s="3">
        <v>4</v>
      </c>
      <c r="C2810" s="3">
        <v>48</v>
      </c>
      <c r="D2810" s="3">
        <v>38</v>
      </c>
      <c r="E2810" s="3">
        <v>-411.219</v>
      </c>
      <c r="F2810" s="4" t="str">
        <f>HYPERLINK("http://141.218.60.56/~jnz1568/getInfo.php?workbook=12_04.xlsx&amp;sheet=A0&amp;row=2810&amp;col=6&amp;number=23300&amp;sourceID=14","23300")</f>
        <v>23300</v>
      </c>
      <c r="G2810" s="4" t="str">
        <f>HYPERLINK("http://141.218.60.56/~jnz1568/getInfo.php?workbook=12_04.xlsx&amp;sheet=A0&amp;row=2810&amp;col=7&amp;number=0&amp;sourceID=14","0")</f>
        <v>0</v>
      </c>
    </row>
    <row r="2811" spans="1:7">
      <c r="A2811" s="3">
        <v>12</v>
      </c>
      <c r="B2811" s="3">
        <v>4</v>
      </c>
      <c r="C2811" s="3">
        <v>49</v>
      </c>
      <c r="D2811" s="3">
        <v>38</v>
      </c>
      <c r="E2811" s="3">
        <v>-388.038</v>
      </c>
      <c r="F2811" s="4" t="str">
        <f>HYPERLINK("http://141.218.60.56/~jnz1568/getInfo.php?workbook=12_04.xlsx&amp;sheet=A0&amp;row=2811&amp;col=6&amp;number=0.0136&amp;sourceID=14","0.0136")</f>
        <v>0.0136</v>
      </c>
      <c r="G2811" s="4" t="str">
        <f>HYPERLINK("http://141.218.60.56/~jnz1568/getInfo.php?workbook=12_04.xlsx&amp;sheet=A0&amp;row=2811&amp;col=7&amp;number=0&amp;sourceID=14","0")</f>
        <v>0</v>
      </c>
    </row>
    <row r="2812" spans="1:7">
      <c r="A2812" s="3">
        <v>12</v>
      </c>
      <c r="B2812" s="3">
        <v>4</v>
      </c>
      <c r="C2812" s="3">
        <v>50</v>
      </c>
      <c r="D2812" s="3">
        <v>38</v>
      </c>
      <c r="E2812" s="3">
        <v>-387.864</v>
      </c>
      <c r="F2812" s="4" t="str">
        <f>HYPERLINK("http://141.218.60.56/~jnz1568/getInfo.php?workbook=12_04.xlsx&amp;sheet=A0&amp;row=2812&amp;col=6&amp;number=109&amp;sourceID=14","109")</f>
        <v>109</v>
      </c>
      <c r="G2812" s="4" t="str">
        <f>HYPERLINK("http://141.218.60.56/~jnz1568/getInfo.php?workbook=12_04.xlsx&amp;sheet=A0&amp;row=2812&amp;col=7&amp;number=0&amp;sourceID=14","0")</f>
        <v>0</v>
      </c>
    </row>
    <row r="2813" spans="1:7">
      <c r="A2813" s="3">
        <v>12</v>
      </c>
      <c r="B2813" s="3">
        <v>4</v>
      </c>
      <c r="C2813" s="3">
        <v>51</v>
      </c>
      <c r="D2813" s="3">
        <v>38</v>
      </c>
      <c r="E2813" s="3">
        <v>-387.47</v>
      </c>
      <c r="F2813" s="4" t="str">
        <f>HYPERLINK("http://141.218.60.56/~jnz1568/getInfo.php?workbook=12_04.xlsx&amp;sheet=A0&amp;row=2813&amp;col=6&amp;number=2.79&amp;sourceID=14","2.79")</f>
        <v>2.79</v>
      </c>
      <c r="G2813" s="4" t="str">
        <f>HYPERLINK("http://141.218.60.56/~jnz1568/getInfo.php?workbook=12_04.xlsx&amp;sheet=A0&amp;row=2813&amp;col=7&amp;number=0&amp;sourceID=14","0")</f>
        <v>0</v>
      </c>
    </row>
    <row r="2814" spans="1:7">
      <c r="A2814" s="3">
        <v>12</v>
      </c>
      <c r="B2814" s="3">
        <v>4</v>
      </c>
      <c r="C2814" s="3">
        <v>52</v>
      </c>
      <c r="D2814" s="3">
        <v>38</v>
      </c>
      <c r="E2814" s="3">
        <v>382.615</v>
      </c>
      <c r="F2814" s="4" t="str">
        <f>HYPERLINK("http://141.218.60.56/~jnz1568/getInfo.php?workbook=12_04.xlsx&amp;sheet=A0&amp;row=2814&amp;col=6&amp;number=5.77&amp;sourceID=14","5.77")</f>
        <v>5.77</v>
      </c>
      <c r="G2814" s="4" t="str">
        <f>HYPERLINK("http://141.218.60.56/~jnz1568/getInfo.php?workbook=12_04.xlsx&amp;sheet=A0&amp;row=2814&amp;col=7&amp;number=0&amp;sourceID=14","0")</f>
        <v>0</v>
      </c>
    </row>
    <row r="2815" spans="1:7">
      <c r="A2815" s="3">
        <v>12</v>
      </c>
      <c r="B2815" s="3">
        <v>4</v>
      </c>
      <c r="C2815" s="3">
        <v>53</v>
      </c>
      <c r="D2815" s="3">
        <v>38</v>
      </c>
      <c r="E2815" s="3">
        <v>366.771</v>
      </c>
      <c r="F2815" s="4" t="str">
        <f>HYPERLINK("http://141.218.60.56/~jnz1568/getInfo.php?workbook=12_04.xlsx&amp;sheet=A0&amp;row=2815&amp;col=6&amp;number=971000&amp;sourceID=14","971000")</f>
        <v>971000</v>
      </c>
      <c r="G2815" s="4" t="str">
        <f>HYPERLINK("http://141.218.60.56/~jnz1568/getInfo.php?workbook=12_04.xlsx&amp;sheet=A0&amp;row=2815&amp;col=7&amp;number=0&amp;sourceID=14","0")</f>
        <v>0</v>
      </c>
    </row>
    <row r="2816" spans="1:7">
      <c r="A2816" s="3">
        <v>12</v>
      </c>
      <c r="B2816" s="3">
        <v>4</v>
      </c>
      <c r="C2816" s="3">
        <v>54</v>
      </c>
      <c r="D2816" s="3">
        <v>38</v>
      </c>
      <c r="E2816" s="3">
        <v>366.771</v>
      </c>
      <c r="F2816" s="4" t="str">
        <f>HYPERLINK("http://141.218.60.56/~jnz1568/getInfo.php?workbook=12_04.xlsx&amp;sheet=A0&amp;row=2816&amp;col=6&amp;number=3760000&amp;sourceID=14","3760000")</f>
        <v>3760000</v>
      </c>
      <c r="G2816" s="4" t="str">
        <f>HYPERLINK("http://141.218.60.56/~jnz1568/getInfo.php?workbook=12_04.xlsx&amp;sheet=A0&amp;row=2816&amp;col=7&amp;number=0&amp;sourceID=14","0")</f>
        <v>0</v>
      </c>
    </row>
    <row r="2817" spans="1:7">
      <c r="A2817" s="3">
        <v>12</v>
      </c>
      <c r="B2817" s="3">
        <v>4</v>
      </c>
      <c r="C2817" s="3">
        <v>55</v>
      </c>
      <c r="D2817" s="3">
        <v>38</v>
      </c>
      <c r="E2817" s="3">
        <v>366.664</v>
      </c>
      <c r="F2817" s="4" t="str">
        <f>HYPERLINK("http://141.218.60.56/~jnz1568/getInfo.php?workbook=12_04.xlsx&amp;sheet=A0&amp;row=2817&amp;col=6&amp;number=0.000911&amp;sourceID=14","0.000911")</f>
        <v>0.000911</v>
      </c>
      <c r="G2817" s="4" t="str">
        <f>HYPERLINK("http://141.218.60.56/~jnz1568/getInfo.php?workbook=12_04.xlsx&amp;sheet=A0&amp;row=2817&amp;col=7&amp;number=0&amp;sourceID=14","0")</f>
        <v>0</v>
      </c>
    </row>
    <row r="2818" spans="1:7">
      <c r="A2818" s="3">
        <v>12</v>
      </c>
      <c r="B2818" s="3">
        <v>4</v>
      </c>
      <c r="C2818" s="3">
        <v>56</v>
      </c>
      <c r="D2818" s="3">
        <v>38</v>
      </c>
      <c r="E2818" s="3">
        <v>356.418</v>
      </c>
      <c r="F2818" s="4" t="str">
        <f>HYPERLINK("http://141.218.60.56/~jnz1568/getInfo.php?workbook=12_04.xlsx&amp;sheet=A0&amp;row=2818&amp;col=6&amp;number=974000&amp;sourceID=14","974000")</f>
        <v>974000</v>
      </c>
      <c r="G2818" s="4" t="str">
        <f>HYPERLINK("http://141.218.60.56/~jnz1568/getInfo.php?workbook=12_04.xlsx&amp;sheet=A0&amp;row=2818&amp;col=7&amp;number=0&amp;sourceID=14","0")</f>
        <v>0</v>
      </c>
    </row>
    <row r="2819" spans="1:7">
      <c r="A2819" s="3">
        <v>12</v>
      </c>
      <c r="B2819" s="3">
        <v>4</v>
      </c>
      <c r="C2819" s="3">
        <v>57</v>
      </c>
      <c r="D2819" s="3">
        <v>38</v>
      </c>
      <c r="E2819" s="3">
        <v>-356.197</v>
      </c>
      <c r="F2819" s="4" t="str">
        <f>HYPERLINK("http://141.218.60.56/~jnz1568/getInfo.php?workbook=12_04.xlsx&amp;sheet=A0&amp;row=2819&amp;col=6&amp;number=122&amp;sourceID=14","122")</f>
        <v>122</v>
      </c>
      <c r="G2819" s="4" t="str">
        <f>HYPERLINK("http://141.218.60.56/~jnz1568/getInfo.php?workbook=12_04.xlsx&amp;sheet=A0&amp;row=2819&amp;col=7&amp;number=0&amp;sourceID=14","0")</f>
        <v>0</v>
      </c>
    </row>
    <row r="2820" spans="1:7">
      <c r="A2820" s="3">
        <v>12</v>
      </c>
      <c r="B2820" s="3">
        <v>4</v>
      </c>
      <c r="C2820" s="3">
        <v>58</v>
      </c>
      <c r="D2820" s="3">
        <v>38</v>
      </c>
      <c r="E2820" s="3">
        <v>-356.16</v>
      </c>
      <c r="F2820" s="4" t="str">
        <f>HYPERLINK("http://141.218.60.56/~jnz1568/getInfo.php?workbook=12_04.xlsx&amp;sheet=A0&amp;row=2820&amp;col=6&amp;number=69.2&amp;sourceID=14","69.2")</f>
        <v>69.2</v>
      </c>
      <c r="G2820" s="4" t="str">
        <f>HYPERLINK("http://141.218.60.56/~jnz1568/getInfo.php?workbook=12_04.xlsx&amp;sheet=A0&amp;row=2820&amp;col=7&amp;number=0&amp;sourceID=14","0")</f>
        <v>0</v>
      </c>
    </row>
    <row r="2821" spans="1:7">
      <c r="A2821" s="3">
        <v>12</v>
      </c>
      <c r="B2821" s="3">
        <v>4</v>
      </c>
      <c r="C2821" s="3">
        <v>59</v>
      </c>
      <c r="D2821" s="3">
        <v>38</v>
      </c>
      <c r="E2821" s="3">
        <v>-356.112</v>
      </c>
      <c r="F2821" s="4" t="str">
        <f>HYPERLINK("http://141.218.60.56/~jnz1568/getInfo.php?workbook=12_04.xlsx&amp;sheet=A0&amp;row=2821&amp;col=6&amp;number=4.17e-09&amp;sourceID=14","4.17e-09")</f>
        <v>4.17e-09</v>
      </c>
      <c r="G2821" s="4" t="str">
        <f>HYPERLINK("http://141.218.60.56/~jnz1568/getInfo.php?workbook=12_04.xlsx&amp;sheet=A0&amp;row=2821&amp;col=7&amp;number=0&amp;sourceID=14","0")</f>
        <v>0</v>
      </c>
    </row>
    <row r="2822" spans="1:7">
      <c r="A2822" s="3">
        <v>12</v>
      </c>
      <c r="B2822" s="3">
        <v>4</v>
      </c>
      <c r="C2822" s="3">
        <v>60</v>
      </c>
      <c r="D2822" s="3">
        <v>38</v>
      </c>
      <c r="E2822" s="3">
        <v>-352.937</v>
      </c>
      <c r="F2822" s="4" t="str">
        <f>HYPERLINK("http://141.218.60.56/~jnz1568/getInfo.php?workbook=12_04.xlsx&amp;sheet=A0&amp;row=2822&amp;col=6&amp;number=28.3&amp;sourceID=14","28.3")</f>
        <v>28.3</v>
      </c>
      <c r="G2822" s="4" t="str">
        <f>HYPERLINK("http://141.218.60.56/~jnz1568/getInfo.php?workbook=12_04.xlsx&amp;sheet=A0&amp;row=2822&amp;col=7&amp;number=0&amp;sourceID=14","0")</f>
        <v>0</v>
      </c>
    </row>
    <row r="2823" spans="1:7">
      <c r="A2823" s="3">
        <v>12</v>
      </c>
      <c r="B2823" s="3">
        <v>4</v>
      </c>
      <c r="C2823" s="3">
        <v>61</v>
      </c>
      <c r="D2823" s="3">
        <v>38</v>
      </c>
      <c r="E2823" s="3">
        <v>-250.598</v>
      </c>
      <c r="F2823" s="4" t="str">
        <f>HYPERLINK("http://141.218.60.56/~jnz1568/getInfo.php?workbook=12_04.xlsx&amp;sheet=A0&amp;row=2823&amp;col=6&amp;number=0.0301&amp;sourceID=14","0.0301")</f>
        <v>0.0301</v>
      </c>
      <c r="G2823" s="4" t="str">
        <f>HYPERLINK("http://141.218.60.56/~jnz1568/getInfo.php?workbook=12_04.xlsx&amp;sheet=A0&amp;row=2823&amp;col=7&amp;number=0&amp;sourceID=14","0")</f>
        <v>0</v>
      </c>
    </row>
    <row r="2824" spans="1:7">
      <c r="A2824" s="3">
        <v>12</v>
      </c>
      <c r="B2824" s="3">
        <v>4</v>
      </c>
      <c r="C2824" s="3">
        <v>62</v>
      </c>
      <c r="D2824" s="3">
        <v>38</v>
      </c>
      <c r="E2824" s="3">
        <v>-250.023</v>
      </c>
      <c r="F2824" s="4" t="str">
        <f>HYPERLINK("http://141.218.60.56/~jnz1568/getInfo.php?workbook=12_04.xlsx&amp;sheet=A0&amp;row=2824&amp;col=6&amp;number=136000&amp;sourceID=14","136000")</f>
        <v>136000</v>
      </c>
      <c r="G2824" s="4" t="str">
        <f>HYPERLINK("http://141.218.60.56/~jnz1568/getInfo.php?workbook=12_04.xlsx&amp;sheet=A0&amp;row=2824&amp;col=7&amp;number=0&amp;sourceID=14","0")</f>
        <v>0</v>
      </c>
    </row>
    <row r="2825" spans="1:7">
      <c r="A2825" s="3">
        <v>12</v>
      </c>
      <c r="B2825" s="3">
        <v>4</v>
      </c>
      <c r="C2825" s="3">
        <v>63</v>
      </c>
      <c r="D2825" s="3">
        <v>38</v>
      </c>
      <c r="E2825" s="3">
        <v>-248.174</v>
      </c>
      <c r="F2825" s="4" t="str">
        <f>HYPERLINK("http://141.218.60.56/~jnz1568/getInfo.php?workbook=12_04.xlsx&amp;sheet=A0&amp;row=2825&amp;col=6&amp;number=18700&amp;sourceID=14","18700")</f>
        <v>18700</v>
      </c>
      <c r="G2825" s="4" t="str">
        <f>HYPERLINK("http://141.218.60.56/~jnz1568/getInfo.php?workbook=12_04.xlsx&amp;sheet=A0&amp;row=2825&amp;col=7&amp;number=0&amp;sourceID=14","0")</f>
        <v>0</v>
      </c>
    </row>
    <row r="2826" spans="1:7">
      <c r="A2826" s="3">
        <v>12</v>
      </c>
      <c r="B2826" s="3">
        <v>4</v>
      </c>
      <c r="C2826" s="3">
        <v>64</v>
      </c>
      <c r="D2826" s="3">
        <v>38</v>
      </c>
      <c r="E2826" s="3">
        <v>-244.39</v>
      </c>
      <c r="F2826" s="4" t="str">
        <f>HYPERLINK("http://141.218.60.56/~jnz1568/getInfo.php?workbook=12_04.xlsx&amp;sheet=A0&amp;row=2826&amp;col=6&amp;number=3230&amp;sourceID=14","3230")</f>
        <v>3230</v>
      </c>
      <c r="G2826" s="4" t="str">
        <f>HYPERLINK("http://141.218.60.56/~jnz1568/getInfo.php?workbook=12_04.xlsx&amp;sheet=A0&amp;row=2826&amp;col=7&amp;number=0&amp;sourceID=14","0")</f>
        <v>0</v>
      </c>
    </row>
    <row r="2827" spans="1:7">
      <c r="A2827" s="3">
        <v>12</v>
      </c>
      <c r="B2827" s="3">
        <v>4</v>
      </c>
      <c r="C2827" s="3">
        <v>65</v>
      </c>
      <c r="D2827" s="3">
        <v>38</v>
      </c>
      <c r="E2827" s="3">
        <v>-239.976</v>
      </c>
      <c r="F2827" s="4" t="str">
        <f>HYPERLINK("http://141.218.60.56/~jnz1568/getInfo.php?workbook=12_04.xlsx&amp;sheet=A0&amp;row=2827&amp;col=6&amp;number=288000000&amp;sourceID=14","288000000")</f>
        <v>288000000</v>
      </c>
      <c r="G2827" s="4" t="str">
        <f>HYPERLINK("http://141.218.60.56/~jnz1568/getInfo.php?workbook=12_04.xlsx&amp;sheet=A0&amp;row=2827&amp;col=7&amp;number=0&amp;sourceID=14","0")</f>
        <v>0</v>
      </c>
    </row>
    <row r="2828" spans="1:7">
      <c r="A2828" s="3">
        <v>12</v>
      </c>
      <c r="B2828" s="3">
        <v>4</v>
      </c>
      <c r="C2828" s="3">
        <v>66</v>
      </c>
      <c r="D2828" s="3">
        <v>38</v>
      </c>
      <c r="E2828" s="3">
        <v>-238.515</v>
      </c>
      <c r="F2828" s="4" t="str">
        <f>HYPERLINK("http://141.218.60.56/~jnz1568/getInfo.php?workbook=12_04.xlsx&amp;sheet=A0&amp;row=2828&amp;col=6&amp;number=175000000&amp;sourceID=14","175000000")</f>
        <v>175000000</v>
      </c>
      <c r="G2828" s="4" t="str">
        <f>HYPERLINK("http://141.218.60.56/~jnz1568/getInfo.php?workbook=12_04.xlsx&amp;sheet=A0&amp;row=2828&amp;col=7&amp;number=0&amp;sourceID=14","0")</f>
        <v>0</v>
      </c>
    </row>
    <row r="2829" spans="1:7">
      <c r="A2829" s="3">
        <v>12</v>
      </c>
      <c r="B2829" s="3">
        <v>4</v>
      </c>
      <c r="C2829" s="3">
        <v>67</v>
      </c>
      <c r="D2829" s="3">
        <v>38</v>
      </c>
      <c r="E2829" s="3">
        <v>-238.258</v>
      </c>
      <c r="F2829" s="4" t="str">
        <f>HYPERLINK("http://141.218.60.56/~jnz1568/getInfo.php?workbook=12_04.xlsx&amp;sheet=A0&amp;row=2829&amp;col=6&amp;number=27100000&amp;sourceID=14","27100000")</f>
        <v>27100000</v>
      </c>
      <c r="G2829" s="4" t="str">
        <f>HYPERLINK("http://141.218.60.56/~jnz1568/getInfo.php?workbook=12_04.xlsx&amp;sheet=A0&amp;row=2829&amp;col=7&amp;number=0&amp;sourceID=14","0")</f>
        <v>0</v>
      </c>
    </row>
    <row r="2830" spans="1:7">
      <c r="A2830" s="3">
        <v>12</v>
      </c>
      <c r="B2830" s="3">
        <v>4</v>
      </c>
      <c r="C2830" s="3">
        <v>68</v>
      </c>
      <c r="D2830" s="3">
        <v>38</v>
      </c>
      <c r="E2830" s="3">
        <v>236.737</v>
      </c>
      <c r="F2830" s="4" t="str">
        <f>HYPERLINK("http://141.218.60.56/~jnz1568/getInfo.php?workbook=12_04.xlsx&amp;sheet=A0&amp;row=2830&amp;col=6&amp;number=0.613&amp;sourceID=14","0.613")</f>
        <v>0.613</v>
      </c>
      <c r="G2830" s="4" t="str">
        <f>HYPERLINK("http://141.218.60.56/~jnz1568/getInfo.php?workbook=12_04.xlsx&amp;sheet=A0&amp;row=2830&amp;col=7&amp;number=0&amp;sourceID=14","0")</f>
        <v>0</v>
      </c>
    </row>
    <row r="2831" spans="1:7">
      <c r="A2831" s="3">
        <v>12</v>
      </c>
      <c r="B2831" s="3">
        <v>4</v>
      </c>
      <c r="C2831" s="3">
        <v>69</v>
      </c>
      <c r="D2831" s="3">
        <v>38</v>
      </c>
      <c r="E2831" s="3">
        <v>-235.267</v>
      </c>
      <c r="F2831" s="4" t="str">
        <f>HYPERLINK("http://141.218.60.56/~jnz1568/getInfo.php?workbook=12_04.xlsx&amp;sheet=A0&amp;row=2831&amp;col=6&amp;number=400000000&amp;sourceID=14","400000000")</f>
        <v>400000000</v>
      </c>
      <c r="G2831" s="4" t="str">
        <f>HYPERLINK("http://141.218.60.56/~jnz1568/getInfo.php?workbook=12_04.xlsx&amp;sheet=A0&amp;row=2831&amp;col=7&amp;number=0&amp;sourceID=14","0")</f>
        <v>0</v>
      </c>
    </row>
    <row r="2832" spans="1:7">
      <c r="A2832" s="3">
        <v>12</v>
      </c>
      <c r="B2832" s="3">
        <v>4</v>
      </c>
      <c r="C2832" s="3">
        <v>70</v>
      </c>
      <c r="D2832" s="3">
        <v>38</v>
      </c>
      <c r="E2832" s="3">
        <v>-234.918</v>
      </c>
      <c r="F2832" s="4" t="str">
        <f>HYPERLINK("http://141.218.60.56/~jnz1568/getInfo.php?workbook=12_04.xlsx&amp;sheet=A0&amp;row=2832&amp;col=6&amp;number=2760000000&amp;sourceID=14","2760000000")</f>
        <v>2760000000</v>
      </c>
      <c r="G2832" s="4" t="str">
        <f>HYPERLINK("http://141.218.60.56/~jnz1568/getInfo.php?workbook=12_04.xlsx&amp;sheet=A0&amp;row=2832&amp;col=7&amp;number=0&amp;sourceID=14","0")</f>
        <v>0</v>
      </c>
    </row>
    <row r="2833" spans="1:7">
      <c r="A2833" s="3">
        <v>12</v>
      </c>
      <c r="B2833" s="3">
        <v>4</v>
      </c>
      <c r="C2833" s="3">
        <v>71</v>
      </c>
      <c r="D2833" s="3">
        <v>38</v>
      </c>
      <c r="E2833" s="3">
        <v>-233.857</v>
      </c>
      <c r="F2833" s="4" t="str">
        <f>HYPERLINK("http://141.218.60.56/~jnz1568/getInfo.php?workbook=12_04.xlsx&amp;sheet=A0&amp;row=2833&amp;col=6&amp;number=344000000&amp;sourceID=14","344000000")</f>
        <v>344000000</v>
      </c>
      <c r="G2833" s="4" t="str">
        <f>HYPERLINK("http://141.218.60.56/~jnz1568/getInfo.php?workbook=12_04.xlsx&amp;sheet=A0&amp;row=2833&amp;col=7&amp;number=0&amp;sourceID=14","0")</f>
        <v>0</v>
      </c>
    </row>
    <row r="2834" spans="1:7">
      <c r="A2834" s="3">
        <v>12</v>
      </c>
      <c r="B2834" s="3">
        <v>4</v>
      </c>
      <c r="C2834" s="3">
        <v>72</v>
      </c>
      <c r="D2834" s="3">
        <v>38</v>
      </c>
      <c r="E2834" s="3">
        <v>233.629</v>
      </c>
      <c r="F2834" s="4" t="str">
        <f>HYPERLINK("http://141.218.60.56/~jnz1568/getInfo.php?workbook=12_04.xlsx&amp;sheet=A0&amp;row=2834&amp;col=6&amp;number=17300000&amp;sourceID=14","17300000")</f>
        <v>17300000</v>
      </c>
      <c r="G2834" s="4" t="str">
        <f>HYPERLINK("http://141.218.60.56/~jnz1568/getInfo.php?workbook=12_04.xlsx&amp;sheet=A0&amp;row=2834&amp;col=7&amp;number=0&amp;sourceID=14","0")</f>
        <v>0</v>
      </c>
    </row>
    <row r="2835" spans="1:7">
      <c r="A2835" s="3">
        <v>12</v>
      </c>
      <c r="B2835" s="3">
        <v>4</v>
      </c>
      <c r="C2835" s="3">
        <v>73</v>
      </c>
      <c r="D2835" s="3">
        <v>38</v>
      </c>
      <c r="E2835" s="3">
        <v>-231.957</v>
      </c>
      <c r="F2835" s="4" t="str">
        <f>HYPERLINK("http://141.218.60.56/~jnz1568/getInfo.php?workbook=12_04.xlsx&amp;sheet=A0&amp;row=2835&amp;col=6&amp;number=87900&amp;sourceID=14","87900")</f>
        <v>87900</v>
      </c>
      <c r="G2835" s="4" t="str">
        <f>HYPERLINK("http://141.218.60.56/~jnz1568/getInfo.php?workbook=12_04.xlsx&amp;sheet=A0&amp;row=2835&amp;col=7&amp;number=0&amp;sourceID=14","0")</f>
        <v>0</v>
      </c>
    </row>
    <row r="2836" spans="1:7">
      <c r="A2836" s="3">
        <v>12</v>
      </c>
      <c r="B2836" s="3">
        <v>4</v>
      </c>
      <c r="C2836" s="3">
        <v>74</v>
      </c>
      <c r="D2836" s="3">
        <v>38</v>
      </c>
      <c r="E2836" s="3">
        <v>-230.934</v>
      </c>
      <c r="F2836" s="4" t="str">
        <f>HYPERLINK("http://141.218.60.56/~jnz1568/getInfo.php?workbook=12_04.xlsx&amp;sheet=A0&amp;row=2836&amp;col=6&amp;number=21800&amp;sourceID=14","21800")</f>
        <v>21800</v>
      </c>
      <c r="G2836" s="4" t="str">
        <f>HYPERLINK("http://141.218.60.56/~jnz1568/getInfo.php?workbook=12_04.xlsx&amp;sheet=A0&amp;row=2836&amp;col=7&amp;number=0&amp;sourceID=14","0")</f>
        <v>0</v>
      </c>
    </row>
    <row r="2837" spans="1:7">
      <c r="A2837" s="3">
        <v>12</v>
      </c>
      <c r="B2837" s="3">
        <v>4</v>
      </c>
      <c r="C2837" s="3">
        <v>75</v>
      </c>
      <c r="D2837" s="3">
        <v>38</v>
      </c>
      <c r="E2837" s="3">
        <v>230.474</v>
      </c>
      <c r="F2837" s="4" t="str">
        <f>HYPERLINK("http://141.218.60.56/~jnz1568/getInfo.php?workbook=12_04.xlsx&amp;sheet=A0&amp;row=2837&amp;col=6&amp;number=5350&amp;sourceID=14","5350")</f>
        <v>5350</v>
      </c>
      <c r="G2837" s="4" t="str">
        <f>HYPERLINK("http://141.218.60.56/~jnz1568/getInfo.php?workbook=12_04.xlsx&amp;sheet=A0&amp;row=2837&amp;col=7&amp;number=0&amp;sourceID=14","0")</f>
        <v>0</v>
      </c>
    </row>
    <row r="2838" spans="1:7">
      <c r="A2838" s="3">
        <v>12</v>
      </c>
      <c r="B2838" s="3">
        <v>4</v>
      </c>
      <c r="C2838" s="3">
        <v>76</v>
      </c>
      <c r="D2838" s="3">
        <v>38</v>
      </c>
      <c r="E2838" s="3">
        <v>230.543</v>
      </c>
      <c r="F2838" s="4" t="str">
        <f>HYPERLINK("http://141.218.60.56/~jnz1568/getInfo.php?workbook=12_04.xlsx&amp;sheet=A0&amp;row=2838&amp;col=6&amp;number=206000000&amp;sourceID=14","206000000")</f>
        <v>206000000</v>
      </c>
      <c r="G2838" s="4" t="str">
        <f>HYPERLINK("http://141.218.60.56/~jnz1568/getInfo.php?workbook=12_04.xlsx&amp;sheet=A0&amp;row=2838&amp;col=7&amp;number=0&amp;sourceID=14","0")</f>
        <v>0</v>
      </c>
    </row>
    <row r="2839" spans="1:7">
      <c r="A2839" s="3">
        <v>12</v>
      </c>
      <c r="B2839" s="3">
        <v>4</v>
      </c>
      <c r="C2839" s="3">
        <v>77</v>
      </c>
      <c r="D2839" s="3">
        <v>38</v>
      </c>
      <c r="E2839" s="3">
        <v>-229.78</v>
      </c>
      <c r="F2839" s="4" t="str">
        <f>HYPERLINK("http://141.218.60.56/~jnz1568/getInfo.php?workbook=12_04.xlsx&amp;sheet=A0&amp;row=2839&amp;col=6&amp;number=2.58e-05&amp;sourceID=14","2.58e-05")</f>
        <v>2.58e-05</v>
      </c>
      <c r="G2839" s="4" t="str">
        <f>HYPERLINK("http://141.218.60.56/~jnz1568/getInfo.php?workbook=12_04.xlsx&amp;sheet=A0&amp;row=2839&amp;col=7&amp;number=0&amp;sourceID=14","0")</f>
        <v>0</v>
      </c>
    </row>
    <row r="2840" spans="1:7">
      <c r="A2840" s="3">
        <v>12</v>
      </c>
      <c r="B2840" s="3">
        <v>4</v>
      </c>
      <c r="C2840" s="3">
        <v>78</v>
      </c>
      <c r="D2840" s="3">
        <v>38</v>
      </c>
      <c r="E2840" s="3">
        <v>-228.205</v>
      </c>
      <c r="F2840" s="4" t="str">
        <f>HYPERLINK("http://141.218.60.56/~jnz1568/getInfo.php?workbook=12_04.xlsx&amp;sheet=A0&amp;row=2840&amp;col=6&amp;number=119000&amp;sourceID=14","119000")</f>
        <v>119000</v>
      </c>
      <c r="G2840" s="4" t="str">
        <f>HYPERLINK("http://141.218.60.56/~jnz1568/getInfo.php?workbook=12_04.xlsx&amp;sheet=A0&amp;row=2840&amp;col=7&amp;number=0&amp;sourceID=14","0")</f>
        <v>0</v>
      </c>
    </row>
    <row r="2841" spans="1:7">
      <c r="A2841" s="3">
        <v>12</v>
      </c>
      <c r="B2841" s="3">
        <v>4</v>
      </c>
      <c r="C2841" s="3">
        <v>79</v>
      </c>
      <c r="D2841" s="3">
        <v>38</v>
      </c>
      <c r="E2841" s="3">
        <v>-227.883</v>
      </c>
      <c r="F2841" s="4" t="str">
        <f>HYPERLINK("http://141.218.60.56/~jnz1568/getInfo.php?workbook=12_04.xlsx&amp;sheet=A0&amp;row=2841&amp;col=6&amp;number=116000&amp;sourceID=14","116000")</f>
        <v>116000</v>
      </c>
      <c r="G2841" s="4" t="str">
        <f>HYPERLINK("http://141.218.60.56/~jnz1568/getInfo.php?workbook=12_04.xlsx&amp;sheet=A0&amp;row=2841&amp;col=7&amp;number=0&amp;sourceID=14","0")</f>
        <v>0</v>
      </c>
    </row>
    <row r="2842" spans="1:7">
      <c r="A2842" s="3">
        <v>12</v>
      </c>
      <c r="B2842" s="3">
        <v>4</v>
      </c>
      <c r="C2842" s="3">
        <v>80</v>
      </c>
      <c r="D2842" s="3">
        <v>38</v>
      </c>
      <c r="E2842" s="3">
        <v>-227.24</v>
      </c>
      <c r="F2842" s="4" t="str">
        <f>HYPERLINK("http://141.218.60.56/~jnz1568/getInfo.php?workbook=12_04.xlsx&amp;sheet=A0&amp;row=2842&amp;col=6&amp;number=13.5&amp;sourceID=14","13.5")</f>
        <v>13.5</v>
      </c>
      <c r="G2842" s="4" t="str">
        <f>HYPERLINK("http://141.218.60.56/~jnz1568/getInfo.php?workbook=12_04.xlsx&amp;sheet=A0&amp;row=2842&amp;col=7&amp;number=0&amp;sourceID=14","0")</f>
        <v>0</v>
      </c>
    </row>
    <row r="2843" spans="1:7">
      <c r="A2843" s="3">
        <v>12</v>
      </c>
      <c r="B2843" s="3">
        <v>4</v>
      </c>
      <c r="C2843" s="3">
        <v>81</v>
      </c>
      <c r="D2843" s="3">
        <v>38</v>
      </c>
      <c r="E2843" s="3">
        <v>226.794</v>
      </c>
      <c r="F2843" s="4" t="str">
        <f>HYPERLINK("http://141.218.60.56/~jnz1568/getInfo.php?workbook=12_04.xlsx&amp;sheet=A0&amp;row=2843&amp;col=6&amp;number=6040&amp;sourceID=14","6040")</f>
        <v>6040</v>
      </c>
      <c r="G2843" s="4" t="str">
        <f>HYPERLINK("http://141.218.60.56/~jnz1568/getInfo.php?workbook=12_04.xlsx&amp;sheet=A0&amp;row=2843&amp;col=7&amp;number=0&amp;sourceID=14","0")</f>
        <v>0</v>
      </c>
    </row>
    <row r="2844" spans="1:7">
      <c r="A2844" s="3">
        <v>12</v>
      </c>
      <c r="B2844" s="3">
        <v>4</v>
      </c>
      <c r="C2844" s="3">
        <v>82</v>
      </c>
      <c r="D2844" s="3">
        <v>38</v>
      </c>
      <c r="E2844" s="3">
        <v>-227.053</v>
      </c>
      <c r="F2844" s="4" t="str">
        <f>HYPERLINK("http://141.218.60.56/~jnz1568/getInfo.php?workbook=12_04.xlsx&amp;sheet=A0&amp;row=2844&amp;col=6&amp;number=71300000000&amp;sourceID=14","71300000000")</f>
        <v>71300000000</v>
      </c>
      <c r="G2844" s="4" t="str">
        <f>HYPERLINK("http://141.218.60.56/~jnz1568/getInfo.php?workbook=12_04.xlsx&amp;sheet=A0&amp;row=2844&amp;col=7&amp;number=0&amp;sourceID=14","0")</f>
        <v>0</v>
      </c>
    </row>
    <row r="2845" spans="1:7">
      <c r="A2845" s="3">
        <v>12</v>
      </c>
      <c r="B2845" s="3">
        <v>4</v>
      </c>
      <c r="C2845" s="3">
        <v>83</v>
      </c>
      <c r="D2845" s="3">
        <v>38</v>
      </c>
      <c r="E2845" s="3">
        <v>-227.051</v>
      </c>
      <c r="F2845" s="4" t="str">
        <f>HYPERLINK("http://141.218.60.56/~jnz1568/getInfo.php?workbook=12_04.xlsx&amp;sheet=A0&amp;row=2845&amp;col=6&amp;number=2.07&amp;sourceID=14","2.07")</f>
        <v>2.07</v>
      </c>
      <c r="G2845" s="4" t="str">
        <f>HYPERLINK("http://141.218.60.56/~jnz1568/getInfo.php?workbook=12_04.xlsx&amp;sheet=A0&amp;row=2845&amp;col=7&amp;number=0&amp;sourceID=14","0")</f>
        <v>0</v>
      </c>
    </row>
    <row r="2846" spans="1:7">
      <c r="A2846" s="3">
        <v>12</v>
      </c>
      <c r="B2846" s="3">
        <v>4</v>
      </c>
      <c r="C2846" s="3">
        <v>84</v>
      </c>
      <c r="D2846" s="3">
        <v>38</v>
      </c>
      <c r="E2846" s="3">
        <v>-226.883</v>
      </c>
      <c r="F2846" s="4" t="str">
        <f>HYPERLINK("http://141.218.60.56/~jnz1568/getInfo.php?workbook=12_04.xlsx&amp;sheet=A0&amp;row=2846&amp;col=6&amp;number=0.141&amp;sourceID=14","0.141")</f>
        <v>0.141</v>
      </c>
      <c r="G2846" s="4" t="str">
        <f>HYPERLINK("http://141.218.60.56/~jnz1568/getInfo.php?workbook=12_04.xlsx&amp;sheet=A0&amp;row=2846&amp;col=7&amp;number=0&amp;sourceID=14","0")</f>
        <v>0</v>
      </c>
    </row>
    <row r="2847" spans="1:7">
      <c r="A2847" s="3">
        <v>12</v>
      </c>
      <c r="B2847" s="3">
        <v>4</v>
      </c>
      <c r="C2847" s="3">
        <v>85</v>
      </c>
      <c r="D2847" s="3">
        <v>38</v>
      </c>
      <c r="E2847" s="3">
        <v>226.178</v>
      </c>
      <c r="F2847" s="4" t="str">
        <f>HYPERLINK("http://141.218.60.56/~jnz1568/getInfo.php?workbook=12_04.xlsx&amp;sheet=A0&amp;row=2847&amp;col=6&amp;number=7680&amp;sourceID=14","7680")</f>
        <v>7680</v>
      </c>
      <c r="G2847" s="4" t="str">
        <f>HYPERLINK("http://141.218.60.56/~jnz1568/getInfo.php?workbook=12_04.xlsx&amp;sheet=A0&amp;row=2847&amp;col=7&amp;number=0&amp;sourceID=14","0")</f>
        <v>0</v>
      </c>
    </row>
    <row r="2848" spans="1:7">
      <c r="A2848" s="3">
        <v>12</v>
      </c>
      <c r="B2848" s="3">
        <v>4</v>
      </c>
      <c r="C2848" s="3">
        <v>86</v>
      </c>
      <c r="D2848" s="3">
        <v>38</v>
      </c>
      <c r="E2848" s="3">
        <v>225.912</v>
      </c>
      <c r="F2848" s="4" t="str">
        <f>HYPERLINK("http://141.218.60.56/~jnz1568/getInfo.php?workbook=12_04.xlsx&amp;sheet=A0&amp;row=2848&amp;col=6&amp;number=63700&amp;sourceID=14","63700")</f>
        <v>63700</v>
      </c>
      <c r="G2848" s="4" t="str">
        <f>HYPERLINK("http://141.218.60.56/~jnz1568/getInfo.php?workbook=12_04.xlsx&amp;sheet=A0&amp;row=2848&amp;col=7&amp;number=0&amp;sourceID=14","0")</f>
        <v>0</v>
      </c>
    </row>
    <row r="2849" spans="1:7">
      <c r="A2849" s="3">
        <v>12</v>
      </c>
      <c r="B2849" s="3">
        <v>4</v>
      </c>
      <c r="C2849" s="3">
        <v>87</v>
      </c>
      <c r="D2849" s="3">
        <v>38</v>
      </c>
      <c r="E2849" s="3">
        <v>-225.639</v>
      </c>
      <c r="F2849" s="4" t="str">
        <f>HYPERLINK("http://141.218.60.56/~jnz1568/getInfo.php?workbook=12_04.xlsx&amp;sheet=A0&amp;row=2849&amp;col=6&amp;number=0.102&amp;sourceID=14","0.102")</f>
        <v>0.102</v>
      </c>
      <c r="G2849" s="4" t="str">
        <f>HYPERLINK("http://141.218.60.56/~jnz1568/getInfo.php?workbook=12_04.xlsx&amp;sheet=A0&amp;row=2849&amp;col=7&amp;number=0&amp;sourceID=14","0")</f>
        <v>0</v>
      </c>
    </row>
    <row r="2850" spans="1:7">
      <c r="A2850" s="3">
        <v>12</v>
      </c>
      <c r="B2850" s="3">
        <v>4</v>
      </c>
      <c r="C2850" s="3">
        <v>88</v>
      </c>
      <c r="D2850" s="3">
        <v>38</v>
      </c>
      <c r="E2850" s="3">
        <v>-225.241</v>
      </c>
      <c r="F2850" s="4" t="str">
        <f>HYPERLINK("http://141.218.60.56/~jnz1568/getInfo.php?workbook=12_04.xlsx&amp;sheet=A0&amp;row=2850&amp;col=6&amp;number=59.5&amp;sourceID=14","59.5")</f>
        <v>59.5</v>
      </c>
      <c r="G2850" s="4" t="str">
        <f>HYPERLINK("http://141.218.60.56/~jnz1568/getInfo.php?workbook=12_04.xlsx&amp;sheet=A0&amp;row=2850&amp;col=7&amp;number=0&amp;sourceID=14","0")</f>
        <v>0</v>
      </c>
    </row>
    <row r="2851" spans="1:7">
      <c r="A2851" s="3">
        <v>12</v>
      </c>
      <c r="B2851" s="3">
        <v>4</v>
      </c>
      <c r="C2851" s="3">
        <v>89</v>
      </c>
      <c r="D2851" s="3">
        <v>38</v>
      </c>
      <c r="E2851" s="3">
        <v>-225.007</v>
      </c>
      <c r="F2851" s="4" t="str">
        <f>HYPERLINK("http://141.218.60.56/~jnz1568/getInfo.php?workbook=12_04.xlsx&amp;sheet=A0&amp;row=2851&amp;col=6&amp;number=1.27&amp;sourceID=14","1.27")</f>
        <v>1.27</v>
      </c>
      <c r="G2851" s="4" t="str">
        <f>HYPERLINK("http://141.218.60.56/~jnz1568/getInfo.php?workbook=12_04.xlsx&amp;sheet=A0&amp;row=2851&amp;col=7&amp;number=0&amp;sourceID=14","0")</f>
        <v>0</v>
      </c>
    </row>
    <row r="2852" spans="1:7">
      <c r="A2852" s="3">
        <v>12</v>
      </c>
      <c r="B2852" s="3">
        <v>4</v>
      </c>
      <c r="C2852" s="3">
        <v>90</v>
      </c>
      <c r="D2852" s="3">
        <v>38</v>
      </c>
      <c r="E2852" s="3">
        <v>-224.313</v>
      </c>
      <c r="F2852" s="4" t="str">
        <f>HYPERLINK("http://141.218.60.56/~jnz1568/getInfo.php?workbook=12_04.xlsx&amp;sheet=A0&amp;row=2852&amp;col=6&amp;number=1.53e-07&amp;sourceID=14","1.53e-07")</f>
        <v>1.53e-07</v>
      </c>
      <c r="G2852" s="4" t="str">
        <f>HYPERLINK("http://141.218.60.56/~jnz1568/getInfo.php?workbook=12_04.xlsx&amp;sheet=A0&amp;row=2852&amp;col=7&amp;number=0&amp;sourceID=14","0")</f>
        <v>0</v>
      </c>
    </row>
    <row r="2853" spans="1:7">
      <c r="A2853" s="3">
        <v>12</v>
      </c>
      <c r="B2853" s="3">
        <v>4</v>
      </c>
      <c r="C2853" s="3">
        <v>91</v>
      </c>
      <c r="D2853" s="3">
        <v>38</v>
      </c>
      <c r="E2853" s="3">
        <v>-223.702</v>
      </c>
      <c r="F2853" s="4" t="str">
        <f>HYPERLINK("http://141.218.60.56/~jnz1568/getInfo.php?workbook=12_04.xlsx&amp;sheet=A0&amp;row=2853&amp;col=6&amp;number=2.12&amp;sourceID=14","2.12")</f>
        <v>2.12</v>
      </c>
      <c r="G2853" s="4" t="str">
        <f>HYPERLINK("http://141.218.60.56/~jnz1568/getInfo.php?workbook=12_04.xlsx&amp;sheet=A0&amp;row=2853&amp;col=7&amp;number=0&amp;sourceID=14","0")</f>
        <v>0</v>
      </c>
    </row>
    <row r="2854" spans="1:7">
      <c r="A2854" s="3">
        <v>12</v>
      </c>
      <c r="B2854" s="3">
        <v>4</v>
      </c>
      <c r="C2854" s="3">
        <v>92</v>
      </c>
      <c r="D2854" s="3">
        <v>38</v>
      </c>
      <c r="E2854" s="3">
        <v>-223.558</v>
      </c>
      <c r="F2854" s="4" t="str">
        <f>HYPERLINK("http://141.218.60.56/~jnz1568/getInfo.php?workbook=12_04.xlsx&amp;sheet=A0&amp;row=2854&amp;col=6&amp;number=0.163&amp;sourceID=14","0.163")</f>
        <v>0.163</v>
      </c>
      <c r="G2854" s="4" t="str">
        <f>HYPERLINK("http://141.218.60.56/~jnz1568/getInfo.php?workbook=12_04.xlsx&amp;sheet=A0&amp;row=2854&amp;col=7&amp;number=0&amp;sourceID=14","0")</f>
        <v>0</v>
      </c>
    </row>
    <row r="2855" spans="1:7">
      <c r="A2855" s="3">
        <v>12</v>
      </c>
      <c r="B2855" s="3">
        <v>4</v>
      </c>
      <c r="C2855" s="3">
        <v>93</v>
      </c>
      <c r="D2855" s="3">
        <v>38</v>
      </c>
      <c r="E2855" s="3">
        <v>-223.427</v>
      </c>
      <c r="F2855" s="4" t="str">
        <f>HYPERLINK("http://141.218.60.56/~jnz1568/getInfo.php?workbook=12_04.xlsx&amp;sheet=A0&amp;row=2855&amp;col=6&amp;number=59800000&amp;sourceID=14","59800000")</f>
        <v>59800000</v>
      </c>
      <c r="G2855" s="4" t="str">
        <f>HYPERLINK("http://141.218.60.56/~jnz1568/getInfo.php?workbook=12_04.xlsx&amp;sheet=A0&amp;row=2855&amp;col=7&amp;number=0&amp;sourceID=14","0")</f>
        <v>0</v>
      </c>
    </row>
    <row r="2856" spans="1:7">
      <c r="A2856" s="3">
        <v>12</v>
      </c>
      <c r="B2856" s="3">
        <v>4</v>
      </c>
      <c r="C2856" s="3">
        <v>94</v>
      </c>
      <c r="D2856" s="3">
        <v>38</v>
      </c>
      <c r="E2856" s="3">
        <v>-222.945</v>
      </c>
      <c r="F2856" s="4" t="str">
        <f>HYPERLINK("http://141.218.60.56/~jnz1568/getInfo.php?workbook=12_04.xlsx&amp;sheet=A0&amp;row=2856&amp;col=6&amp;number=7350000000&amp;sourceID=14","7350000000")</f>
        <v>7350000000</v>
      </c>
      <c r="G2856" s="4" t="str">
        <f>HYPERLINK("http://141.218.60.56/~jnz1568/getInfo.php?workbook=12_04.xlsx&amp;sheet=A0&amp;row=2856&amp;col=7&amp;number=0&amp;sourceID=14","0")</f>
        <v>0</v>
      </c>
    </row>
    <row r="2857" spans="1:7">
      <c r="A2857" s="3">
        <v>12</v>
      </c>
      <c r="B2857" s="3">
        <v>4</v>
      </c>
      <c r="C2857" s="3">
        <v>95</v>
      </c>
      <c r="D2857" s="3">
        <v>38</v>
      </c>
      <c r="E2857" s="3">
        <v>-222.63</v>
      </c>
      <c r="F2857" s="4" t="str">
        <f>HYPERLINK("http://141.218.60.56/~jnz1568/getInfo.php?workbook=12_04.xlsx&amp;sheet=A0&amp;row=2857&amp;col=6&amp;number=1890000&amp;sourceID=14","1890000")</f>
        <v>1890000</v>
      </c>
      <c r="G2857" s="4" t="str">
        <f>HYPERLINK("http://141.218.60.56/~jnz1568/getInfo.php?workbook=12_04.xlsx&amp;sheet=A0&amp;row=2857&amp;col=7&amp;number=0&amp;sourceID=14","0")</f>
        <v>0</v>
      </c>
    </row>
    <row r="2858" spans="1:7">
      <c r="A2858" s="3">
        <v>12</v>
      </c>
      <c r="B2858" s="3">
        <v>4</v>
      </c>
      <c r="C2858" s="3">
        <v>96</v>
      </c>
      <c r="D2858" s="3">
        <v>38</v>
      </c>
      <c r="E2858" s="3">
        <v>-222.34</v>
      </c>
      <c r="F2858" s="4" t="str">
        <f>HYPERLINK("http://141.218.60.56/~jnz1568/getInfo.php?workbook=12_04.xlsx&amp;sheet=A0&amp;row=2858&amp;col=6&amp;number=2090000000&amp;sourceID=14","2090000000")</f>
        <v>2090000000</v>
      </c>
      <c r="G2858" s="4" t="str">
        <f>HYPERLINK("http://141.218.60.56/~jnz1568/getInfo.php?workbook=12_04.xlsx&amp;sheet=A0&amp;row=2858&amp;col=7&amp;number=0&amp;sourceID=14","0")</f>
        <v>0</v>
      </c>
    </row>
    <row r="2859" spans="1:7">
      <c r="A2859" s="3">
        <v>12</v>
      </c>
      <c r="B2859" s="3">
        <v>4</v>
      </c>
      <c r="C2859" s="3">
        <v>97</v>
      </c>
      <c r="D2859" s="3">
        <v>38</v>
      </c>
      <c r="E2859" s="3">
        <v>222.594</v>
      </c>
      <c r="F2859" s="4" t="str">
        <f>HYPERLINK("http://141.218.60.56/~jnz1568/getInfo.php?workbook=12_04.xlsx&amp;sheet=A0&amp;row=2859&amp;col=6&amp;number=3.13&amp;sourceID=14","3.13")</f>
        <v>3.13</v>
      </c>
      <c r="G2859" s="4" t="str">
        <f>HYPERLINK("http://141.218.60.56/~jnz1568/getInfo.php?workbook=12_04.xlsx&amp;sheet=A0&amp;row=2859&amp;col=7&amp;number=0&amp;sourceID=14","0")</f>
        <v>0</v>
      </c>
    </row>
    <row r="2860" spans="1:7">
      <c r="A2860" s="3">
        <v>12</v>
      </c>
      <c r="B2860" s="3">
        <v>4</v>
      </c>
      <c r="C2860" s="3">
        <v>98</v>
      </c>
      <c r="D2860" s="3">
        <v>38</v>
      </c>
      <c r="E2860" s="3">
        <v>221.735</v>
      </c>
      <c r="F2860" s="4" t="str">
        <f>HYPERLINK("http://141.218.60.56/~jnz1568/getInfo.php?workbook=12_04.xlsx&amp;sheet=A0&amp;row=2860&amp;col=6&amp;number=982&amp;sourceID=14","982")</f>
        <v>982</v>
      </c>
      <c r="G2860" s="4" t="str">
        <f>HYPERLINK("http://141.218.60.56/~jnz1568/getInfo.php?workbook=12_04.xlsx&amp;sheet=A0&amp;row=2860&amp;col=7&amp;number=0&amp;sourceID=14","0")</f>
        <v>0</v>
      </c>
    </row>
    <row r="2861" spans="1:7">
      <c r="A2861" s="3">
        <v>12</v>
      </c>
      <c r="B2861" s="3">
        <v>4</v>
      </c>
      <c r="C2861" s="3">
        <v>40</v>
      </c>
      <c r="D2861" s="3">
        <v>39</v>
      </c>
      <c r="E2861" s="3">
        <v>100000.188</v>
      </c>
      <c r="F2861" s="4" t="str">
        <f>HYPERLINK("http://141.218.60.56/~jnz1568/getInfo.php?workbook=12_04.xlsx&amp;sheet=A0&amp;row=2861&amp;col=6&amp;number=0.0174&amp;sourceID=14","0.0174")</f>
        <v>0.0174</v>
      </c>
      <c r="G2861" s="4" t="str">
        <f>HYPERLINK("http://141.218.60.56/~jnz1568/getInfo.php?workbook=12_04.xlsx&amp;sheet=A0&amp;row=2861&amp;col=7&amp;number=0&amp;sourceID=14","0")</f>
        <v>0</v>
      </c>
    </row>
    <row r="2862" spans="1:7">
      <c r="A2862" s="3">
        <v>12</v>
      </c>
      <c r="B2862" s="3">
        <v>4</v>
      </c>
      <c r="C2862" s="3">
        <v>41</v>
      </c>
      <c r="D2862" s="3">
        <v>39</v>
      </c>
      <c r="E2862" s="3">
        <v>13586.981</v>
      </c>
      <c r="F2862" s="4" t="str">
        <f>HYPERLINK("http://141.218.60.56/~jnz1568/getInfo.php?workbook=12_04.xlsx&amp;sheet=A0&amp;row=2862&amp;col=6&amp;number=0.226&amp;sourceID=14","0.226")</f>
        <v>0.226</v>
      </c>
      <c r="G2862" s="4" t="str">
        <f>HYPERLINK("http://141.218.60.56/~jnz1568/getInfo.php?workbook=12_04.xlsx&amp;sheet=A0&amp;row=2862&amp;col=7&amp;number=0&amp;sourceID=14","0")</f>
        <v>0</v>
      </c>
    </row>
    <row r="2863" spans="1:7">
      <c r="A2863" s="3">
        <v>12</v>
      </c>
      <c r="B2863" s="3">
        <v>4</v>
      </c>
      <c r="C2863" s="3">
        <v>42</v>
      </c>
      <c r="D2863" s="3">
        <v>39</v>
      </c>
      <c r="E2863" s="3">
        <v>11976.07</v>
      </c>
      <c r="F2863" s="4" t="str">
        <f>HYPERLINK("http://141.218.60.56/~jnz1568/getInfo.php?workbook=12_04.xlsx&amp;sheet=A0&amp;row=2863&amp;col=6&amp;number=0.00423&amp;sourceID=14","0.00423")</f>
        <v>0.00423</v>
      </c>
      <c r="G2863" s="4" t="str">
        <f>HYPERLINK("http://141.218.60.56/~jnz1568/getInfo.php?workbook=12_04.xlsx&amp;sheet=A0&amp;row=2863&amp;col=7&amp;number=0&amp;sourceID=14","0")</f>
        <v>0</v>
      </c>
    </row>
    <row r="2864" spans="1:7">
      <c r="A2864" s="3">
        <v>12</v>
      </c>
      <c r="B2864" s="3">
        <v>4</v>
      </c>
      <c r="C2864" s="3">
        <v>43</v>
      </c>
      <c r="D2864" s="3">
        <v>39</v>
      </c>
      <c r="E2864" s="3">
        <v>11273.978</v>
      </c>
      <c r="F2864" s="4" t="str">
        <f>HYPERLINK("http://141.218.60.56/~jnz1568/getInfo.php?workbook=12_04.xlsx&amp;sheet=A0&amp;row=2864&amp;col=6&amp;number=0.00136&amp;sourceID=14","0.00136")</f>
        <v>0.00136</v>
      </c>
      <c r="G2864" s="4" t="str">
        <f>HYPERLINK("http://141.218.60.56/~jnz1568/getInfo.php?workbook=12_04.xlsx&amp;sheet=A0&amp;row=2864&amp;col=7&amp;number=0&amp;sourceID=14","0")</f>
        <v>0</v>
      </c>
    </row>
    <row r="2865" spans="1:7">
      <c r="A2865" s="3">
        <v>12</v>
      </c>
      <c r="B2865" s="3">
        <v>4</v>
      </c>
      <c r="C2865" s="3">
        <v>44</v>
      </c>
      <c r="D2865" s="3">
        <v>39</v>
      </c>
      <c r="E2865" s="3">
        <v>-4138.738</v>
      </c>
      <c r="F2865" s="4" t="str">
        <f>HYPERLINK("http://141.218.60.56/~jnz1568/getInfo.php?workbook=12_04.xlsx&amp;sheet=A0&amp;row=2865&amp;col=6&amp;number=5.67e-06&amp;sourceID=14","5.67e-06")</f>
        <v>5.67e-06</v>
      </c>
      <c r="G2865" s="4" t="str">
        <f>HYPERLINK("http://141.218.60.56/~jnz1568/getInfo.php?workbook=12_04.xlsx&amp;sheet=A0&amp;row=2865&amp;col=7&amp;number=0&amp;sourceID=14","0")</f>
        <v>0</v>
      </c>
    </row>
    <row r="2866" spans="1:7">
      <c r="A2866" s="3">
        <v>12</v>
      </c>
      <c r="B2866" s="3">
        <v>4</v>
      </c>
      <c r="C2866" s="3">
        <v>45</v>
      </c>
      <c r="D2866" s="3">
        <v>39</v>
      </c>
      <c r="E2866" s="3">
        <v>3727.178</v>
      </c>
      <c r="F2866" s="4" t="str">
        <f>HYPERLINK("http://141.218.60.56/~jnz1568/getInfo.php?workbook=12_04.xlsx&amp;sheet=A0&amp;row=2866&amp;col=6&amp;number=0.378&amp;sourceID=14","0.378")</f>
        <v>0.378</v>
      </c>
      <c r="G2866" s="4" t="str">
        <f>HYPERLINK("http://141.218.60.56/~jnz1568/getInfo.php?workbook=12_04.xlsx&amp;sheet=A0&amp;row=2866&amp;col=7&amp;number=0&amp;sourceID=14","0")</f>
        <v>0</v>
      </c>
    </row>
    <row r="2867" spans="1:7">
      <c r="A2867" s="3">
        <v>12</v>
      </c>
      <c r="B2867" s="3">
        <v>4</v>
      </c>
      <c r="C2867" s="3">
        <v>46</v>
      </c>
      <c r="D2867" s="3">
        <v>39</v>
      </c>
      <c r="E2867" s="3">
        <v>2967.365</v>
      </c>
      <c r="F2867" s="4" t="str">
        <f>HYPERLINK("http://141.218.60.56/~jnz1568/getInfo.php?workbook=12_04.xlsx&amp;sheet=A0&amp;row=2867&amp;col=6&amp;number=3.55&amp;sourceID=14","3.55")</f>
        <v>3.55</v>
      </c>
      <c r="G2867" s="4" t="str">
        <f>HYPERLINK("http://141.218.60.56/~jnz1568/getInfo.php?workbook=12_04.xlsx&amp;sheet=A0&amp;row=2867&amp;col=7&amp;number=0&amp;sourceID=14","0")</f>
        <v>0</v>
      </c>
    </row>
    <row r="2868" spans="1:7">
      <c r="A2868" s="3">
        <v>12</v>
      </c>
      <c r="B2868" s="3">
        <v>4</v>
      </c>
      <c r="C2868" s="3">
        <v>47</v>
      </c>
      <c r="D2868" s="3">
        <v>39</v>
      </c>
      <c r="E2868" s="3">
        <v>-429.986</v>
      </c>
      <c r="F2868" s="4" t="str">
        <f>HYPERLINK("http://141.218.60.56/~jnz1568/getInfo.php?workbook=12_04.xlsx&amp;sheet=A0&amp;row=2868&amp;col=6&amp;number=1880000&amp;sourceID=14","1880000")</f>
        <v>1880000</v>
      </c>
      <c r="G2868" s="4" t="str">
        <f>HYPERLINK("http://141.218.60.56/~jnz1568/getInfo.php?workbook=12_04.xlsx&amp;sheet=A0&amp;row=2868&amp;col=7&amp;number=0&amp;sourceID=14","0")</f>
        <v>0</v>
      </c>
    </row>
    <row r="2869" spans="1:7">
      <c r="A2869" s="3">
        <v>12</v>
      </c>
      <c r="B2869" s="3">
        <v>4</v>
      </c>
      <c r="C2869" s="3">
        <v>48</v>
      </c>
      <c r="D2869" s="3">
        <v>39</v>
      </c>
      <c r="E2869" s="3">
        <v>-412.141</v>
      </c>
      <c r="F2869" s="4" t="str">
        <f>HYPERLINK("http://141.218.60.56/~jnz1568/getInfo.php?workbook=12_04.xlsx&amp;sheet=A0&amp;row=2869&amp;col=6&amp;number=4.92e-05&amp;sourceID=14","4.92e-05")</f>
        <v>4.92e-05</v>
      </c>
      <c r="G2869" s="4" t="str">
        <f>HYPERLINK("http://141.218.60.56/~jnz1568/getInfo.php?workbook=12_04.xlsx&amp;sheet=A0&amp;row=2869&amp;col=7&amp;number=0&amp;sourceID=14","0")</f>
        <v>0</v>
      </c>
    </row>
    <row r="2870" spans="1:7">
      <c r="A2870" s="3">
        <v>12</v>
      </c>
      <c r="B2870" s="3">
        <v>4</v>
      </c>
      <c r="C2870" s="3">
        <v>49</v>
      </c>
      <c r="D2870" s="3">
        <v>39</v>
      </c>
      <c r="E2870" s="3">
        <v>-388.859</v>
      </c>
      <c r="F2870" s="4" t="str">
        <f>HYPERLINK("http://141.218.60.56/~jnz1568/getInfo.php?workbook=12_04.xlsx&amp;sheet=A0&amp;row=2870&amp;col=6&amp;number=621&amp;sourceID=14","621")</f>
        <v>621</v>
      </c>
      <c r="G2870" s="4" t="str">
        <f>HYPERLINK("http://141.218.60.56/~jnz1568/getInfo.php?workbook=12_04.xlsx&amp;sheet=A0&amp;row=2870&amp;col=7&amp;number=0&amp;sourceID=14","0")</f>
        <v>0</v>
      </c>
    </row>
    <row r="2871" spans="1:7">
      <c r="A2871" s="3">
        <v>12</v>
      </c>
      <c r="B2871" s="3">
        <v>4</v>
      </c>
      <c r="C2871" s="3">
        <v>50</v>
      </c>
      <c r="D2871" s="3">
        <v>39</v>
      </c>
      <c r="E2871" s="3">
        <v>-388.684</v>
      </c>
      <c r="F2871" s="4" t="str">
        <f>HYPERLINK("http://141.218.60.56/~jnz1568/getInfo.php?workbook=12_04.xlsx&amp;sheet=A0&amp;row=2871&amp;col=6&amp;number=96.2&amp;sourceID=14","96.2")</f>
        <v>96.2</v>
      </c>
      <c r="G2871" s="4" t="str">
        <f>HYPERLINK("http://141.218.60.56/~jnz1568/getInfo.php?workbook=12_04.xlsx&amp;sheet=A0&amp;row=2871&amp;col=7&amp;number=0&amp;sourceID=14","0")</f>
        <v>0</v>
      </c>
    </row>
    <row r="2872" spans="1:7">
      <c r="A2872" s="3">
        <v>12</v>
      </c>
      <c r="B2872" s="3">
        <v>4</v>
      </c>
      <c r="C2872" s="3">
        <v>51</v>
      </c>
      <c r="D2872" s="3">
        <v>39</v>
      </c>
      <c r="E2872" s="3">
        <v>-388.288</v>
      </c>
      <c r="F2872" s="4" t="str">
        <f>HYPERLINK("http://141.218.60.56/~jnz1568/getInfo.php?workbook=12_04.xlsx&amp;sheet=A0&amp;row=2872&amp;col=6&amp;number=0.816&amp;sourceID=14","0.816")</f>
        <v>0.816</v>
      </c>
      <c r="G2872" s="4" t="str">
        <f>HYPERLINK("http://141.218.60.56/~jnz1568/getInfo.php?workbook=12_04.xlsx&amp;sheet=A0&amp;row=2872&amp;col=7&amp;number=0&amp;sourceID=14","0")</f>
        <v>0</v>
      </c>
    </row>
    <row r="2873" spans="1:7">
      <c r="A2873" s="3">
        <v>12</v>
      </c>
      <c r="B2873" s="3">
        <v>4</v>
      </c>
      <c r="C2873" s="3">
        <v>52</v>
      </c>
      <c r="D2873" s="3">
        <v>39</v>
      </c>
      <c r="E2873" s="3">
        <v>383.407</v>
      </c>
      <c r="F2873" s="4" t="str">
        <f>HYPERLINK("http://141.218.60.56/~jnz1568/getInfo.php?workbook=12_04.xlsx&amp;sheet=A0&amp;row=2873&amp;col=6&amp;number=1.12&amp;sourceID=14","1.12")</f>
        <v>1.12</v>
      </c>
      <c r="G2873" s="4" t="str">
        <f>HYPERLINK("http://141.218.60.56/~jnz1568/getInfo.php?workbook=12_04.xlsx&amp;sheet=A0&amp;row=2873&amp;col=7&amp;number=0&amp;sourceID=14","0")</f>
        <v>0</v>
      </c>
    </row>
    <row r="2874" spans="1:7">
      <c r="A2874" s="3">
        <v>12</v>
      </c>
      <c r="B2874" s="3">
        <v>4</v>
      </c>
      <c r="C2874" s="3">
        <v>53</v>
      </c>
      <c r="D2874" s="3">
        <v>39</v>
      </c>
      <c r="E2874" s="3">
        <v>367.499</v>
      </c>
      <c r="F2874" s="4" t="str">
        <f>HYPERLINK("http://141.218.60.56/~jnz1568/getInfo.php?workbook=12_04.xlsx&amp;sheet=A0&amp;row=2874&amp;col=6&amp;number=1310000&amp;sourceID=14","1310000")</f>
        <v>1310000</v>
      </c>
      <c r="G2874" s="4" t="str">
        <f>HYPERLINK("http://141.218.60.56/~jnz1568/getInfo.php?workbook=12_04.xlsx&amp;sheet=A0&amp;row=2874&amp;col=7&amp;number=0&amp;sourceID=14","0")</f>
        <v>0</v>
      </c>
    </row>
    <row r="2875" spans="1:7">
      <c r="A2875" s="3">
        <v>12</v>
      </c>
      <c r="B2875" s="3">
        <v>4</v>
      </c>
      <c r="C2875" s="3">
        <v>54</v>
      </c>
      <c r="D2875" s="3">
        <v>39</v>
      </c>
      <c r="E2875" s="3">
        <v>367.499</v>
      </c>
      <c r="F2875" s="4" t="str">
        <f>HYPERLINK("http://141.218.60.56/~jnz1568/getInfo.php?workbook=12_04.xlsx&amp;sheet=A0&amp;row=2875&amp;col=6&amp;number=873000&amp;sourceID=14","873000")</f>
        <v>873000</v>
      </c>
      <c r="G2875" s="4" t="str">
        <f>HYPERLINK("http://141.218.60.56/~jnz1568/getInfo.php?workbook=12_04.xlsx&amp;sheet=A0&amp;row=2875&amp;col=7&amp;number=0&amp;sourceID=14","0")</f>
        <v>0</v>
      </c>
    </row>
    <row r="2876" spans="1:7">
      <c r="A2876" s="3">
        <v>12</v>
      </c>
      <c r="B2876" s="3">
        <v>4</v>
      </c>
      <c r="C2876" s="3">
        <v>55</v>
      </c>
      <c r="D2876" s="3">
        <v>39</v>
      </c>
      <c r="E2876" s="3">
        <v>367.391</v>
      </c>
      <c r="F2876" s="4" t="str">
        <f>HYPERLINK("http://141.218.60.56/~jnz1568/getInfo.php?workbook=12_04.xlsx&amp;sheet=A0&amp;row=2876&amp;col=6&amp;number=10500000&amp;sourceID=14","10500000")</f>
        <v>10500000</v>
      </c>
      <c r="G2876" s="4" t="str">
        <f>HYPERLINK("http://141.218.60.56/~jnz1568/getInfo.php?workbook=12_04.xlsx&amp;sheet=A0&amp;row=2876&amp;col=7&amp;number=0&amp;sourceID=14","0")</f>
        <v>0</v>
      </c>
    </row>
    <row r="2877" spans="1:7">
      <c r="A2877" s="3">
        <v>12</v>
      </c>
      <c r="B2877" s="3">
        <v>4</v>
      </c>
      <c r="C2877" s="3">
        <v>56</v>
      </c>
      <c r="D2877" s="3">
        <v>39</v>
      </c>
      <c r="E2877" s="3">
        <v>357.105</v>
      </c>
      <c r="F2877" s="4" t="str">
        <f>HYPERLINK("http://141.218.60.56/~jnz1568/getInfo.php?workbook=12_04.xlsx&amp;sheet=A0&amp;row=2877&amp;col=6&amp;number=3780&amp;sourceID=14","3780")</f>
        <v>3780</v>
      </c>
      <c r="G2877" s="4" t="str">
        <f>HYPERLINK("http://141.218.60.56/~jnz1568/getInfo.php?workbook=12_04.xlsx&amp;sheet=A0&amp;row=2877&amp;col=7&amp;number=0&amp;sourceID=14","0")</f>
        <v>0</v>
      </c>
    </row>
    <row r="2878" spans="1:7">
      <c r="A2878" s="3">
        <v>12</v>
      </c>
      <c r="B2878" s="3">
        <v>4</v>
      </c>
      <c r="C2878" s="3">
        <v>57</v>
      </c>
      <c r="D2878" s="3">
        <v>39</v>
      </c>
      <c r="E2878" s="3">
        <v>-356.889</v>
      </c>
      <c r="F2878" s="4" t="str">
        <f>HYPERLINK("http://141.218.60.56/~jnz1568/getInfo.php?workbook=12_04.xlsx&amp;sheet=A0&amp;row=2878&amp;col=6&amp;number=75.2&amp;sourceID=14","75.2")</f>
        <v>75.2</v>
      </c>
      <c r="G2878" s="4" t="str">
        <f>HYPERLINK("http://141.218.60.56/~jnz1568/getInfo.php?workbook=12_04.xlsx&amp;sheet=A0&amp;row=2878&amp;col=7&amp;number=0&amp;sourceID=14","0")</f>
        <v>0</v>
      </c>
    </row>
    <row r="2879" spans="1:7">
      <c r="A2879" s="3">
        <v>12</v>
      </c>
      <c r="B2879" s="3">
        <v>4</v>
      </c>
      <c r="C2879" s="3">
        <v>58</v>
      </c>
      <c r="D2879" s="3">
        <v>39</v>
      </c>
      <c r="E2879" s="3">
        <v>-356.852</v>
      </c>
      <c r="F2879" s="4" t="str">
        <f>HYPERLINK("http://141.218.60.56/~jnz1568/getInfo.php?workbook=12_04.xlsx&amp;sheet=A0&amp;row=2879&amp;col=6&amp;number=144&amp;sourceID=14","144")</f>
        <v>144</v>
      </c>
      <c r="G2879" s="4" t="str">
        <f>HYPERLINK("http://141.218.60.56/~jnz1568/getInfo.php?workbook=12_04.xlsx&amp;sheet=A0&amp;row=2879&amp;col=7&amp;number=0&amp;sourceID=14","0")</f>
        <v>0</v>
      </c>
    </row>
    <row r="2880" spans="1:7">
      <c r="A2880" s="3">
        <v>12</v>
      </c>
      <c r="B2880" s="3">
        <v>4</v>
      </c>
      <c r="C2880" s="3">
        <v>59</v>
      </c>
      <c r="D2880" s="3">
        <v>39</v>
      </c>
      <c r="E2880" s="3">
        <v>-356.803</v>
      </c>
      <c r="F2880" s="4" t="str">
        <f>HYPERLINK("http://141.218.60.56/~jnz1568/getInfo.php?workbook=12_04.xlsx&amp;sheet=A0&amp;row=2880&amp;col=6&amp;number=280&amp;sourceID=14","280")</f>
        <v>280</v>
      </c>
      <c r="G2880" s="4" t="str">
        <f>HYPERLINK("http://141.218.60.56/~jnz1568/getInfo.php?workbook=12_04.xlsx&amp;sheet=A0&amp;row=2880&amp;col=7&amp;number=0&amp;sourceID=14","0")</f>
        <v>0</v>
      </c>
    </row>
    <row r="2881" spans="1:7">
      <c r="A2881" s="3">
        <v>12</v>
      </c>
      <c r="B2881" s="3">
        <v>4</v>
      </c>
      <c r="C2881" s="3">
        <v>60</v>
      </c>
      <c r="D2881" s="3">
        <v>39</v>
      </c>
      <c r="E2881" s="3">
        <v>-353.616</v>
      </c>
      <c r="F2881" s="4" t="str">
        <f>HYPERLINK("http://141.218.60.56/~jnz1568/getInfo.php?workbook=12_04.xlsx&amp;sheet=A0&amp;row=2881&amp;col=6&amp;number=0.218&amp;sourceID=14","0.218")</f>
        <v>0.218</v>
      </c>
      <c r="G2881" s="4" t="str">
        <f>HYPERLINK("http://141.218.60.56/~jnz1568/getInfo.php?workbook=12_04.xlsx&amp;sheet=A0&amp;row=2881&amp;col=7&amp;number=0&amp;sourceID=14","0")</f>
        <v>0</v>
      </c>
    </row>
    <row r="2882" spans="1:7">
      <c r="A2882" s="3">
        <v>12</v>
      </c>
      <c r="B2882" s="3">
        <v>4</v>
      </c>
      <c r="C2882" s="3">
        <v>61</v>
      </c>
      <c r="D2882" s="3">
        <v>39</v>
      </c>
      <c r="E2882" s="3">
        <v>-250.94</v>
      </c>
      <c r="F2882" s="4" t="str">
        <f>HYPERLINK("http://141.218.60.56/~jnz1568/getInfo.php?workbook=12_04.xlsx&amp;sheet=A0&amp;row=2882&amp;col=6&amp;number=305000&amp;sourceID=14","305000")</f>
        <v>305000</v>
      </c>
      <c r="G2882" s="4" t="str">
        <f>HYPERLINK("http://141.218.60.56/~jnz1568/getInfo.php?workbook=12_04.xlsx&amp;sheet=A0&amp;row=2882&amp;col=7&amp;number=0&amp;sourceID=14","0")</f>
        <v>0</v>
      </c>
    </row>
    <row r="2883" spans="1:7">
      <c r="A2883" s="3">
        <v>12</v>
      </c>
      <c r="B2883" s="3">
        <v>4</v>
      </c>
      <c r="C2883" s="3">
        <v>62</v>
      </c>
      <c r="D2883" s="3">
        <v>39</v>
      </c>
      <c r="E2883" s="3">
        <v>-250.363</v>
      </c>
      <c r="F2883" s="4" t="str">
        <f>HYPERLINK("http://141.218.60.56/~jnz1568/getInfo.php?workbook=12_04.xlsx&amp;sheet=A0&amp;row=2883&amp;col=6&amp;number=41200&amp;sourceID=14","41200")</f>
        <v>41200</v>
      </c>
      <c r="G2883" s="4" t="str">
        <f>HYPERLINK("http://141.218.60.56/~jnz1568/getInfo.php?workbook=12_04.xlsx&amp;sheet=A0&amp;row=2883&amp;col=7&amp;number=0&amp;sourceID=14","0")</f>
        <v>0</v>
      </c>
    </row>
    <row r="2884" spans="1:7">
      <c r="A2884" s="3">
        <v>12</v>
      </c>
      <c r="B2884" s="3">
        <v>4</v>
      </c>
      <c r="C2884" s="3">
        <v>63</v>
      </c>
      <c r="D2884" s="3">
        <v>39</v>
      </c>
      <c r="E2884" s="3">
        <v>-248.509</v>
      </c>
      <c r="F2884" s="4" t="str">
        <f>HYPERLINK("http://141.218.60.56/~jnz1568/getInfo.php?workbook=12_04.xlsx&amp;sheet=A0&amp;row=2884&amp;col=6&amp;number=81400&amp;sourceID=14","81400")</f>
        <v>81400</v>
      </c>
      <c r="G2884" s="4" t="str">
        <f>HYPERLINK("http://141.218.60.56/~jnz1568/getInfo.php?workbook=12_04.xlsx&amp;sheet=A0&amp;row=2884&amp;col=7&amp;number=0&amp;sourceID=14","0")</f>
        <v>0</v>
      </c>
    </row>
    <row r="2885" spans="1:7">
      <c r="A2885" s="3">
        <v>12</v>
      </c>
      <c r="B2885" s="3">
        <v>4</v>
      </c>
      <c r="C2885" s="3">
        <v>64</v>
      </c>
      <c r="D2885" s="3">
        <v>39</v>
      </c>
      <c r="E2885" s="3">
        <v>-244.715</v>
      </c>
      <c r="F2885" s="4" t="str">
        <f>HYPERLINK("http://141.218.60.56/~jnz1568/getInfo.php?workbook=12_04.xlsx&amp;sheet=A0&amp;row=2885&amp;col=6&amp;number=3440&amp;sourceID=14","3440")</f>
        <v>3440</v>
      </c>
      <c r="G2885" s="4" t="str">
        <f>HYPERLINK("http://141.218.60.56/~jnz1568/getInfo.php?workbook=12_04.xlsx&amp;sheet=A0&amp;row=2885&amp;col=7&amp;number=0&amp;sourceID=14","0")</f>
        <v>0</v>
      </c>
    </row>
    <row r="2886" spans="1:7">
      <c r="A2886" s="3">
        <v>12</v>
      </c>
      <c r="B2886" s="3">
        <v>4</v>
      </c>
      <c r="C2886" s="3">
        <v>65</v>
      </c>
      <c r="D2886" s="3">
        <v>39</v>
      </c>
      <c r="E2886" s="3">
        <v>-240.289</v>
      </c>
      <c r="F2886" s="4" t="str">
        <f>HYPERLINK("http://141.218.60.56/~jnz1568/getInfo.php?workbook=12_04.xlsx&amp;sheet=A0&amp;row=2886&amp;col=6&amp;number=19500000&amp;sourceID=14","19500000")</f>
        <v>19500000</v>
      </c>
      <c r="G2886" s="4" t="str">
        <f>HYPERLINK("http://141.218.60.56/~jnz1568/getInfo.php?workbook=12_04.xlsx&amp;sheet=A0&amp;row=2886&amp;col=7&amp;number=0&amp;sourceID=14","0")</f>
        <v>0</v>
      </c>
    </row>
    <row r="2887" spans="1:7">
      <c r="A2887" s="3">
        <v>12</v>
      </c>
      <c r="B2887" s="3">
        <v>4</v>
      </c>
      <c r="C2887" s="3">
        <v>66</v>
      </c>
      <c r="D2887" s="3">
        <v>39</v>
      </c>
      <c r="E2887" s="3">
        <v>-238.825</v>
      </c>
      <c r="F2887" s="4" t="str">
        <f>HYPERLINK("http://141.218.60.56/~jnz1568/getInfo.php?workbook=12_04.xlsx&amp;sheet=A0&amp;row=2887&amp;col=6&amp;number=298000000&amp;sourceID=14","298000000")</f>
        <v>298000000</v>
      </c>
      <c r="G2887" s="4" t="str">
        <f>HYPERLINK("http://141.218.60.56/~jnz1568/getInfo.php?workbook=12_04.xlsx&amp;sheet=A0&amp;row=2887&amp;col=7&amp;number=0&amp;sourceID=14","0")</f>
        <v>0</v>
      </c>
    </row>
    <row r="2888" spans="1:7">
      <c r="A2888" s="3">
        <v>12</v>
      </c>
      <c r="B2888" s="3">
        <v>4</v>
      </c>
      <c r="C2888" s="3">
        <v>67</v>
      </c>
      <c r="D2888" s="3">
        <v>39</v>
      </c>
      <c r="E2888" s="3">
        <v>-238.568</v>
      </c>
      <c r="F2888" s="4" t="str">
        <f>HYPERLINK("http://141.218.60.56/~jnz1568/getInfo.php?workbook=12_04.xlsx&amp;sheet=A0&amp;row=2888&amp;col=6&amp;number=447000000&amp;sourceID=14","447000000")</f>
        <v>447000000</v>
      </c>
      <c r="G2888" s="4" t="str">
        <f>HYPERLINK("http://141.218.60.56/~jnz1568/getInfo.php?workbook=12_04.xlsx&amp;sheet=A0&amp;row=2888&amp;col=7&amp;number=0&amp;sourceID=14","0")</f>
        <v>0</v>
      </c>
    </row>
    <row r="2889" spans="1:7">
      <c r="A2889" s="3">
        <v>12</v>
      </c>
      <c r="B2889" s="3">
        <v>4</v>
      </c>
      <c r="C2889" s="3">
        <v>68</v>
      </c>
      <c r="D2889" s="3">
        <v>39</v>
      </c>
      <c r="E2889" s="3">
        <v>237.04</v>
      </c>
      <c r="F2889" s="4" t="str">
        <f>HYPERLINK("http://141.218.60.56/~jnz1568/getInfo.php?workbook=12_04.xlsx&amp;sheet=A0&amp;row=2889&amp;col=6&amp;number=1540000&amp;sourceID=14","1540000")</f>
        <v>1540000</v>
      </c>
      <c r="G2889" s="4" t="str">
        <f>HYPERLINK("http://141.218.60.56/~jnz1568/getInfo.php?workbook=12_04.xlsx&amp;sheet=A0&amp;row=2889&amp;col=7&amp;number=0&amp;sourceID=14","0")</f>
        <v>0</v>
      </c>
    </row>
    <row r="2890" spans="1:7">
      <c r="A2890" s="3">
        <v>12</v>
      </c>
      <c r="B2890" s="3">
        <v>4</v>
      </c>
      <c r="C2890" s="3">
        <v>69</v>
      </c>
      <c r="D2890" s="3">
        <v>39</v>
      </c>
      <c r="E2890" s="3">
        <v>-235.569</v>
      </c>
      <c r="F2890" s="4" t="str">
        <f>HYPERLINK("http://141.218.60.56/~jnz1568/getInfo.php?workbook=12_04.xlsx&amp;sheet=A0&amp;row=2890&amp;col=6&amp;number=1070000000&amp;sourceID=14","1070000000")</f>
        <v>1070000000</v>
      </c>
      <c r="G2890" s="4" t="str">
        <f>HYPERLINK("http://141.218.60.56/~jnz1568/getInfo.php?workbook=12_04.xlsx&amp;sheet=A0&amp;row=2890&amp;col=7&amp;number=0&amp;sourceID=14","0")</f>
        <v>0</v>
      </c>
    </row>
    <row r="2891" spans="1:7">
      <c r="A2891" s="3">
        <v>12</v>
      </c>
      <c r="B2891" s="3">
        <v>4</v>
      </c>
      <c r="C2891" s="3">
        <v>70</v>
      </c>
      <c r="D2891" s="3">
        <v>39</v>
      </c>
      <c r="E2891" s="3">
        <v>-235.219</v>
      </c>
      <c r="F2891" s="4" t="str">
        <f>HYPERLINK("http://141.218.60.56/~jnz1568/getInfo.php?workbook=12_04.xlsx&amp;sheet=A0&amp;row=2891&amp;col=6&amp;number=2.15&amp;sourceID=14","2.15")</f>
        <v>2.15</v>
      </c>
      <c r="G2891" s="4" t="str">
        <f>HYPERLINK("http://141.218.60.56/~jnz1568/getInfo.php?workbook=12_04.xlsx&amp;sheet=A0&amp;row=2891&amp;col=7&amp;number=0&amp;sourceID=14","0")</f>
        <v>0</v>
      </c>
    </row>
    <row r="2892" spans="1:7">
      <c r="A2892" s="3">
        <v>12</v>
      </c>
      <c r="B2892" s="3">
        <v>4</v>
      </c>
      <c r="C2892" s="3">
        <v>71</v>
      </c>
      <c r="D2892" s="3">
        <v>39</v>
      </c>
      <c r="E2892" s="3">
        <v>-234.155</v>
      </c>
      <c r="F2892" s="4" t="str">
        <f>HYPERLINK("http://141.218.60.56/~jnz1568/getInfo.php?workbook=12_04.xlsx&amp;sheet=A0&amp;row=2892&amp;col=6&amp;number=899000000&amp;sourceID=14","899000000")</f>
        <v>899000000</v>
      </c>
      <c r="G2892" s="4" t="str">
        <f>HYPERLINK("http://141.218.60.56/~jnz1568/getInfo.php?workbook=12_04.xlsx&amp;sheet=A0&amp;row=2892&amp;col=7&amp;number=0&amp;sourceID=14","0")</f>
        <v>0</v>
      </c>
    </row>
    <row r="2893" spans="1:7">
      <c r="A2893" s="3">
        <v>12</v>
      </c>
      <c r="B2893" s="3">
        <v>4</v>
      </c>
      <c r="C2893" s="3">
        <v>72</v>
      </c>
      <c r="D2893" s="3">
        <v>39</v>
      </c>
      <c r="E2893" s="3">
        <v>233.924</v>
      </c>
      <c r="F2893" s="4" t="str">
        <f>HYPERLINK("http://141.218.60.56/~jnz1568/getInfo.php?workbook=12_04.xlsx&amp;sheet=A0&amp;row=2893&amp;col=6&amp;number=429000000&amp;sourceID=14","429000000")</f>
        <v>429000000</v>
      </c>
      <c r="G2893" s="4" t="str">
        <f>HYPERLINK("http://141.218.60.56/~jnz1568/getInfo.php?workbook=12_04.xlsx&amp;sheet=A0&amp;row=2893&amp;col=7&amp;number=0&amp;sourceID=14","0")</f>
        <v>0</v>
      </c>
    </row>
    <row r="2894" spans="1:7">
      <c r="A2894" s="3">
        <v>12</v>
      </c>
      <c r="B2894" s="3">
        <v>4</v>
      </c>
      <c r="C2894" s="3">
        <v>73</v>
      </c>
      <c r="D2894" s="3">
        <v>39</v>
      </c>
      <c r="E2894" s="3">
        <v>-232.25</v>
      </c>
      <c r="F2894" s="4" t="str">
        <f>HYPERLINK("http://141.218.60.56/~jnz1568/getInfo.php?workbook=12_04.xlsx&amp;sheet=A0&amp;row=2894&amp;col=6&amp;number=44700&amp;sourceID=14","44700")</f>
        <v>44700</v>
      </c>
      <c r="G2894" s="4" t="str">
        <f>HYPERLINK("http://141.218.60.56/~jnz1568/getInfo.php?workbook=12_04.xlsx&amp;sheet=A0&amp;row=2894&amp;col=7&amp;number=0&amp;sourceID=14","0")</f>
        <v>0</v>
      </c>
    </row>
    <row r="2895" spans="1:7">
      <c r="A2895" s="3">
        <v>12</v>
      </c>
      <c r="B2895" s="3">
        <v>4</v>
      </c>
      <c r="C2895" s="3">
        <v>74</v>
      </c>
      <c r="D2895" s="3">
        <v>39</v>
      </c>
      <c r="E2895" s="3">
        <v>-231.225</v>
      </c>
      <c r="F2895" s="4" t="str">
        <f>HYPERLINK("http://141.218.60.56/~jnz1568/getInfo.php?workbook=12_04.xlsx&amp;sheet=A0&amp;row=2895&amp;col=6&amp;number=91500&amp;sourceID=14","91500")</f>
        <v>91500</v>
      </c>
      <c r="G2895" s="4" t="str">
        <f>HYPERLINK("http://141.218.60.56/~jnz1568/getInfo.php?workbook=12_04.xlsx&amp;sheet=A0&amp;row=2895&amp;col=7&amp;number=0&amp;sourceID=14","0")</f>
        <v>0</v>
      </c>
    </row>
    <row r="2896" spans="1:7">
      <c r="A2896" s="3">
        <v>12</v>
      </c>
      <c r="B2896" s="3">
        <v>4</v>
      </c>
      <c r="C2896" s="3">
        <v>75</v>
      </c>
      <c r="D2896" s="3">
        <v>39</v>
      </c>
      <c r="E2896" s="3">
        <v>230.761</v>
      </c>
      <c r="F2896" s="4" t="str">
        <f>HYPERLINK("http://141.218.60.56/~jnz1568/getInfo.php?workbook=12_04.xlsx&amp;sheet=A0&amp;row=2896&amp;col=6&amp;number=55200&amp;sourceID=14","55200")</f>
        <v>55200</v>
      </c>
      <c r="G2896" s="4" t="str">
        <f>HYPERLINK("http://141.218.60.56/~jnz1568/getInfo.php?workbook=12_04.xlsx&amp;sheet=A0&amp;row=2896&amp;col=7&amp;number=0&amp;sourceID=14","0")</f>
        <v>0</v>
      </c>
    </row>
    <row r="2897" spans="1:7">
      <c r="A2897" s="3">
        <v>12</v>
      </c>
      <c r="B2897" s="3">
        <v>4</v>
      </c>
      <c r="C2897" s="3">
        <v>76</v>
      </c>
      <c r="D2897" s="3">
        <v>39</v>
      </c>
      <c r="E2897" s="3">
        <v>230.83</v>
      </c>
      <c r="F2897" s="4" t="str">
        <f>HYPERLINK("http://141.218.60.56/~jnz1568/getInfo.php?workbook=12_04.xlsx&amp;sheet=A0&amp;row=2897&amp;col=6&amp;number=8290000&amp;sourceID=14","8290000")</f>
        <v>8290000</v>
      </c>
      <c r="G2897" s="4" t="str">
        <f>HYPERLINK("http://141.218.60.56/~jnz1568/getInfo.php?workbook=12_04.xlsx&amp;sheet=A0&amp;row=2897&amp;col=7&amp;number=0&amp;sourceID=14","0")</f>
        <v>0</v>
      </c>
    </row>
    <row r="2898" spans="1:7">
      <c r="A2898" s="3">
        <v>12</v>
      </c>
      <c r="B2898" s="3">
        <v>4</v>
      </c>
      <c r="C2898" s="3">
        <v>77</v>
      </c>
      <c r="D2898" s="3">
        <v>39</v>
      </c>
      <c r="E2898" s="3">
        <v>-230.067</v>
      </c>
      <c r="F2898" s="4" t="str">
        <f>HYPERLINK("http://141.218.60.56/~jnz1568/getInfo.php?workbook=12_04.xlsx&amp;sheet=A0&amp;row=2898&amp;col=6&amp;number=14100&amp;sourceID=14","14100")</f>
        <v>14100</v>
      </c>
      <c r="G2898" s="4" t="str">
        <f>HYPERLINK("http://141.218.60.56/~jnz1568/getInfo.php?workbook=12_04.xlsx&amp;sheet=A0&amp;row=2898&amp;col=7&amp;number=0&amp;sourceID=14","0")</f>
        <v>0</v>
      </c>
    </row>
    <row r="2899" spans="1:7">
      <c r="A2899" s="3">
        <v>12</v>
      </c>
      <c r="B2899" s="3">
        <v>4</v>
      </c>
      <c r="C2899" s="3">
        <v>78</v>
      </c>
      <c r="D2899" s="3">
        <v>39</v>
      </c>
      <c r="E2899" s="3">
        <v>-228.488</v>
      </c>
      <c r="F2899" s="4" t="str">
        <f>HYPERLINK("http://141.218.60.56/~jnz1568/getInfo.php?workbook=12_04.xlsx&amp;sheet=A0&amp;row=2899&amp;col=6&amp;number=98100&amp;sourceID=14","98100")</f>
        <v>98100</v>
      </c>
      <c r="G2899" s="4" t="str">
        <f>HYPERLINK("http://141.218.60.56/~jnz1568/getInfo.php?workbook=12_04.xlsx&amp;sheet=A0&amp;row=2899&amp;col=7&amp;number=0&amp;sourceID=14","0")</f>
        <v>0</v>
      </c>
    </row>
    <row r="2900" spans="1:7">
      <c r="A2900" s="3">
        <v>12</v>
      </c>
      <c r="B2900" s="3">
        <v>4</v>
      </c>
      <c r="C2900" s="3">
        <v>79</v>
      </c>
      <c r="D2900" s="3">
        <v>39</v>
      </c>
      <c r="E2900" s="3">
        <v>-228.166</v>
      </c>
      <c r="F2900" s="4" t="str">
        <f>HYPERLINK("http://141.218.60.56/~jnz1568/getInfo.php?workbook=12_04.xlsx&amp;sheet=A0&amp;row=2900&amp;col=6&amp;number=99100&amp;sourceID=14","99100")</f>
        <v>99100</v>
      </c>
      <c r="G2900" s="4" t="str">
        <f>HYPERLINK("http://141.218.60.56/~jnz1568/getInfo.php?workbook=12_04.xlsx&amp;sheet=A0&amp;row=2900&amp;col=7&amp;number=0&amp;sourceID=14","0")</f>
        <v>0</v>
      </c>
    </row>
    <row r="2901" spans="1:7">
      <c r="A2901" s="3">
        <v>12</v>
      </c>
      <c r="B2901" s="3">
        <v>4</v>
      </c>
      <c r="C2901" s="3">
        <v>80</v>
      </c>
      <c r="D2901" s="3">
        <v>39</v>
      </c>
      <c r="E2901" s="3">
        <v>-227.521</v>
      </c>
      <c r="F2901" s="4" t="str">
        <f>HYPERLINK("http://141.218.60.56/~jnz1568/getInfo.php?workbook=12_04.xlsx&amp;sheet=A0&amp;row=2901&amp;col=6&amp;number=6390000000&amp;sourceID=14","6390000000")</f>
        <v>6390000000</v>
      </c>
      <c r="G2901" s="4" t="str">
        <f>HYPERLINK("http://141.218.60.56/~jnz1568/getInfo.php?workbook=12_04.xlsx&amp;sheet=A0&amp;row=2901&amp;col=7&amp;number=0&amp;sourceID=14","0")</f>
        <v>0</v>
      </c>
    </row>
    <row r="2902" spans="1:7">
      <c r="A2902" s="3">
        <v>12</v>
      </c>
      <c r="B2902" s="3">
        <v>4</v>
      </c>
      <c r="C2902" s="3">
        <v>81</v>
      </c>
      <c r="D2902" s="3">
        <v>39</v>
      </c>
      <c r="E2902" s="3">
        <v>227.072</v>
      </c>
      <c r="F2902" s="4" t="str">
        <f>HYPERLINK("http://141.218.60.56/~jnz1568/getInfo.php?workbook=12_04.xlsx&amp;sheet=A0&amp;row=2902&amp;col=6&amp;number=53800&amp;sourceID=14","53800")</f>
        <v>53800</v>
      </c>
      <c r="G2902" s="4" t="str">
        <f>HYPERLINK("http://141.218.60.56/~jnz1568/getInfo.php?workbook=12_04.xlsx&amp;sheet=A0&amp;row=2902&amp;col=7&amp;number=0&amp;sourceID=14","0")</f>
        <v>0</v>
      </c>
    </row>
    <row r="2903" spans="1:7">
      <c r="A2903" s="3">
        <v>12</v>
      </c>
      <c r="B2903" s="3">
        <v>4</v>
      </c>
      <c r="C2903" s="3">
        <v>82</v>
      </c>
      <c r="D2903" s="3">
        <v>39</v>
      </c>
      <c r="E2903" s="3">
        <v>-227.334</v>
      </c>
      <c r="F2903" s="4" t="str">
        <f>HYPERLINK("http://141.218.60.56/~jnz1568/getInfo.php?workbook=12_04.xlsx&amp;sheet=A0&amp;row=2903&amp;col=6&amp;number=9160000000&amp;sourceID=14","9160000000")</f>
        <v>9160000000</v>
      </c>
      <c r="G2903" s="4" t="str">
        <f>HYPERLINK("http://141.218.60.56/~jnz1568/getInfo.php?workbook=12_04.xlsx&amp;sheet=A0&amp;row=2903&amp;col=7&amp;number=0&amp;sourceID=14","0")</f>
        <v>0</v>
      </c>
    </row>
    <row r="2904" spans="1:7">
      <c r="A2904" s="3">
        <v>12</v>
      </c>
      <c r="B2904" s="3">
        <v>4</v>
      </c>
      <c r="C2904" s="3">
        <v>83</v>
      </c>
      <c r="D2904" s="3">
        <v>39</v>
      </c>
      <c r="E2904" s="3">
        <v>-227.332</v>
      </c>
      <c r="F2904" s="4" t="str">
        <f>HYPERLINK("http://141.218.60.56/~jnz1568/getInfo.php?workbook=12_04.xlsx&amp;sheet=A0&amp;row=2904&amp;col=6&amp;number=56200000000&amp;sourceID=14","56200000000")</f>
        <v>56200000000</v>
      </c>
      <c r="G2904" s="4" t="str">
        <f>HYPERLINK("http://141.218.60.56/~jnz1568/getInfo.php?workbook=12_04.xlsx&amp;sheet=A0&amp;row=2904&amp;col=7&amp;number=0&amp;sourceID=14","0")</f>
        <v>0</v>
      </c>
    </row>
    <row r="2905" spans="1:7">
      <c r="A2905" s="3">
        <v>12</v>
      </c>
      <c r="B2905" s="3">
        <v>4</v>
      </c>
      <c r="C2905" s="3">
        <v>84</v>
      </c>
      <c r="D2905" s="3">
        <v>39</v>
      </c>
      <c r="E2905" s="3">
        <v>-227.164</v>
      </c>
      <c r="F2905" s="4" t="str">
        <f>HYPERLINK("http://141.218.60.56/~jnz1568/getInfo.php?workbook=12_04.xlsx&amp;sheet=A0&amp;row=2905&amp;col=6&amp;number=0.107&amp;sourceID=14","0.107")</f>
        <v>0.107</v>
      </c>
      <c r="G2905" s="4" t="str">
        <f>HYPERLINK("http://141.218.60.56/~jnz1568/getInfo.php?workbook=12_04.xlsx&amp;sheet=A0&amp;row=2905&amp;col=7&amp;number=0&amp;sourceID=14","0")</f>
        <v>0</v>
      </c>
    </row>
    <row r="2906" spans="1:7">
      <c r="A2906" s="3">
        <v>12</v>
      </c>
      <c r="B2906" s="3">
        <v>4</v>
      </c>
      <c r="C2906" s="3">
        <v>85</v>
      </c>
      <c r="D2906" s="3">
        <v>39</v>
      </c>
      <c r="E2906" s="3">
        <v>226.455</v>
      </c>
      <c r="F2906" s="4" t="str">
        <f>HYPERLINK("http://141.218.60.56/~jnz1568/getInfo.php?workbook=12_04.xlsx&amp;sheet=A0&amp;row=2906&amp;col=6&amp;number=72400&amp;sourceID=14","72400")</f>
        <v>72400</v>
      </c>
      <c r="G2906" s="4" t="str">
        <f>HYPERLINK("http://141.218.60.56/~jnz1568/getInfo.php?workbook=12_04.xlsx&amp;sheet=A0&amp;row=2906&amp;col=7&amp;number=0&amp;sourceID=14","0")</f>
        <v>0</v>
      </c>
    </row>
    <row r="2907" spans="1:7">
      <c r="A2907" s="3">
        <v>12</v>
      </c>
      <c r="B2907" s="3">
        <v>4</v>
      </c>
      <c r="C2907" s="3">
        <v>86</v>
      </c>
      <c r="D2907" s="3">
        <v>39</v>
      </c>
      <c r="E2907" s="3">
        <v>226.189</v>
      </c>
      <c r="F2907" s="4" t="str">
        <f>HYPERLINK("http://141.218.60.56/~jnz1568/getInfo.php?workbook=12_04.xlsx&amp;sheet=A0&amp;row=2907&amp;col=6&amp;number=21000&amp;sourceID=14","21000")</f>
        <v>21000</v>
      </c>
      <c r="G2907" s="4" t="str">
        <f>HYPERLINK("http://141.218.60.56/~jnz1568/getInfo.php?workbook=12_04.xlsx&amp;sheet=A0&amp;row=2907&amp;col=7&amp;number=0&amp;sourceID=14","0")</f>
        <v>0</v>
      </c>
    </row>
    <row r="2908" spans="1:7">
      <c r="A2908" s="3">
        <v>12</v>
      </c>
      <c r="B2908" s="3">
        <v>4</v>
      </c>
      <c r="C2908" s="3">
        <v>87</v>
      </c>
      <c r="D2908" s="3">
        <v>39</v>
      </c>
      <c r="E2908" s="3">
        <v>-225.917</v>
      </c>
      <c r="F2908" s="4" t="str">
        <f>HYPERLINK("http://141.218.60.56/~jnz1568/getInfo.php?workbook=12_04.xlsx&amp;sheet=A0&amp;row=2908&amp;col=6&amp;number=203000&amp;sourceID=14","203000")</f>
        <v>203000</v>
      </c>
      <c r="G2908" s="4" t="str">
        <f>HYPERLINK("http://141.218.60.56/~jnz1568/getInfo.php?workbook=12_04.xlsx&amp;sheet=A0&amp;row=2908&amp;col=7&amp;number=0&amp;sourceID=14","0")</f>
        <v>0</v>
      </c>
    </row>
    <row r="2909" spans="1:7">
      <c r="A2909" s="3">
        <v>12</v>
      </c>
      <c r="B2909" s="3">
        <v>4</v>
      </c>
      <c r="C2909" s="3">
        <v>88</v>
      </c>
      <c r="D2909" s="3">
        <v>39</v>
      </c>
      <c r="E2909" s="3">
        <v>-225.518</v>
      </c>
      <c r="F2909" s="4" t="str">
        <f>HYPERLINK("http://141.218.60.56/~jnz1568/getInfo.php?workbook=12_04.xlsx&amp;sheet=A0&amp;row=2909&amp;col=6&amp;number=14600000000&amp;sourceID=14","14600000000")</f>
        <v>14600000000</v>
      </c>
      <c r="G2909" s="4" t="str">
        <f>HYPERLINK("http://141.218.60.56/~jnz1568/getInfo.php?workbook=12_04.xlsx&amp;sheet=A0&amp;row=2909&amp;col=7&amp;number=0&amp;sourceID=14","0")</f>
        <v>0</v>
      </c>
    </row>
    <row r="2910" spans="1:7">
      <c r="A2910" s="3">
        <v>12</v>
      </c>
      <c r="B2910" s="3">
        <v>4</v>
      </c>
      <c r="C2910" s="3">
        <v>89</v>
      </c>
      <c r="D2910" s="3">
        <v>39</v>
      </c>
      <c r="E2910" s="3">
        <v>-225.282</v>
      </c>
      <c r="F2910" s="4" t="str">
        <f>HYPERLINK("http://141.218.60.56/~jnz1568/getInfo.php?workbook=12_04.xlsx&amp;sheet=A0&amp;row=2910&amp;col=6&amp;number=26.8&amp;sourceID=14","26.8")</f>
        <v>26.8</v>
      </c>
      <c r="G2910" s="4" t="str">
        <f>HYPERLINK("http://141.218.60.56/~jnz1568/getInfo.php?workbook=12_04.xlsx&amp;sheet=A0&amp;row=2910&amp;col=7&amp;number=0&amp;sourceID=14","0")</f>
        <v>0</v>
      </c>
    </row>
    <row r="2911" spans="1:7">
      <c r="A2911" s="3">
        <v>12</v>
      </c>
      <c r="B2911" s="3">
        <v>4</v>
      </c>
      <c r="C2911" s="3">
        <v>90</v>
      </c>
      <c r="D2911" s="3">
        <v>39</v>
      </c>
      <c r="E2911" s="3">
        <v>-224.587</v>
      </c>
      <c r="F2911" s="4" t="str">
        <f>HYPERLINK("http://141.218.60.56/~jnz1568/getInfo.php?workbook=12_04.xlsx&amp;sheet=A0&amp;row=2911&amp;col=6&amp;number=1.01&amp;sourceID=14","1.01")</f>
        <v>1.01</v>
      </c>
      <c r="G2911" s="4" t="str">
        <f>HYPERLINK("http://141.218.60.56/~jnz1568/getInfo.php?workbook=12_04.xlsx&amp;sheet=A0&amp;row=2911&amp;col=7&amp;number=0&amp;sourceID=14","0")</f>
        <v>0</v>
      </c>
    </row>
    <row r="2912" spans="1:7">
      <c r="A2912" s="3">
        <v>12</v>
      </c>
      <c r="B2912" s="3">
        <v>4</v>
      </c>
      <c r="C2912" s="3">
        <v>91</v>
      </c>
      <c r="D2912" s="3">
        <v>39</v>
      </c>
      <c r="E2912" s="3">
        <v>-223.974</v>
      </c>
      <c r="F2912" s="4" t="str">
        <f>HYPERLINK("http://141.218.60.56/~jnz1568/getInfo.php?workbook=12_04.xlsx&amp;sheet=A0&amp;row=2912&amp;col=6&amp;number=716000000&amp;sourceID=14","716000000")</f>
        <v>716000000</v>
      </c>
      <c r="G2912" s="4" t="str">
        <f>HYPERLINK("http://141.218.60.56/~jnz1568/getInfo.php?workbook=12_04.xlsx&amp;sheet=A0&amp;row=2912&amp;col=7&amp;number=0&amp;sourceID=14","0")</f>
        <v>0</v>
      </c>
    </row>
    <row r="2913" spans="1:7">
      <c r="A2913" s="3">
        <v>12</v>
      </c>
      <c r="B2913" s="3">
        <v>4</v>
      </c>
      <c r="C2913" s="3">
        <v>92</v>
      </c>
      <c r="D2913" s="3">
        <v>39</v>
      </c>
      <c r="E2913" s="3">
        <v>-223.83</v>
      </c>
      <c r="F2913" s="4" t="str">
        <f>HYPERLINK("http://141.218.60.56/~jnz1568/getInfo.php?workbook=12_04.xlsx&amp;sheet=A0&amp;row=2913&amp;col=6&amp;number=4.93&amp;sourceID=14","4.93")</f>
        <v>4.93</v>
      </c>
      <c r="G2913" s="4" t="str">
        <f>HYPERLINK("http://141.218.60.56/~jnz1568/getInfo.php?workbook=12_04.xlsx&amp;sheet=A0&amp;row=2913&amp;col=7&amp;number=0&amp;sourceID=14","0")</f>
        <v>0</v>
      </c>
    </row>
    <row r="2914" spans="1:7">
      <c r="A2914" s="3">
        <v>12</v>
      </c>
      <c r="B2914" s="3">
        <v>4</v>
      </c>
      <c r="C2914" s="3">
        <v>93</v>
      </c>
      <c r="D2914" s="3">
        <v>39</v>
      </c>
      <c r="E2914" s="3">
        <v>-223.698</v>
      </c>
      <c r="F2914" s="4" t="str">
        <f>HYPERLINK("http://141.218.60.56/~jnz1568/getInfo.php?workbook=12_04.xlsx&amp;sheet=A0&amp;row=2914&amp;col=6&amp;number=9930000000&amp;sourceID=14","9930000000")</f>
        <v>9930000000</v>
      </c>
      <c r="G2914" s="4" t="str">
        <f>HYPERLINK("http://141.218.60.56/~jnz1568/getInfo.php?workbook=12_04.xlsx&amp;sheet=A0&amp;row=2914&amp;col=7&amp;number=0&amp;sourceID=14","0")</f>
        <v>0</v>
      </c>
    </row>
    <row r="2915" spans="1:7">
      <c r="A2915" s="3">
        <v>12</v>
      </c>
      <c r="B2915" s="3">
        <v>4</v>
      </c>
      <c r="C2915" s="3">
        <v>94</v>
      </c>
      <c r="D2915" s="3">
        <v>39</v>
      </c>
      <c r="E2915" s="3">
        <v>-223.216</v>
      </c>
      <c r="F2915" s="4" t="str">
        <f>HYPERLINK("http://141.218.60.56/~jnz1568/getInfo.php?workbook=12_04.xlsx&amp;sheet=A0&amp;row=2915&amp;col=6&amp;number=2920000000&amp;sourceID=14","2920000000")</f>
        <v>2920000000</v>
      </c>
      <c r="G2915" s="4" t="str">
        <f>HYPERLINK("http://141.218.60.56/~jnz1568/getInfo.php?workbook=12_04.xlsx&amp;sheet=A0&amp;row=2915&amp;col=7&amp;number=0&amp;sourceID=14","0")</f>
        <v>0</v>
      </c>
    </row>
    <row r="2916" spans="1:7">
      <c r="A2916" s="3">
        <v>12</v>
      </c>
      <c r="B2916" s="3">
        <v>4</v>
      </c>
      <c r="C2916" s="3">
        <v>95</v>
      </c>
      <c r="D2916" s="3">
        <v>39</v>
      </c>
      <c r="E2916" s="3">
        <v>-222.9</v>
      </c>
      <c r="F2916" s="4" t="str">
        <f>HYPERLINK("http://141.218.60.56/~jnz1568/getInfo.php?workbook=12_04.xlsx&amp;sheet=A0&amp;row=2916&amp;col=6&amp;number=0.31&amp;sourceID=14","0.31")</f>
        <v>0.31</v>
      </c>
      <c r="G2916" s="4" t="str">
        <f>HYPERLINK("http://141.218.60.56/~jnz1568/getInfo.php?workbook=12_04.xlsx&amp;sheet=A0&amp;row=2916&amp;col=7&amp;number=0&amp;sourceID=14","0")</f>
        <v>0</v>
      </c>
    </row>
    <row r="2917" spans="1:7">
      <c r="A2917" s="3">
        <v>12</v>
      </c>
      <c r="B2917" s="3">
        <v>4</v>
      </c>
      <c r="C2917" s="3">
        <v>96</v>
      </c>
      <c r="D2917" s="3">
        <v>39</v>
      </c>
      <c r="E2917" s="3">
        <v>-222.609</v>
      </c>
      <c r="F2917" s="4" t="str">
        <f>HYPERLINK("http://141.218.60.56/~jnz1568/getInfo.php?workbook=12_04.xlsx&amp;sheet=A0&amp;row=2917&amp;col=6&amp;number=263000000&amp;sourceID=14","263000000")</f>
        <v>263000000</v>
      </c>
      <c r="G2917" s="4" t="str">
        <f>HYPERLINK("http://141.218.60.56/~jnz1568/getInfo.php?workbook=12_04.xlsx&amp;sheet=A0&amp;row=2917&amp;col=7&amp;number=0&amp;sourceID=14","0")</f>
        <v>0</v>
      </c>
    </row>
    <row r="2918" spans="1:7">
      <c r="A2918" s="3">
        <v>12</v>
      </c>
      <c r="B2918" s="3">
        <v>4</v>
      </c>
      <c r="C2918" s="3">
        <v>97</v>
      </c>
      <c r="D2918" s="3">
        <v>39</v>
      </c>
      <c r="E2918" s="3">
        <v>222.862</v>
      </c>
      <c r="F2918" s="4" t="str">
        <f>HYPERLINK("http://141.218.60.56/~jnz1568/getInfo.php?workbook=12_04.xlsx&amp;sheet=A0&amp;row=2918&amp;col=6&amp;number=697&amp;sourceID=14","697")</f>
        <v>697</v>
      </c>
      <c r="G2918" s="4" t="str">
        <f>HYPERLINK("http://141.218.60.56/~jnz1568/getInfo.php?workbook=12_04.xlsx&amp;sheet=A0&amp;row=2918&amp;col=7&amp;number=0&amp;sourceID=14","0")</f>
        <v>0</v>
      </c>
    </row>
    <row r="2919" spans="1:7">
      <c r="A2919" s="3">
        <v>12</v>
      </c>
      <c r="B2919" s="3">
        <v>4</v>
      </c>
      <c r="C2919" s="3">
        <v>98</v>
      </c>
      <c r="D2919" s="3">
        <v>39</v>
      </c>
      <c r="E2919" s="3">
        <v>222.001</v>
      </c>
      <c r="F2919" s="4" t="str">
        <f>HYPERLINK("http://141.218.60.56/~jnz1568/getInfo.php?workbook=12_04.xlsx&amp;sheet=A0&amp;row=2919&amp;col=6&amp;number=2850&amp;sourceID=14","2850")</f>
        <v>2850</v>
      </c>
      <c r="G2919" s="4" t="str">
        <f>HYPERLINK("http://141.218.60.56/~jnz1568/getInfo.php?workbook=12_04.xlsx&amp;sheet=A0&amp;row=2919&amp;col=7&amp;number=0&amp;sourceID=14","0")</f>
        <v>0</v>
      </c>
    </row>
    <row r="2920" spans="1:7">
      <c r="A2920" s="3">
        <v>12</v>
      </c>
      <c r="B2920" s="3">
        <v>4</v>
      </c>
      <c r="C2920" s="3">
        <v>41</v>
      </c>
      <c r="D2920" s="3">
        <v>40</v>
      </c>
      <c r="E2920" s="3">
        <v>15723.3</v>
      </c>
      <c r="F2920" s="4" t="str">
        <f>HYPERLINK("http://141.218.60.56/~jnz1568/getInfo.php?workbook=12_04.xlsx&amp;sheet=A0&amp;row=2920&amp;col=6&amp;number=0.214&amp;sourceID=14","0.214")</f>
        <v>0.214</v>
      </c>
      <c r="G2920" s="4" t="str">
        <f>HYPERLINK("http://141.218.60.56/~jnz1568/getInfo.php?workbook=12_04.xlsx&amp;sheet=A0&amp;row=2920&amp;col=7&amp;number=0&amp;sourceID=14","0")</f>
        <v>0</v>
      </c>
    </row>
    <row r="2921" spans="1:7">
      <c r="A2921" s="3">
        <v>12</v>
      </c>
      <c r="B2921" s="3">
        <v>4</v>
      </c>
      <c r="C2921" s="3">
        <v>42</v>
      </c>
      <c r="D2921" s="3">
        <v>40</v>
      </c>
      <c r="E2921" s="3">
        <v>13605.467</v>
      </c>
      <c r="F2921" s="4" t="str">
        <f>HYPERLINK("http://141.218.60.56/~jnz1568/getInfo.php?workbook=12_04.xlsx&amp;sheet=A0&amp;row=2921&amp;col=6&amp;number=0.000435&amp;sourceID=14","0.000435")</f>
        <v>0.000435</v>
      </c>
      <c r="G2921" s="4" t="str">
        <f>HYPERLINK("http://141.218.60.56/~jnz1568/getInfo.php?workbook=12_04.xlsx&amp;sheet=A0&amp;row=2921&amp;col=7&amp;number=0&amp;sourceID=14","0")</f>
        <v>0</v>
      </c>
    </row>
    <row r="2922" spans="1:7">
      <c r="A2922" s="3">
        <v>12</v>
      </c>
      <c r="B2922" s="3">
        <v>4</v>
      </c>
      <c r="C2922" s="3">
        <v>44</v>
      </c>
      <c r="D2922" s="3">
        <v>40</v>
      </c>
      <c r="E2922" s="3">
        <v>-4323.584</v>
      </c>
      <c r="F2922" s="4" t="str">
        <f>HYPERLINK("http://141.218.60.56/~jnz1568/getInfo.php?workbook=12_04.xlsx&amp;sheet=A0&amp;row=2922&amp;col=6&amp;number=3.57e-12&amp;sourceID=14","3.57e-12")</f>
        <v>3.57e-12</v>
      </c>
      <c r="G2922" s="4" t="str">
        <f>HYPERLINK("http://141.218.60.56/~jnz1568/getInfo.php?workbook=12_04.xlsx&amp;sheet=A0&amp;row=2922&amp;col=7&amp;number=0&amp;sourceID=14","0")</f>
        <v>0</v>
      </c>
    </row>
    <row r="2923" spans="1:7">
      <c r="A2923" s="3">
        <v>12</v>
      </c>
      <c r="B2923" s="3">
        <v>4</v>
      </c>
      <c r="C2923" s="3">
        <v>45</v>
      </c>
      <c r="D2923" s="3">
        <v>40</v>
      </c>
      <c r="E2923" s="3">
        <v>3871.474</v>
      </c>
      <c r="F2923" s="4" t="str">
        <f>HYPERLINK("http://141.218.60.56/~jnz1568/getInfo.php?workbook=12_04.xlsx&amp;sheet=A0&amp;row=2923&amp;col=6&amp;number=0.758&amp;sourceID=14","0.758")</f>
        <v>0.758</v>
      </c>
      <c r="G2923" s="4" t="str">
        <f>HYPERLINK("http://141.218.60.56/~jnz1568/getInfo.php?workbook=12_04.xlsx&amp;sheet=A0&amp;row=2923&amp;col=7&amp;number=0&amp;sourceID=14","0")</f>
        <v>0</v>
      </c>
    </row>
    <row r="2924" spans="1:7">
      <c r="A2924" s="3">
        <v>12</v>
      </c>
      <c r="B2924" s="3">
        <v>4</v>
      </c>
      <c r="C2924" s="3">
        <v>46</v>
      </c>
      <c r="D2924" s="3">
        <v>40</v>
      </c>
      <c r="E2924" s="3">
        <v>3058.11</v>
      </c>
      <c r="F2924" s="4" t="str">
        <f>HYPERLINK("http://141.218.60.56/~jnz1568/getInfo.php?workbook=12_04.xlsx&amp;sheet=A0&amp;row=2924&amp;col=6&amp;number=4.19e-06&amp;sourceID=14","4.19e-06")</f>
        <v>4.19e-06</v>
      </c>
      <c r="G2924" s="4" t="str">
        <f>HYPERLINK("http://141.218.60.56/~jnz1568/getInfo.php?workbook=12_04.xlsx&amp;sheet=A0&amp;row=2924&amp;col=7&amp;number=0&amp;sourceID=14","0")</f>
        <v>0</v>
      </c>
    </row>
    <row r="2925" spans="1:7">
      <c r="A2925" s="3">
        <v>12</v>
      </c>
      <c r="B2925" s="3">
        <v>4</v>
      </c>
      <c r="C2925" s="3">
        <v>47</v>
      </c>
      <c r="D2925" s="3">
        <v>40</v>
      </c>
      <c r="E2925" s="3">
        <v>-431.905</v>
      </c>
      <c r="F2925" s="4" t="str">
        <f>HYPERLINK("http://141.218.60.56/~jnz1568/getInfo.php?workbook=12_04.xlsx&amp;sheet=A0&amp;row=2925&amp;col=6&amp;number=0.00492&amp;sourceID=14","0.00492")</f>
        <v>0.00492</v>
      </c>
      <c r="G2925" s="4" t="str">
        <f>HYPERLINK("http://141.218.60.56/~jnz1568/getInfo.php?workbook=12_04.xlsx&amp;sheet=A0&amp;row=2925&amp;col=7&amp;number=0&amp;sourceID=14","0")</f>
        <v>0</v>
      </c>
    </row>
    <row r="2926" spans="1:7">
      <c r="A2926" s="3">
        <v>12</v>
      </c>
      <c r="B2926" s="3">
        <v>4</v>
      </c>
      <c r="C2926" s="3">
        <v>48</v>
      </c>
      <c r="D2926" s="3">
        <v>40</v>
      </c>
      <c r="E2926" s="3">
        <v>-413.903</v>
      </c>
      <c r="F2926" s="4" t="str">
        <f>HYPERLINK("http://141.218.60.56/~jnz1568/getInfo.php?workbook=12_04.xlsx&amp;sheet=A0&amp;row=2926&amp;col=6&amp;number=0.000369&amp;sourceID=14","0.000369")</f>
        <v>0.000369</v>
      </c>
      <c r="G2926" s="4" t="str">
        <f>HYPERLINK("http://141.218.60.56/~jnz1568/getInfo.php?workbook=12_04.xlsx&amp;sheet=A0&amp;row=2926&amp;col=7&amp;number=0&amp;sourceID=14","0")</f>
        <v>0</v>
      </c>
    </row>
    <row r="2927" spans="1:7">
      <c r="A2927" s="3">
        <v>12</v>
      </c>
      <c r="B2927" s="3">
        <v>4</v>
      </c>
      <c r="C2927" s="3">
        <v>50</v>
      </c>
      <c r="D2927" s="3">
        <v>40</v>
      </c>
      <c r="E2927" s="3">
        <v>-390.251</v>
      </c>
      <c r="F2927" s="4" t="str">
        <f>HYPERLINK("http://141.218.60.56/~jnz1568/getInfo.php?workbook=12_04.xlsx&amp;sheet=A0&amp;row=2927&amp;col=6&amp;number=129&amp;sourceID=14","129")</f>
        <v>129</v>
      </c>
      <c r="G2927" s="4" t="str">
        <f>HYPERLINK("http://141.218.60.56/~jnz1568/getInfo.php?workbook=12_04.xlsx&amp;sheet=A0&amp;row=2927&amp;col=7&amp;number=0&amp;sourceID=14","0")</f>
        <v>0</v>
      </c>
    </row>
    <row r="2928" spans="1:7">
      <c r="A2928" s="3">
        <v>12</v>
      </c>
      <c r="B2928" s="3">
        <v>4</v>
      </c>
      <c r="C2928" s="3">
        <v>51</v>
      </c>
      <c r="D2928" s="3">
        <v>40</v>
      </c>
      <c r="E2928" s="3">
        <v>-389.852</v>
      </c>
      <c r="F2928" s="4" t="str">
        <f>HYPERLINK("http://141.218.60.56/~jnz1568/getInfo.php?workbook=12_04.xlsx&amp;sheet=A0&amp;row=2928&amp;col=6&amp;number=30.9&amp;sourceID=14","30.9")</f>
        <v>30.9</v>
      </c>
      <c r="G2928" s="4" t="str">
        <f>HYPERLINK("http://141.218.60.56/~jnz1568/getInfo.php?workbook=12_04.xlsx&amp;sheet=A0&amp;row=2928&amp;col=7&amp;number=0&amp;sourceID=14","0")</f>
        <v>0</v>
      </c>
    </row>
    <row r="2929" spans="1:7">
      <c r="A2929" s="3">
        <v>12</v>
      </c>
      <c r="B2929" s="3">
        <v>4</v>
      </c>
      <c r="C2929" s="3">
        <v>52</v>
      </c>
      <c r="D2929" s="3">
        <v>40</v>
      </c>
      <c r="E2929" s="3">
        <v>384.882</v>
      </c>
      <c r="F2929" s="4" t="str">
        <f>HYPERLINK("http://141.218.60.56/~jnz1568/getInfo.php?workbook=12_04.xlsx&amp;sheet=A0&amp;row=2929&amp;col=6&amp;number=23.9&amp;sourceID=14","23.9")</f>
        <v>23.9</v>
      </c>
      <c r="G2929" s="4" t="str">
        <f>HYPERLINK("http://141.218.60.56/~jnz1568/getInfo.php?workbook=12_04.xlsx&amp;sheet=A0&amp;row=2929&amp;col=7&amp;number=0&amp;sourceID=14","0")</f>
        <v>0</v>
      </c>
    </row>
    <row r="2930" spans="1:7">
      <c r="A2930" s="3">
        <v>12</v>
      </c>
      <c r="B2930" s="3">
        <v>4</v>
      </c>
      <c r="C2930" s="3">
        <v>53</v>
      </c>
      <c r="D2930" s="3">
        <v>40</v>
      </c>
      <c r="E2930" s="3">
        <v>368.855</v>
      </c>
      <c r="F2930" s="4" t="str">
        <f>HYPERLINK("http://141.218.60.56/~jnz1568/getInfo.php?workbook=12_04.xlsx&amp;sheet=A0&amp;row=2930&amp;col=6&amp;number=0.00137&amp;sourceID=14","0.00137")</f>
        <v>0.00137</v>
      </c>
      <c r="G2930" s="4" t="str">
        <f>HYPERLINK("http://141.218.60.56/~jnz1568/getInfo.php?workbook=12_04.xlsx&amp;sheet=A0&amp;row=2930&amp;col=7&amp;number=0&amp;sourceID=14","0")</f>
        <v>0</v>
      </c>
    </row>
    <row r="2931" spans="1:7">
      <c r="A2931" s="3">
        <v>12</v>
      </c>
      <c r="B2931" s="3">
        <v>4</v>
      </c>
      <c r="C2931" s="3">
        <v>54</v>
      </c>
      <c r="D2931" s="3">
        <v>40</v>
      </c>
      <c r="E2931" s="3">
        <v>368.855</v>
      </c>
      <c r="F2931" s="4" t="str">
        <f>HYPERLINK("http://141.218.60.56/~jnz1568/getInfo.php?workbook=12_04.xlsx&amp;sheet=A0&amp;row=2931&amp;col=6&amp;number=647000&amp;sourceID=14","647000")</f>
        <v>647000</v>
      </c>
      <c r="G2931" s="4" t="str">
        <f>HYPERLINK("http://141.218.60.56/~jnz1568/getInfo.php?workbook=12_04.xlsx&amp;sheet=A0&amp;row=2931&amp;col=7&amp;number=0&amp;sourceID=14","0")</f>
        <v>0</v>
      </c>
    </row>
    <row r="2932" spans="1:7">
      <c r="A2932" s="3">
        <v>12</v>
      </c>
      <c r="B2932" s="3">
        <v>4</v>
      </c>
      <c r="C2932" s="3">
        <v>55</v>
      </c>
      <c r="D2932" s="3">
        <v>40</v>
      </c>
      <c r="E2932" s="3">
        <v>368.746</v>
      </c>
      <c r="F2932" s="4" t="str">
        <f>HYPERLINK("http://141.218.60.56/~jnz1568/getInfo.php?workbook=12_04.xlsx&amp;sheet=A0&amp;row=2932&amp;col=6&amp;number=425000&amp;sourceID=14","425000")</f>
        <v>425000</v>
      </c>
      <c r="G2932" s="4" t="str">
        <f>HYPERLINK("http://141.218.60.56/~jnz1568/getInfo.php?workbook=12_04.xlsx&amp;sheet=A0&amp;row=2932&amp;col=7&amp;number=0&amp;sourceID=14","0")</f>
        <v>0</v>
      </c>
    </row>
    <row r="2933" spans="1:7">
      <c r="A2933" s="3">
        <v>12</v>
      </c>
      <c r="B2933" s="3">
        <v>4</v>
      </c>
      <c r="C2933" s="3">
        <v>56</v>
      </c>
      <c r="D2933" s="3">
        <v>40</v>
      </c>
      <c r="E2933" s="3">
        <v>358.385</v>
      </c>
      <c r="F2933" s="4" t="str">
        <f>HYPERLINK("http://141.218.60.56/~jnz1568/getInfo.php?workbook=12_04.xlsx&amp;sheet=A0&amp;row=2933&amp;col=6&amp;number=657000&amp;sourceID=14","657000")</f>
        <v>657000</v>
      </c>
      <c r="G2933" s="4" t="str">
        <f>HYPERLINK("http://141.218.60.56/~jnz1568/getInfo.php?workbook=12_04.xlsx&amp;sheet=A0&amp;row=2933&amp;col=7&amp;number=0&amp;sourceID=14","0")</f>
        <v>0</v>
      </c>
    </row>
    <row r="2934" spans="1:7">
      <c r="A2934" s="3">
        <v>12</v>
      </c>
      <c r="B2934" s="3">
        <v>4</v>
      </c>
      <c r="C2934" s="3">
        <v>57</v>
      </c>
      <c r="D2934" s="3">
        <v>40</v>
      </c>
      <c r="E2934" s="3">
        <v>-358.209</v>
      </c>
      <c r="F2934" s="4" t="str">
        <f>HYPERLINK("http://141.218.60.56/~jnz1568/getInfo.php?workbook=12_04.xlsx&amp;sheet=A0&amp;row=2934&amp;col=6&amp;number=4.53&amp;sourceID=14","4.53")</f>
        <v>4.53</v>
      </c>
      <c r="G2934" s="4" t="str">
        <f>HYPERLINK("http://141.218.60.56/~jnz1568/getInfo.php?workbook=12_04.xlsx&amp;sheet=A0&amp;row=2934&amp;col=7&amp;number=0&amp;sourceID=14","0")</f>
        <v>0</v>
      </c>
    </row>
    <row r="2935" spans="1:7">
      <c r="A2935" s="3">
        <v>12</v>
      </c>
      <c r="B2935" s="3">
        <v>4</v>
      </c>
      <c r="C2935" s="3">
        <v>58</v>
      </c>
      <c r="D2935" s="3">
        <v>40</v>
      </c>
      <c r="E2935" s="3">
        <v>-358.172</v>
      </c>
      <c r="F2935" s="4" t="str">
        <f>HYPERLINK("http://141.218.60.56/~jnz1568/getInfo.php?workbook=12_04.xlsx&amp;sheet=A0&amp;row=2935&amp;col=6&amp;number=15.5&amp;sourceID=14","15.5")</f>
        <v>15.5</v>
      </c>
      <c r="G2935" s="4" t="str">
        <f>HYPERLINK("http://141.218.60.56/~jnz1568/getInfo.php?workbook=12_04.xlsx&amp;sheet=A0&amp;row=2935&amp;col=7&amp;number=0&amp;sourceID=14","0")</f>
        <v>0</v>
      </c>
    </row>
    <row r="2936" spans="1:7">
      <c r="A2936" s="3">
        <v>12</v>
      </c>
      <c r="B2936" s="3">
        <v>4</v>
      </c>
      <c r="C2936" s="3">
        <v>59</v>
      </c>
      <c r="D2936" s="3">
        <v>40</v>
      </c>
      <c r="E2936" s="3">
        <v>-358.123</v>
      </c>
      <c r="F2936" s="4" t="str">
        <f>HYPERLINK("http://141.218.60.56/~jnz1568/getInfo.php?workbook=12_04.xlsx&amp;sheet=A0&amp;row=2936&amp;col=6&amp;number=5.44&amp;sourceID=14","5.44")</f>
        <v>5.44</v>
      </c>
      <c r="G2936" s="4" t="str">
        <f>HYPERLINK("http://141.218.60.56/~jnz1568/getInfo.php?workbook=12_04.xlsx&amp;sheet=A0&amp;row=2936&amp;col=7&amp;number=0&amp;sourceID=14","0")</f>
        <v>0</v>
      </c>
    </row>
    <row r="2937" spans="1:7">
      <c r="A2937" s="3">
        <v>12</v>
      </c>
      <c r="B2937" s="3">
        <v>4</v>
      </c>
      <c r="C2937" s="3">
        <v>60</v>
      </c>
      <c r="D2937" s="3">
        <v>40</v>
      </c>
      <c r="E2937" s="3">
        <v>-354.913</v>
      </c>
      <c r="F2937" s="4" t="str">
        <f>HYPERLINK("http://141.218.60.56/~jnz1568/getInfo.php?workbook=12_04.xlsx&amp;sheet=A0&amp;row=2937&amp;col=6&amp;number=2.67&amp;sourceID=14","2.67")</f>
        <v>2.67</v>
      </c>
      <c r="G2937" s="4" t="str">
        <f>HYPERLINK("http://141.218.60.56/~jnz1568/getInfo.php?workbook=12_04.xlsx&amp;sheet=A0&amp;row=2937&amp;col=7&amp;number=0&amp;sourceID=14","0")</f>
        <v>0</v>
      </c>
    </row>
    <row r="2938" spans="1:7">
      <c r="A2938" s="3">
        <v>12</v>
      </c>
      <c r="B2938" s="3">
        <v>4</v>
      </c>
      <c r="C2938" s="3">
        <v>61</v>
      </c>
      <c r="D2938" s="3">
        <v>40</v>
      </c>
      <c r="E2938" s="3">
        <v>-251.592</v>
      </c>
      <c r="F2938" s="4" t="str">
        <f>HYPERLINK("http://141.218.60.56/~jnz1568/getInfo.php?workbook=12_04.xlsx&amp;sheet=A0&amp;row=2938&amp;col=6&amp;number=0.000234&amp;sourceID=14","0.000234")</f>
        <v>0.000234</v>
      </c>
      <c r="G2938" s="4" t="str">
        <f>HYPERLINK("http://141.218.60.56/~jnz1568/getInfo.php?workbook=12_04.xlsx&amp;sheet=A0&amp;row=2938&amp;col=7&amp;number=0&amp;sourceID=14","0")</f>
        <v>0</v>
      </c>
    </row>
    <row r="2939" spans="1:7">
      <c r="A2939" s="3">
        <v>12</v>
      </c>
      <c r="B2939" s="3">
        <v>4</v>
      </c>
      <c r="C2939" s="3">
        <v>62</v>
      </c>
      <c r="D2939" s="3">
        <v>40</v>
      </c>
      <c r="E2939" s="3">
        <v>-251.013</v>
      </c>
      <c r="F2939" s="4" t="str">
        <f>HYPERLINK("http://141.218.60.56/~jnz1568/getInfo.php?workbook=12_04.xlsx&amp;sheet=A0&amp;row=2939&amp;col=6&amp;number=113000&amp;sourceID=14","113000")</f>
        <v>113000</v>
      </c>
      <c r="G2939" s="4" t="str">
        <f>HYPERLINK("http://141.218.60.56/~jnz1568/getInfo.php?workbook=12_04.xlsx&amp;sheet=A0&amp;row=2939&amp;col=7&amp;number=0&amp;sourceID=14","0")</f>
        <v>0</v>
      </c>
    </row>
    <row r="2940" spans="1:7">
      <c r="A2940" s="3">
        <v>12</v>
      </c>
      <c r="B2940" s="3">
        <v>4</v>
      </c>
      <c r="C2940" s="3">
        <v>63</v>
      </c>
      <c r="D2940" s="3">
        <v>40</v>
      </c>
      <c r="E2940" s="3">
        <v>-249.149</v>
      </c>
      <c r="F2940" s="4" t="str">
        <f>HYPERLINK("http://141.218.60.56/~jnz1568/getInfo.php?workbook=12_04.xlsx&amp;sheet=A0&amp;row=2940&amp;col=6&amp;number=171000&amp;sourceID=14","171000")</f>
        <v>171000</v>
      </c>
      <c r="G2940" s="4" t="str">
        <f>HYPERLINK("http://141.218.60.56/~jnz1568/getInfo.php?workbook=12_04.xlsx&amp;sheet=A0&amp;row=2940&amp;col=7&amp;number=0&amp;sourceID=14","0")</f>
        <v>0</v>
      </c>
    </row>
    <row r="2941" spans="1:7">
      <c r="A2941" s="3">
        <v>12</v>
      </c>
      <c r="B2941" s="3">
        <v>4</v>
      </c>
      <c r="C2941" s="3">
        <v>64</v>
      </c>
      <c r="D2941" s="3">
        <v>40</v>
      </c>
      <c r="E2941" s="3">
        <v>-245.335</v>
      </c>
      <c r="F2941" s="4" t="str">
        <f>HYPERLINK("http://141.218.60.56/~jnz1568/getInfo.php?workbook=12_04.xlsx&amp;sheet=A0&amp;row=2941&amp;col=6&amp;number=2580&amp;sourceID=14","2580")</f>
        <v>2580</v>
      </c>
      <c r="G2941" s="4" t="str">
        <f>HYPERLINK("http://141.218.60.56/~jnz1568/getInfo.php?workbook=12_04.xlsx&amp;sheet=A0&amp;row=2941&amp;col=7&amp;number=0&amp;sourceID=14","0")</f>
        <v>0</v>
      </c>
    </row>
    <row r="2942" spans="1:7">
      <c r="A2942" s="3">
        <v>12</v>
      </c>
      <c r="B2942" s="3">
        <v>4</v>
      </c>
      <c r="C2942" s="3">
        <v>65</v>
      </c>
      <c r="D2942" s="3">
        <v>40</v>
      </c>
      <c r="E2942" s="3">
        <v>-240.887</v>
      </c>
      <c r="F2942" s="4" t="str">
        <f>HYPERLINK("http://141.218.60.56/~jnz1568/getInfo.php?workbook=12_04.xlsx&amp;sheet=A0&amp;row=2942&amp;col=6&amp;number=3.47&amp;sourceID=14","3.47")</f>
        <v>3.47</v>
      </c>
      <c r="G2942" s="4" t="str">
        <f>HYPERLINK("http://141.218.60.56/~jnz1568/getInfo.php?workbook=12_04.xlsx&amp;sheet=A0&amp;row=2942&amp;col=7&amp;number=0&amp;sourceID=14","0")</f>
        <v>0</v>
      </c>
    </row>
    <row r="2943" spans="1:7">
      <c r="A2943" s="3">
        <v>12</v>
      </c>
      <c r="B2943" s="3">
        <v>4</v>
      </c>
      <c r="C2943" s="3">
        <v>66</v>
      </c>
      <c r="D2943" s="3">
        <v>40</v>
      </c>
      <c r="E2943" s="3">
        <v>-239.415</v>
      </c>
      <c r="F2943" s="4" t="str">
        <f>HYPERLINK("http://141.218.60.56/~jnz1568/getInfo.php?workbook=12_04.xlsx&amp;sheet=A0&amp;row=2943&amp;col=6&amp;number=1.27&amp;sourceID=14","1.27")</f>
        <v>1.27</v>
      </c>
      <c r="G2943" s="4" t="str">
        <f>HYPERLINK("http://141.218.60.56/~jnz1568/getInfo.php?workbook=12_04.xlsx&amp;sheet=A0&amp;row=2943&amp;col=7&amp;number=0&amp;sourceID=14","0")</f>
        <v>0</v>
      </c>
    </row>
    <row r="2944" spans="1:7">
      <c r="A2944" s="3">
        <v>12</v>
      </c>
      <c r="B2944" s="3">
        <v>4</v>
      </c>
      <c r="C2944" s="3">
        <v>67</v>
      </c>
      <c r="D2944" s="3">
        <v>40</v>
      </c>
      <c r="E2944" s="3">
        <v>-239.157</v>
      </c>
      <c r="F2944" s="4" t="str">
        <f>HYPERLINK("http://141.218.60.56/~jnz1568/getInfo.php?workbook=12_04.xlsx&amp;sheet=A0&amp;row=2944&amp;col=6&amp;number=185000000&amp;sourceID=14","185000000")</f>
        <v>185000000</v>
      </c>
      <c r="G2944" s="4" t="str">
        <f>HYPERLINK("http://141.218.60.56/~jnz1568/getInfo.php?workbook=12_04.xlsx&amp;sheet=A0&amp;row=2944&amp;col=7&amp;number=0&amp;sourceID=14","0")</f>
        <v>0</v>
      </c>
    </row>
    <row r="2945" spans="1:7">
      <c r="A2945" s="3">
        <v>12</v>
      </c>
      <c r="B2945" s="3">
        <v>4</v>
      </c>
      <c r="C2945" s="3">
        <v>68</v>
      </c>
      <c r="D2945" s="3">
        <v>40</v>
      </c>
      <c r="E2945" s="3">
        <v>237.603</v>
      </c>
      <c r="F2945" s="4" t="str">
        <f>HYPERLINK("http://141.218.60.56/~jnz1568/getInfo.php?workbook=12_04.xlsx&amp;sheet=A0&amp;row=2945&amp;col=6&amp;number=555000000&amp;sourceID=14","555000000")</f>
        <v>555000000</v>
      </c>
      <c r="G2945" s="4" t="str">
        <f>HYPERLINK("http://141.218.60.56/~jnz1568/getInfo.php?workbook=12_04.xlsx&amp;sheet=A0&amp;row=2945&amp;col=7&amp;number=0&amp;sourceID=14","0")</f>
        <v>0</v>
      </c>
    </row>
    <row r="2946" spans="1:7">
      <c r="A2946" s="3">
        <v>12</v>
      </c>
      <c r="B2946" s="3">
        <v>4</v>
      </c>
      <c r="C2946" s="3">
        <v>69</v>
      </c>
      <c r="D2946" s="3">
        <v>40</v>
      </c>
      <c r="E2946" s="3">
        <v>-236.144</v>
      </c>
      <c r="F2946" s="4" t="str">
        <f>HYPERLINK("http://141.218.60.56/~jnz1568/getInfo.php?workbook=12_04.xlsx&amp;sheet=A0&amp;row=2946&amp;col=6&amp;number=1.66&amp;sourceID=14","1.66")</f>
        <v>1.66</v>
      </c>
      <c r="G2946" s="4" t="str">
        <f>HYPERLINK("http://141.218.60.56/~jnz1568/getInfo.php?workbook=12_04.xlsx&amp;sheet=A0&amp;row=2946&amp;col=7&amp;number=0&amp;sourceID=14","0")</f>
        <v>0</v>
      </c>
    </row>
    <row r="2947" spans="1:7">
      <c r="A2947" s="3">
        <v>12</v>
      </c>
      <c r="B2947" s="3">
        <v>4</v>
      </c>
      <c r="C2947" s="3">
        <v>70</v>
      </c>
      <c r="D2947" s="3">
        <v>40</v>
      </c>
      <c r="E2947" s="3">
        <v>-235.792</v>
      </c>
      <c r="F2947" s="4" t="str">
        <f>HYPERLINK("http://141.218.60.56/~jnz1568/getInfo.php?workbook=12_04.xlsx&amp;sheet=A0&amp;row=2947&amp;col=6&amp;number=5.33&amp;sourceID=14","5.33")</f>
        <v>5.33</v>
      </c>
      <c r="G2947" s="4" t="str">
        <f>HYPERLINK("http://141.218.60.56/~jnz1568/getInfo.php?workbook=12_04.xlsx&amp;sheet=A0&amp;row=2947&amp;col=7&amp;number=0&amp;sourceID=14","0")</f>
        <v>0</v>
      </c>
    </row>
    <row r="2948" spans="1:7">
      <c r="A2948" s="3">
        <v>12</v>
      </c>
      <c r="B2948" s="3">
        <v>4</v>
      </c>
      <c r="C2948" s="3">
        <v>71</v>
      </c>
      <c r="D2948" s="3">
        <v>40</v>
      </c>
      <c r="E2948" s="3">
        <v>-234.723</v>
      </c>
      <c r="F2948" s="4" t="str">
        <f>HYPERLINK("http://141.218.60.56/~jnz1568/getInfo.php?workbook=12_04.xlsx&amp;sheet=A0&amp;row=2948&amp;col=6&amp;number=5.17&amp;sourceID=14","5.17")</f>
        <v>5.17</v>
      </c>
      <c r="G2948" s="4" t="str">
        <f>HYPERLINK("http://141.218.60.56/~jnz1568/getInfo.php?workbook=12_04.xlsx&amp;sheet=A0&amp;row=2948&amp;col=7&amp;number=0&amp;sourceID=14","0")</f>
        <v>0</v>
      </c>
    </row>
    <row r="2949" spans="1:7">
      <c r="A2949" s="3">
        <v>12</v>
      </c>
      <c r="B2949" s="3">
        <v>4</v>
      </c>
      <c r="C2949" s="3">
        <v>72</v>
      </c>
      <c r="D2949" s="3">
        <v>40</v>
      </c>
      <c r="E2949" s="3">
        <v>234.472</v>
      </c>
      <c r="F2949" s="4" t="str">
        <f>HYPERLINK("http://141.218.60.56/~jnz1568/getInfo.php?workbook=12_04.xlsx&amp;sheet=A0&amp;row=2949&amp;col=6&amp;number=2060000000&amp;sourceID=14","2060000000")</f>
        <v>2060000000</v>
      </c>
      <c r="G2949" s="4" t="str">
        <f>HYPERLINK("http://141.218.60.56/~jnz1568/getInfo.php?workbook=12_04.xlsx&amp;sheet=A0&amp;row=2949&amp;col=7&amp;number=0&amp;sourceID=14","0")</f>
        <v>0</v>
      </c>
    </row>
    <row r="2950" spans="1:7">
      <c r="A2950" s="3">
        <v>12</v>
      </c>
      <c r="B2950" s="3">
        <v>4</v>
      </c>
      <c r="C2950" s="3">
        <v>73</v>
      </c>
      <c r="D2950" s="3">
        <v>40</v>
      </c>
      <c r="E2950" s="3">
        <v>-232.809</v>
      </c>
      <c r="F2950" s="4" t="str">
        <f>HYPERLINK("http://141.218.60.56/~jnz1568/getInfo.php?workbook=12_04.xlsx&amp;sheet=A0&amp;row=2950&amp;col=6&amp;number=10600&amp;sourceID=14","10600")</f>
        <v>10600</v>
      </c>
      <c r="G2950" s="4" t="str">
        <f>HYPERLINK("http://141.218.60.56/~jnz1568/getInfo.php?workbook=12_04.xlsx&amp;sheet=A0&amp;row=2950&amp;col=7&amp;number=0&amp;sourceID=14","0")</f>
        <v>0</v>
      </c>
    </row>
    <row r="2951" spans="1:7">
      <c r="A2951" s="3">
        <v>12</v>
      </c>
      <c r="B2951" s="3">
        <v>4</v>
      </c>
      <c r="C2951" s="3">
        <v>74</v>
      </c>
      <c r="D2951" s="3">
        <v>40</v>
      </c>
      <c r="E2951" s="3">
        <v>-231.778</v>
      </c>
      <c r="F2951" s="4" t="str">
        <f>HYPERLINK("http://141.218.60.56/~jnz1568/getInfo.php?workbook=12_04.xlsx&amp;sheet=A0&amp;row=2951&amp;col=6&amp;number=68400&amp;sourceID=14","68400")</f>
        <v>68400</v>
      </c>
      <c r="G2951" s="4" t="str">
        <f>HYPERLINK("http://141.218.60.56/~jnz1568/getInfo.php?workbook=12_04.xlsx&amp;sheet=A0&amp;row=2951&amp;col=7&amp;number=0&amp;sourceID=14","0")</f>
        <v>0</v>
      </c>
    </row>
    <row r="2952" spans="1:7">
      <c r="A2952" s="3">
        <v>12</v>
      </c>
      <c r="B2952" s="3">
        <v>4</v>
      </c>
      <c r="C2952" s="3">
        <v>75</v>
      </c>
      <c r="D2952" s="3">
        <v>40</v>
      </c>
      <c r="E2952" s="3">
        <v>231.294</v>
      </c>
      <c r="F2952" s="4" t="str">
        <f>HYPERLINK("http://141.218.60.56/~jnz1568/getInfo.php?workbook=12_04.xlsx&amp;sheet=A0&amp;row=2952&amp;col=6&amp;number=59.3&amp;sourceID=14","59.3")</f>
        <v>59.3</v>
      </c>
      <c r="G2952" s="4" t="str">
        <f>HYPERLINK("http://141.218.60.56/~jnz1568/getInfo.php?workbook=12_04.xlsx&amp;sheet=A0&amp;row=2952&amp;col=7&amp;number=0&amp;sourceID=14","0")</f>
        <v>0</v>
      </c>
    </row>
    <row r="2953" spans="1:7">
      <c r="A2953" s="3">
        <v>12</v>
      </c>
      <c r="B2953" s="3">
        <v>4</v>
      </c>
      <c r="C2953" s="3">
        <v>76</v>
      </c>
      <c r="D2953" s="3">
        <v>40</v>
      </c>
      <c r="E2953" s="3">
        <v>231.364</v>
      </c>
      <c r="F2953" s="4" t="str">
        <f>HYPERLINK("http://141.218.60.56/~jnz1568/getInfo.php?workbook=12_04.xlsx&amp;sheet=A0&amp;row=2953&amp;col=6&amp;number=22800000&amp;sourceID=14","22800000")</f>
        <v>22800000</v>
      </c>
      <c r="G2953" s="4" t="str">
        <f>HYPERLINK("http://141.218.60.56/~jnz1568/getInfo.php?workbook=12_04.xlsx&amp;sheet=A0&amp;row=2953&amp;col=7&amp;number=0&amp;sourceID=14","0")</f>
        <v>0</v>
      </c>
    </row>
    <row r="2954" spans="1:7">
      <c r="A2954" s="3">
        <v>12</v>
      </c>
      <c r="B2954" s="3">
        <v>4</v>
      </c>
      <c r="C2954" s="3">
        <v>77</v>
      </c>
      <c r="D2954" s="3">
        <v>40</v>
      </c>
      <c r="E2954" s="3">
        <v>-230.615</v>
      </c>
      <c r="F2954" s="4" t="str">
        <f>HYPERLINK("http://141.218.60.56/~jnz1568/getInfo.php?workbook=12_04.xlsx&amp;sheet=A0&amp;row=2954&amp;col=6&amp;number=164000&amp;sourceID=14","164000")</f>
        <v>164000</v>
      </c>
      <c r="G2954" s="4" t="str">
        <f>HYPERLINK("http://141.218.60.56/~jnz1568/getInfo.php?workbook=12_04.xlsx&amp;sheet=A0&amp;row=2954&amp;col=7&amp;number=0&amp;sourceID=14","0")</f>
        <v>0</v>
      </c>
    </row>
    <row r="2955" spans="1:7">
      <c r="A2955" s="3">
        <v>12</v>
      </c>
      <c r="B2955" s="3">
        <v>4</v>
      </c>
      <c r="C2955" s="3">
        <v>78</v>
      </c>
      <c r="D2955" s="3">
        <v>40</v>
      </c>
      <c r="E2955" s="3">
        <v>-229.029</v>
      </c>
      <c r="F2955" s="4" t="str">
        <f>HYPERLINK("http://141.218.60.56/~jnz1568/getInfo.php?workbook=12_04.xlsx&amp;sheet=A0&amp;row=2955&amp;col=6&amp;number=48.5&amp;sourceID=14","48.5")</f>
        <v>48.5</v>
      </c>
      <c r="G2955" s="4" t="str">
        <f>HYPERLINK("http://141.218.60.56/~jnz1568/getInfo.php?workbook=12_04.xlsx&amp;sheet=A0&amp;row=2955&amp;col=7&amp;number=0&amp;sourceID=14","0")</f>
        <v>0</v>
      </c>
    </row>
    <row r="2956" spans="1:7">
      <c r="A2956" s="3">
        <v>12</v>
      </c>
      <c r="B2956" s="3">
        <v>4</v>
      </c>
      <c r="C2956" s="3">
        <v>79</v>
      </c>
      <c r="D2956" s="3">
        <v>40</v>
      </c>
      <c r="E2956" s="3">
        <v>-228.705</v>
      </c>
      <c r="F2956" s="4" t="str">
        <f>HYPERLINK("http://141.218.60.56/~jnz1568/getInfo.php?workbook=12_04.xlsx&amp;sheet=A0&amp;row=2956&amp;col=6&amp;number=3920&amp;sourceID=14","3920")</f>
        <v>3920</v>
      </c>
      <c r="G2956" s="4" t="str">
        <f>HYPERLINK("http://141.218.60.56/~jnz1568/getInfo.php?workbook=12_04.xlsx&amp;sheet=A0&amp;row=2956&amp;col=7&amp;number=0&amp;sourceID=14","0")</f>
        <v>0</v>
      </c>
    </row>
    <row r="2957" spans="1:7">
      <c r="A2957" s="3">
        <v>12</v>
      </c>
      <c r="B2957" s="3">
        <v>4</v>
      </c>
      <c r="C2957" s="3">
        <v>80</v>
      </c>
      <c r="D2957" s="3">
        <v>40</v>
      </c>
      <c r="E2957" s="3">
        <v>-228.057</v>
      </c>
      <c r="F2957" s="4" t="str">
        <f>HYPERLINK("http://141.218.60.56/~jnz1568/getInfo.php?workbook=12_04.xlsx&amp;sheet=A0&amp;row=2957&amp;col=6&amp;number=23000000&amp;sourceID=14","23000000")</f>
        <v>23000000</v>
      </c>
      <c r="G2957" s="4" t="str">
        <f>HYPERLINK("http://141.218.60.56/~jnz1568/getInfo.php?workbook=12_04.xlsx&amp;sheet=A0&amp;row=2957&amp;col=7&amp;number=0&amp;sourceID=14","0")</f>
        <v>0</v>
      </c>
    </row>
    <row r="2958" spans="1:7">
      <c r="A2958" s="3">
        <v>12</v>
      </c>
      <c r="B2958" s="3">
        <v>4</v>
      </c>
      <c r="C2958" s="3">
        <v>81</v>
      </c>
      <c r="D2958" s="3">
        <v>40</v>
      </c>
      <c r="E2958" s="3">
        <v>227.589</v>
      </c>
      <c r="F2958" s="4" t="str">
        <f>HYPERLINK("http://141.218.60.56/~jnz1568/getInfo.php?workbook=12_04.xlsx&amp;sheet=A0&amp;row=2958&amp;col=6&amp;number=75600&amp;sourceID=14","75600")</f>
        <v>75600</v>
      </c>
      <c r="G2958" s="4" t="str">
        <f>HYPERLINK("http://141.218.60.56/~jnz1568/getInfo.php?workbook=12_04.xlsx&amp;sheet=A0&amp;row=2958&amp;col=7&amp;number=0&amp;sourceID=14","0")</f>
        <v>0</v>
      </c>
    </row>
    <row r="2959" spans="1:7">
      <c r="A2959" s="3">
        <v>12</v>
      </c>
      <c r="B2959" s="3">
        <v>4</v>
      </c>
      <c r="C2959" s="3">
        <v>82</v>
      </c>
      <c r="D2959" s="3">
        <v>40</v>
      </c>
      <c r="E2959" s="3">
        <v>-227.869</v>
      </c>
      <c r="F2959" s="4" t="str">
        <f>HYPERLINK("http://141.218.60.56/~jnz1568/getInfo.php?workbook=12_04.xlsx&amp;sheet=A0&amp;row=2959&amp;col=6&amp;number=111000000&amp;sourceID=14","111000000")</f>
        <v>111000000</v>
      </c>
      <c r="G2959" s="4" t="str">
        <f>HYPERLINK("http://141.218.60.56/~jnz1568/getInfo.php?workbook=12_04.xlsx&amp;sheet=A0&amp;row=2959&amp;col=7&amp;number=0&amp;sourceID=14","0")</f>
        <v>0</v>
      </c>
    </row>
    <row r="2960" spans="1:7">
      <c r="A2960" s="3">
        <v>12</v>
      </c>
      <c r="B2960" s="3">
        <v>4</v>
      </c>
      <c r="C2960" s="3">
        <v>83</v>
      </c>
      <c r="D2960" s="3">
        <v>40</v>
      </c>
      <c r="E2960" s="3">
        <v>-227.867</v>
      </c>
      <c r="F2960" s="4" t="str">
        <f>HYPERLINK("http://141.218.60.56/~jnz1568/getInfo.php?workbook=12_04.xlsx&amp;sheet=A0&amp;row=2960&amp;col=6&amp;number=3930000000&amp;sourceID=14","3930000000")</f>
        <v>3930000000</v>
      </c>
      <c r="G2960" s="4" t="str">
        <f>HYPERLINK("http://141.218.60.56/~jnz1568/getInfo.php?workbook=12_04.xlsx&amp;sheet=A0&amp;row=2960&amp;col=7&amp;number=0&amp;sourceID=14","0")</f>
        <v>0</v>
      </c>
    </row>
    <row r="2961" spans="1:7">
      <c r="A2961" s="3">
        <v>12</v>
      </c>
      <c r="B2961" s="3">
        <v>4</v>
      </c>
      <c r="C2961" s="3">
        <v>84</v>
      </c>
      <c r="D2961" s="3">
        <v>40</v>
      </c>
      <c r="E2961" s="3">
        <v>-227.698</v>
      </c>
      <c r="F2961" s="4" t="str">
        <f>HYPERLINK("http://141.218.60.56/~jnz1568/getInfo.php?workbook=12_04.xlsx&amp;sheet=A0&amp;row=2961&amp;col=6&amp;number=56200000000&amp;sourceID=14","56200000000")</f>
        <v>56200000000</v>
      </c>
      <c r="G2961" s="4" t="str">
        <f>HYPERLINK("http://141.218.60.56/~jnz1568/getInfo.php?workbook=12_04.xlsx&amp;sheet=A0&amp;row=2961&amp;col=7&amp;number=0&amp;sourceID=14","0")</f>
        <v>0</v>
      </c>
    </row>
    <row r="2962" spans="1:7">
      <c r="A2962" s="3">
        <v>12</v>
      </c>
      <c r="B2962" s="3">
        <v>4</v>
      </c>
      <c r="C2962" s="3">
        <v>85</v>
      </c>
      <c r="D2962" s="3">
        <v>40</v>
      </c>
      <c r="E2962" s="3">
        <v>226.969</v>
      </c>
      <c r="F2962" s="4" t="str">
        <f>HYPERLINK("http://141.218.60.56/~jnz1568/getInfo.php?workbook=12_04.xlsx&amp;sheet=A0&amp;row=2962&amp;col=6&amp;number=238000&amp;sourceID=14","238000")</f>
        <v>238000</v>
      </c>
      <c r="G2962" s="4" t="str">
        <f>HYPERLINK("http://141.218.60.56/~jnz1568/getInfo.php?workbook=12_04.xlsx&amp;sheet=A0&amp;row=2962&amp;col=7&amp;number=0&amp;sourceID=14","0")</f>
        <v>0</v>
      </c>
    </row>
    <row r="2963" spans="1:7">
      <c r="A2963" s="3">
        <v>12</v>
      </c>
      <c r="B2963" s="3">
        <v>4</v>
      </c>
      <c r="C2963" s="3">
        <v>86</v>
      </c>
      <c r="D2963" s="3">
        <v>40</v>
      </c>
      <c r="E2963" s="3">
        <v>226.701</v>
      </c>
      <c r="F2963" s="4" t="str">
        <f>HYPERLINK("http://141.218.60.56/~jnz1568/getInfo.php?workbook=12_04.xlsx&amp;sheet=A0&amp;row=2963&amp;col=6&amp;number=174000&amp;sourceID=14","174000")</f>
        <v>174000</v>
      </c>
      <c r="G2963" s="4" t="str">
        <f>HYPERLINK("http://141.218.60.56/~jnz1568/getInfo.php?workbook=12_04.xlsx&amp;sheet=A0&amp;row=2963&amp;col=7&amp;number=0&amp;sourceID=14","0")</f>
        <v>0</v>
      </c>
    </row>
    <row r="2964" spans="1:7">
      <c r="A2964" s="3">
        <v>12</v>
      </c>
      <c r="B2964" s="3">
        <v>4</v>
      </c>
      <c r="C2964" s="3">
        <v>87</v>
      </c>
      <c r="D2964" s="3">
        <v>40</v>
      </c>
      <c r="E2964" s="3">
        <v>-226.445</v>
      </c>
      <c r="F2964" s="4" t="str">
        <f>HYPERLINK("http://141.218.60.56/~jnz1568/getInfo.php?workbook=12_04.xlsx&amp;sheet=A0&amp;row=2964&amp;col=6&amp;number=1.35e-06&amp;sourceID=14","1.35e-06")</f>
        <v>1.35e-06</v>
      </c>
      <c r="G2964" s="4" t="str">
        <f>HYPERLINK("http://141.218.60.56/~jnz1568/getInfo.php?workbook=12_04.xlsx&amp;sheet=A0&amp;row=2964&amp;col=7&amp;number=0&amp;sourceID=14","0")</f>
        <v>0</v>
      </c>
    </row>
    <row r="2965" spans="1:7">
      <c r="A2965" s="3">
        <v>12</v>
      </c>
      <c r="B2965" s="3">
        <v>4</v>
      </c>
      <c r="C2965" s="3">
        <v>88</v>
      </c>
      <c r="D2965" s="3">
        <v>40</v>
      </c>
      <c r="E2965" s="3">
        <v>-226.044</v>
      </c>
      <c r="F2965" s="4" t="str">
        <f>HYPERLINK("http://141.218.60.56/~jnz1568/getInfo.php?workbook=12_04.xlsx&amp;sheet=A0&amp;row=2965&amp;col=6&amp;number=1870000000&amp;sourceID=14","1870000000")</f>
        <v>1870000000</v>
      </c>
      <c r="G2965" s="4" t="str">
        <f>HYPERLINK("http://141.218.60.56/~jnz1568/getInfo.php?workbook=12_04.xlsx&amp;sheet=A0&amp;row=2965&amp;col=7&amp;number=0&amp;sourceID=14","0")</f>
        <v>0</v>
      </c>
    </row>
    <row r="2966" spans="1:7">
      <c r="A2966" s="3">
        <v>12</v>
      </c>
      <c r="B2966" s="3">
        <v>4</v>
      </c>
      <c r="C2966" s="3">
        <v>89</v>
      </c>
      <c r="D2966" s="3">
        <v>40</v>
      </c>
      <c r="E2966" s="3">
        <v>-225.808</v>
      </c>
      <c r="F2966" s="4" t="str">
        <f>HYPERLINK("http://141.218.60.56/~jnz1568/getInfo.php?workbook=12_04.xlsx&amp;sheet=A0&amp;row=2966&amp;col=6&amp;number=24400000000&amp;sourceID=14","24400000000")</f>
        <v>24400000000</v>
      </c>
      <c r="G2966" s="4" t="str">
        <f>HYPERLINK("http://141.218.60.56/~jnz1568/getInfo.php?workbook=12_04.xlsx&amp;sheet=A0&amp;row=2966&amp;col=7&amp;number=0&amp;sourceID=14","0")</f>
        <v>0</v>
      </c>
    </row>
    <row r="2967" spans="1:7">
      <c r="A2967" s="3">
        <v>12</v>
      </c>
      <c r="B2967" s="3">
        <v>4</v>
      </c>
      <c r="C2967" s="3">
        <v>90</v>
      </c>
      <c r="D2967" s="3">
        <v>40</v>
      </c>
      <c r="E2967" s="3">
        <v>-225.109</v>
      </c>
      <c r="F2967" s="4" t="str">
        <f>HYPERLINK("http://141.218.60.56/~jnz1568/getInfo.php?workbook=12_04.xlsx&amp;sheet=A0&amp;row=2967&amp;col=6&amp;number=31.1&amp;sourceID=14","31.1")</f>
        <v>31.1</v>
      </c>
      <c r="G2967" s="4" t="str">
        <f>HYPERLINK("http://141.218.60.56/~jnz1568/getInfo.php?workbook=12_04.xlsx&amp;sheet=A0&amp;row=2967&amp;col=7&amp;number=0&amp;sourceID=14","0")</f>
        <v>0</v>
      </c>
    </row>
    <row r="2968" spans="1:7">
      <c r="A2968" s="3">
        <v>12</v>
      </c>
      <c r="B2968" s="3">
        <v>4</v>
      </c>
      <c r="C2968" s="3">
        <v>91</v>
      </c>
      <c r="D2968" s="3">
        <v>40</v>
      </c>
      <c r="E2968" s="3">
        <v>-224.494</v>
      </c>
      <c r="F2968" s="4" t="str">
        <f>HYPERLINK("http://141.218.60.56/~jnz1568/getInfo.php?workbook=12_04.xlsx&amp;sheet=A0&amp;row=2968&amp;col=6&amp;number=18200000000&amp;sourceID=14","18200000000")</f>
        <v>18200000000</v>
      </c>
      <c r="G2968" s="4" t="str">
        <f>HYPERLINK("http://141.218.60.56/~jnz1568/getInfo.php?workbook=12_04.xlsx&amp;sheet=A0&amp;row=2968&amp;col=7&amp;number=0&amp;sourceID=14","0")</f>
        <v>0</v>
      </c>
    </row>
    <row r="2969" spans="1:7">
      <c r="A2969" s="3">
        <v>12</v>
      </c>
      <c r="B2969" s="3">
        <v>4</v>
      </c>
      <c r="C2969" s="3">
        <v>92</v>
      </c>
      <c r="D2969" s="3">
        <v>40</v>
      </c>
      <c r="E2969" s="3">
        <v>-224.349</v>
      </c>
      <c r="F2969" s="4" t="str">
        <f>HYPERLINK("http://141.218.60.56/~jnz1568/getInfo.php?workbook=12_04.xlsx&amp;sheet=A0&amp;row=2969&amp;col=6&amp;number=201000000&amp;sourceID=14","201000000")</f>
        <v>201000000</v>
      </c>
      <c r="G2969" s="4" t="str">
        <f>HYPERLINK("http://141.218.60.56/~jnz1568/getInfo.php?workbook=12_04.xlsx&amp;sheet=A0&amp;row=2969&amp;col=7&amp;number=0&amp;sourceID=14","0")</f>
        <v>0</v>
      </c>
    </row>
    <row r="2970" spans="1:7">
      <c r="A2970" s="3">
        <v>12</v>
      </c>
      <c r="B2970" s="3">
        <v>4</v>
      </c>
      <c r="C2970" s="3">
        <v>93</v>
      </c>
      <c r="D2970" s="3">
        <v>40</v>
      </c>
      <c r="E2970" s="3">
        <v>-224.217</v>
      </c>
      <c r="F2970" s="4" t="str">
        <f>HYPERLINK("http://141.218.60.56/~jnz1568/getInfo.php?workbook=12_04.xlsx&amp;sheet=A0&amp;row=2970&amp;col=6&amp;number=2540000000&amp;sourceID=14","2540000000")</f>
        <v>2540000000</v>
      </c>
      <c r="G2970" s="4" t="str">
        <f>HYPERLINK("http://141.218.60.56/~jnz1568/getInfo.php?workbook=12_04.xlsx&amp;sheet=A0&amp;row=2970&amp;col=7&amp;number=0&amp;sourceID=14","0")</f>
        <v>0</v>
      </c>
    </row>
    <row r="2971" spans="1:7">
      <c r="A2971" s="3">
        <v>12</v>
      </c>
      <c r="B2971" s="3">
        <v>4</v>
      </c>
      <c r="C2971" s="3">
        <v>94</v>
      </c>
      <c r="D2971" s="3">
        <v>40</v>
      </c>
      <c r="E2971" s="3">
        <v>-223.732</v>
      </c>
      <c r="F2971" s="4" t="str">
        <f>HYPERLINK("http://141.218.60.56/~jnz1568/getInfo.php?workbook=12_04.xlsx&amp;sheet=A0&amp;row=2971&amp;col=6&amp;number=5.95&amp;sourceID=14","5.95")</f>
        <v>5.95</v>
      </c>
      <c r="G2971" s="4" t="str">
        <f>HYPERLINK("http://141.218.60.56/~jnz1568/getInfo.php?workbook=12_04.xlsx&amp;sheet=A0&amp;row=2971&amp;col=7&amp;number=0&amp;sourceID=14","0")</f>
        <v>0</v>
      </c>
    </row>
    <row r="2972" spans="1:7">
      <c r="A2972" s="3">
        <v>12</v>
      </c>
      <c r="B2972" s="3">
        <v>4</v>
      </c>
      <c r="C2972" s="3">
        <v>95</v>
      </c>
      <c r="D2972" s="3">
        <v>40</v>
      </c>
      <c r="E2972" s="3">
        <v>-223.415</v>
      </c>
      <c r="F2972" s="4" t="str">
        <f>HYPERLINK("http://141.218.60.56/~jnz1568/getInfo.php?workbook=12_04.xlsx&amp;sheet=A0&amp;row=2972&amp;col=6&amp;number=0.00226&amp;sourceID=14","0.00226")</f>
        <v>0.00226</v>
      </c>
      <c r="G2972" s="4" t="str">
        <f>HYPERLINK("http://141.218.60.56/~jnz1568/getInfo.php?workbook=12_04.xlsx&amp;sheet=A0&amp;row=2972&amp;col=7&amp;number=0&amp;sourceID=14","0")</f>
        <v>0</v>
      </c>
    </row>
    <row r="2973" spans="1:7">
      <c r="A2973" s="3">
        <v>12</v>
      </c>
      <c r="B2973" s="3">
        <v>4</v>
      </c>
      <c r="C2973" s="3">
        <v>96</v>
      </c>
      <c r="D2973" s="3">
        <v>40</v>
      </c>
      <c r="E2973" s="3">
        <v>-223.122</v>
      </c>
      <c r="F2973" s="4" t="str">
        <f>HYPERLINK("http://141.218.60.56/~jnz1568/getInfo.php?workbook=12_04.xlsx&amp;sheet=A0&amp;row=2973&amp;col=6&amp;number=330000000&amp;sourceID=14","330000000")</f>
        <v>330000000</v>
      </c>
      <c r="G2973" s="4" t="str">
        <f>HYPERLINK("http://141.218.60.56/~jnz1568/getInfo.php?workbook=12_04.xlsx&amp;sheet=A0&amp;row=2973&amp;col=7&amp;number=0&amp;sourceID=14","0")</f>
        <v>0</v>
      </c>
    </row>
    <row r="2974" spans="1:7">
      <c r="A2974" s="3">
        <v>12</v>
      </c>
      <c r="B2974" s="3">
        <v>4</v>
      </c>
      <c r="C2974" s="3">
        <v>97</v>
      </c>
      <c r="D2974" s="3">
        <v>40</v>
      </c>
      <c r="E2974" s="3">
        <v>223.359</v>
      </c>
      <c r="F2974" s="4" t="str">
        <f>HYPERLINK("http://141.218.60.56/~jnz1568/getInfo.php?workbook=12_04.xlsx&amp;sheet=A0&amp;row=2974&amp;col=6&amp;number=281&amp;sourceID=14","281")</f>
        <v>281</v>
      </c>
      <c r="G2974" s="4" t="str">
        <f>HYPERLINK("http://141.218.60.56/~jnz1568/getInfo.php?workbook=12_04.xlsx&amp;sheet=A0&amp;row=2974&amp;col=7&amp;number=0&amp;sourceID=14","0")</f>
        <v>0</v>
      </c>
    </row>
    <row r="2975" spans="1:7">
      <c r="A2975" s="3">
        <v>12</v>
      </c>
      <c r="B2975" s="3">
        <v>4</v>
      </c>
      <c r="C2975" s="3">
        <v>98</v>
      </c>
      <c r="D2975" s="3">
        <v>40</v>
      </c>
      <c r="E2975" s="3">
        <v>222.495</v>
      </c>
      <c r="F2975" s="4" t="str">
        <f>HYPERLINK("http://141.218.60.56/~jnz1568/getInfo.php?workbook=12_04.xlsx&amp;sheet=A0&amp;row=2975&amp;col=6&amp;number=163&amp;sourceID=14","163")</f>
        <v>163</v>
      </c>
      <c r="G2975" s="4" t="str">
        <f>HYPERLINK("http://141.218.60.56/~jnz1568/getInfo.php?workbook=12_04.xlsx&amp;sheet=A0&amp;row=2975&amp;col=7&amp;number=0&amp;sourceID=14","0")</f>
        <v>0</v>
      </c>
    </row>
    <row r="2976" spans="1:7">
      <c r="A2976" s="3">
        <v>12</v>
      </c>
      <c r="B2976" s="3">
        <v>4</v>
      </c>
      <c r="C2976" s="3">
        <v>42</v>
      </c>
      <c r="D2976" s="3">
        <v>41</v>
      </c>
      <c r="E2976" s="3">
        <v>101010.289</v>
      </c>
      <c r="F2976" s="4" t="str">
        <f>HYPERLINK("http://141.218.60.56/~jnz1568/getInfo.php?workbook=12_04.xlsx&amp;sheet=A0&amp;row=2976&amp;col=6&amp;number=0.022&amp;sourceID=14","0.022")</f>
        <v>0.022</v>
      </c>
      <c r="G2976" s="4" t="str">
        <f>HYPERLINK("http://141.218.60.56/~jnz1568/getInfo.php?workbook=12_04.xlsx&amp;sheet=A0&amp;row=2976&amp;col=7&amp;number=0&amp;sourceID=14","0")</f>
        <v>0</v>
      </c>
    </row>
    <row r="2977" spans="1:7">
      <c r="A2977" s="3">
        <v>12</v>
      </c>
      <c r="B2977" s="3">
        <v>4</v>
      </c>
      <c r="C2977" s="3">
        <v>43</v>
      </c>
      <c r="D2977" s="3">
        <v>41</v>
      </c>
      <c r="E2977" s="3">
        <v>66225.289</v>
      </c>
      <c r="F2977" s="4" t="str">
        <f>HYPERLINK("http://141.218.60.56/~jnz1568/getInfo.php?workbook=12_04.xlsx&amp;sheet=A0&amp;row=2977&amp;col=6&amp;number=5.18e-07&amp;sourceID=14","5.18e-07")</f>
        <v>5.18e-07</v>
      </c>
      <c r="G2977" s="4" t="str">
        <f>HYPERLINK("http://141.218.60.56/~jnz1568/getInfo.php?workbook=12_04.xlsx&amp;sheet=A0&amp;row=2977&amp;col=7&amp;number=0&amp;sourceID=14","0")</f>
        <v>0</v>
      </c>
    </row>
    <row r="2978" spans="1:7">
      <c r="A2978" s="3">
        <v>12</v>
      </c>
      <c r="B2978" s="3">
        <v>4</v>
      </c>
      <c r="C2978" s="3">
        <v>44</v>
      </c>
      <c r="D2978" s="3">
        <v>41</v>
      </c>
      <c r="E2978" s="3">
        <v>-6152.722</v>
      </c>
      <c r="F2978" s="4" t="str">
        <f>HYPERLINK("http://141.218.60.56/~jnz1568/getInfo.php?workbook=12_04.xlsx&amp;sheet=A0&amp;row=2978&amp;col=6&amp;number=1.72e-05&amp;sourceID=14","1.72e-05")</f>
        <v>1.72e-05</v>
      </c>
      <c r="G2978" s="4" t="str">
        <f>HYPERLINK("http://141.218.60.56/~jnz1568/getInfo.php?workbook=12_04.xlsx&amp;sheet=A0&amp;row=2978&amp;col=7&amp;number=0&amp;sourceID=14","0")</f>
        <v>0</v>
      </c>
    </row>
    <row r="2979" spans="1:7">
      <c r="A2979" s="3">
        <v>12</v>
      </c>
      <c r="B2979" s="3">
        <v>4</v>
      </c>
      <c r="C2979" s="3">
        <v>45</v>
      </c>
      <c r="D2979" s="3">
        <v>41</v>
      </c>
      <c r="E2979" s="3">
        <v>5136.116</v>
      </c>
      <c r="F2979" s="4" t="str">
        <f>HYPERLINK("http://141.218.60.56/~jnz1568/getInfo.php?workbook=12_04.xlsx&amp;sheet=A0&amp;row=2979&amp;col=6&amp;number=0.00571&amp;sourceID=14","0.00571")</f>
        <v>0.00571</v>
      </c>
      <c r="G2979" s="4" t="str">
        <f>HYPERLINK("http://141.218.60.56/~jnz1568/getInfo.php?workbook=12_04.xlsx&amp;sheet=A0&amp;row=2979&amp;col=7&amp;number=0&amp;sourceID=14","0")</f>
        <v>0</v>
      </c>
    </row>
    <row r="2980" spans="1:7">
      <c r="A2980" s="3">
        <v>12</v>
      </c>
      <c r="B2980" s="3">
        <v>4</v>
      </c>
      <c r="C2980" s="3">
        <v>46</v>
      </c>
      <c r="D2980" s="3">
        <v>41</v>
      </c>
      <c r="E2980" s="3">
        <v>3796.514</v>
      </c>
      <c r="F2980" s="4" t="str">
        <f>HYPERLINK("http://141.218.60.56/~jnz1568/getInfo.php?workbook=12_04.xlsx&amp;sheet=A0&amp;row=2980&amp;col=6&amp;number=0.225&amp;sourceID=14","0.225")</f>
        <v>0.225</v>
      </c>
      <c r="G2980" s="4" t="str">
        <f>HYPERLINK("http://141.218.60.56/~jnz1568/getInfo.php?workbook=12_04.xlsx&amp;sheet=A0&amp;row=2980&amp;col=7&amp;number=0&amp;sourceID=14","0")</f>
        <v>0</v>
      </c>
    </row>
    <row r="2981" spans="1:7">
      <c r="A2981" s="3">
        <v>12</v>
      </c>
      <c r="B2981" s="3">
        <v>4</v>
      </c>
      <c r="C2981" s="3">
        <v>47</v>
      </c>
      <c r="D2981" s="3">
        <v>41</v>
      </c>
      <c r="E2981" s="3">
        <v>-445.124</v>
      </c>
      <c r="F2981" s="4" t="str">
        <f>HYPERLINK("http://141.218.60.56/~jnz1568/getInfo.php?workbook=12_04.xlsx&amp;sheet=A0&amp;row=2981&amp;col=6&amp;number=51700000&amp;sourceID=14","51700000")</f>
        <v>51700000</v>
      </c>
      <c r="G2981" s="4" t="str">
        <f>HYPERLINK("http://141.218.60.56/~jnz1568/getInfo.php?workbook=12_04.xlsx&amp;sheet=A0&amp;row=2981&amp;col=7&amp;number=0&amp;sourceID=14","0")</f>
        <v>0</v>
      </c>
    </row>
    <row r="2982" spans="1:7">
      <c r="A2982" s="3">
        <v>12</v>
      </c>
      <c r="B2982" s="3">
        <v>4</v>
      </c>
      <c r="C2982" s="3">
        <v>48</v>
      </c>
      <c r="D2982" s="3">
        <v>41</v>
      </c>
      <c r="E2982" s="3">
        <v>-426.028</v>
      </c>
      <c r="F2982" s="4" t="str">
        <f>HYPERLINK("http://141.218.60.56/~jnz1568/getInfo.php?workbook=12_04.xlsx&amp;sheet=A0&amp;row=2982&amp;col=6&amp;number=2.18e-05&amp;sourceID=14","2.18e-05")</f>
        <v>2.18e-05</v>
      </c>
      <c r="G2982" s="4" t="str">
        <f>HYPERLINK("http://141.218.60.56/~jnz1568/getInfo.php?workbook=12_04.xlsx&amp;sheet=A0&amp;row=2982&amp;col=7&amp;number=0&amp;sourceID=14","0")</f>
        <v>0</v>
      </c>
    </row>
    <row r="2983" spans="1:7">
      <c r="A2983" s="3">
        <v>12</v>
      </c>
      <c r="B2983" s="3">
        <v>4</v>
      </c>
      <c r="C2983" s="3">
        <v>49</v>
      </c>
      <c r="D2983" s="3">
        <v>41</v>
      </c>
      <c r="E2983" s="3">
        <v>-401.198</v>
      </c>
      <c r="F2983" s="4" t="str">
        <f>HYPERLINK("http://141.218.60.56/~jnz1568/getInfo.php?workbook=12_04.xlsx&amp;sheet=A0&amp;row=2983&amp;col=6&amp;number=2760&amp;sourceID=14","2760")</f>
        <v>2760</v>
      </c>
      <c r="G2983" s="4" t="str">
        <f>HYPERLINK("http://141.218.60.56/~jnz1568/getInfo.php?workbook=12_04.xlsx&amp;sheet=A0&amp;row=2983&amp;col=7&amp;number=0&amp;sourceID=14","0")</f>
        <v>0</v>
      </c>
    </row>
    <row r="2984" spans="1:7">
      <c r="A2984" s="3">
        <v>12</v>
      </c>
      <c r="B2984" s="3">
        <v>4</v>
      </c>
      <c r="C2984" s="3">
        <v>50</v>
      </c>
      <c r="D2984" s="3">
        <v>41</v>
      </c>
      <c r="E2984" s="3">
        <v>-401.011</v>
      </c>
      <c r="F2984" s="4" t="str">
        <f>HYPERLINK("http://141.218.60.56/~jnz1568/getInfo.php?workbook=12_04.xlsx&amp;sheet=A0&amp;row=2984&amp;col=6&amp;number=2200&amp;sourceID=14","2200")</f>
        <v>2200</v>
      </c>
      <c r="G2984" s="4" t="str">
        <f>HYPERLINK("http://141.218.60.56/~jnz1568/getInfo.php?workbook=12_04.xlsx&amp;sheet=A0&amp;row=2984&amp;col=7&amp;number=0&amp;sourceID=14","0")</f>
        <v>0</v>
      </c>
    </row>
    <row r="2985" spans="1:7">
      <c r="A2985" s="3">
        <v>12</v>
      </c>
      <c r="B2985" s="3">
        <v>4</v>
      </c>
      <c r="C2985" s="3">
        <v>51</v>
      </c>
      <c r="D2985" s="3">
        <v>41</v>
      </c>
      <c r="E2985" s="3">
        <v>-400.59</v>
      </c>
      <c r="F2985" s="4" t="str">
        <f>HYPERLINK("http://141.218.60.56/~jnz1568/getInfo.php?workbook=12_04.xlsx&amp;sheet=A0&amp;row=2985&amp;col=6&amp;number=1120&amp;sourceID=14","1120")</f>
        <v>1120</v>
      </c>
      <c r="G2985" s="4" t="str">
        <f>HYPERLINK("http://141.218.60.56/~jnz1568/getInfo.php?workbook=12_04.xlsx&amp;sheet=A0&amp;row=2985&amp;col=7&amp;number=0&amp;sourceID=14","0")</f>
        <v>0</v>
      </c>
    </row>
    <row r="2986" spans="1:7">
      <c r="A2986" s="3">
        <v>12</v>
      </c>
      <c r="B2986" s="3">
        <v>4</v>
      </c>
      <c r="C2986" s="3">
        <v>52</v>
      </c>
      <c r="D2986" s="3">
        <v>41</v>
      </c>
      <c r="E2986" s="3">
        <v>394.54</v>
      </c>
      <c r="F2986" s="4" t="str">
        <f>HYPERLINK("http://141.218.60.56/~jnz1568/getInfo.php?workbook=12_04.xlsx&amp;sheet=A0&amp;row=2986&amp;col=6&amp;number=11.1&amp;sourceID=14","11.1")</f>
        <v>11.1</v>
      </c>
      <c r="G2986" s="4" t="str">
        <f>HYPERLINK("http://141.218.60.56/~jnz1568/getInfo.php?workbook=12_04.xlsx&amp;sheet=A0&amp;row=2986&amp;col=7&amp;number=0&amp;sourceID=14","0")</f>
        <v>0</v>
      </c>
    </row>
    <row r="2987" spans="1:7">
      <c r="A2987" s="3">
        <v>12</v>
      </c>
      <c r="B2987" s="3">
        <v>4</v>
      </c>
      <c r="C2987" s="3">
        <v>53</v>
      </c>
      <c r="D2987" s="3">
        <v>41</v>
      </c>
      <c r="E2987" s="3">
        <v>377.716</v>
      </c>
      <c r="F2987" s="4" t="str">
        <f>HYPERLINK("http://141.218.60.56/~jnz1568/getInfo.php?workbook=12_04.xlsx&amp;sheet=A0&amp;row=2987&amp;col=6&amp;number=6940000&amp;sourceID=14","6940000")</f>
        <v>6940000</v>
      </c>
      <c r="G2987" s="4" t="str">
        <f>HYPERLINK("http://141.218.60.56/~jnz1568/getInfo.php?workbook=12_04.xlsx&amp;sheet=A0&amp;row=2987&amp;col=7&amp;number=0&amp;sourceID=14","0")</f>
        <v>0</v>
      </c>
    </row>
    <row r="2988" spans="1:7">
      <c r="A2988" s="3">
        <v>12</v>
      </c>
      <c r="B2988" s="3">
        <v>4</v>
      </c>
      <c r="C2988" s="3">
        <v>54</v>
      </c>
      <c r="D2988" s="3">
        <v>41</v>
      </c>
      <c r="E2988" s="3">
        <v>377.716</v>
      </c>
      <c r="F2988" s="4" t="str">
        <f>HYPERLINK("http://141.218.60.56/~jnz1568/getInfo.php?workbook=12_04.xlsx&amp;sheet=A0&amp;row=2988&amp;col=6&amp;number=65500000&amp;sourceID=14","65500000")</f>
        <v>65500000</v>
      </c>
      <c r="G2988" s="4" t="str">
        <f>HYPERLINK("http://141.218.60.56/~jnz1568/getInfo.php?workbook=12_04.xlsx&amp;sheet=A0&amp;row=2988&amp;col=7&amp;number=0&amp;sourceID=14","0")</f>
        <v>0</v>
      </c>
    </row>
    <row r="2989" spans="1:7">
      <c r="A2989" s="3">
        <v>12</v>
      </c>
      <c r="B2989" s="3">
        <v>4</v>
      </c>
      <c r="C2989" s="3">
        <v>55</v>
      </c>
      <c r="D2989" s="3">
        <v>41</v>
      </c>
      <c r="E2989" s="3">
        <v>377.601</v>
      </c>
      <c r="F2989" s="4" t="str">
        <f>HYPERLINK("http://141.218.60.56/~jnz1568/getInfo.php?workbook=12_04.xlsx&amp;sheet=A0&amp;row=2989&amp;col=6&amp;number=256000000&amp;sourceID=14","256000000")</f>
        <v>256000000</v>
      </c>
      <c r="G2989" s="4" t="str">
        <f>HYPERLINK("http://141.218.60.56/~jnz1568/getInfo.php?workbook=12_04.xlsx&amp;sheet=A0&amp;row=2989&amp;col=7&amp;number=0&amp;sourceID=14","0")</f>
        <v>0</v>
      </c>
    </row>
    <row r="2990" spans="1:7">
      <c r="A2990" s="3">
        <v>12</v>
      </c>
      <c r="B2990" s="3">
        <v>4</v>
      </c>
      <c r="C2990" s="3">
        <v>56</v>
      </c>
      <c r="D2990" s="3">
        <v>41</v>
      </c>
      <c r="E2990" s="3">
        <v>366.744</v>
      </c>
      <c r="F2990" s="4" t="str">
        <f>HYPERLINK("http://141.218.60.56/~jnz1568/getInfo.php?workbook=12_04.xlsx&amp;sheet=A0&amp;row=2990&amp;col=6&amp;number=1710&amp;sourceID=14","1710")</f>
        <v>1710</v>
      </c>
      <c r="G2990" s="4" t="str">
        <f>HYPERLINK("http://141.218.60.56/~jnz1568/getInfo.php?workbook=12_04.xlsx&amp;sheet=A0&amp;row=2990&amp;col=7&amp;number=0&amp;sourceID=14","0")</f>
        <v>0</v>
      </c>
    </row>
    <row r="2991" spans="1:7">
      <c r="A2991" s="3">
        <v>12</v>
      </c>
      <c r="B2991" s="3">
        <v>4</v>
      </c>
      <c r="C2991" s="3">
        <v>57</v>
      </c>
      <c r="D2991" s="3">
        <v>41</v>
      </c>
      <c r="E2991" s="3">
        <v>-367.255</v>
      </c>
      <c r="F2991" s="4" t="str">
        <f>HYPERLINK("http://141.218.60.56/~jnz1568/getInfo.php?workbook=12_04.xlsx&amp;sheet=A0&amp;row=2991&amp;col=6&amp;number=518&amp;sourceID=14","518")</f>
        <v>518</v>
      </c>
      <c r="G2991" s="4" t="str">
        <f>HYPERLINK("http://141.218.60.56/~jnz1568/getInfo.php?workbook=12_04.xlsx&amp;sheet=A0&amp;row=2991&amp;col=7&amp;number=0&amp;sourceID=14","0")</f>
        <v>0</v>
      </c>
    </row>
    <row r="2992" spans="1:7">
      <c r="A2992" s="3">
        <v>12</v>
      </c>
      <c r="B2992" s="3">
        <v>4</v>
      </c>
      <c r="C2992" s="3">
        <v>58</v>
      </c>
      <c r="D2992" s="3">
        <v>41</v>
      </c>
      <c r="E2992" s="3">
        <v>-367.216</v>
      </c>
      <c r="F2992" s="4" t="str">
        <f>HYPERLINK("http://141.218.60.56/~jnz1568/getInfo.php?workbook=12_04.xlsx&amp;sheet=A0&amp;row=2992&amp;col=6&amp;number=2680&amp;sourceID=14","2680")</f>
        <v>2680</v>
      </c>
      <c r="G2992" s="4" t="str">
        <f>HYPERLINK("http://141.218.60.56/~jnz1568/getInfo.php?workbook=12_04.xlsx&amp;sheet=A0&amp;row=2992&amp;col=7&amp;number=0&amp;sourceID=14","0")</f>
        <v>0</v>
      </c>
    </row>
    <row r="2993" spans="1:7">
      <c r="A2993" s="3">
        <v>12</v>
      </c>
      <c r="B2993" s="3">
        <v>4</v>
      </c>
      <c r="C2993" s="3">
        <v>59</v>
      </c>
      <c r="D2993" s="3">
        <v>41</v>
      </c>
      <c r="E2993" s="3">
        <v>-367.164</v>
      </c>
      <c r="F2993" s="4" t="str">
        <f>HYPERLINK("http://141.218.60.56/~jnz1568/getInfo.php?workbook=12_04.xlsx&amp;sheet=A0&amp;row=2993&amp;col=6&amp;number=8240&amp;sourceID=14","8240")</f>
        <v>8240</v>
      </c>
      <c r="G2993" s="4" t="str">
        <f>HYPERLINK("http://141.218.60.56/~jnz1568/getInfo.php?workbook=12_04.xlsx&amp;sheet=A0&amp;row=2993&amp;col=7&amp;number=0&amp;sourceID=14","0")</f>
        <v>0</v>
      </c>
    </row>
    <row r="2994" spans="1:7">
      <c r="A2994" s="3">
        <v>12</v>
      </c>
      <c r="B2994" s="3">
        <v>4</v>
      </c>
      <c r="C2994" s="3">
        <v>60</v>
      </c>
      <c r="D2994" s="3">
        <v>41</v>
      </c>
      <c r="E2994" s="3">
        <v>-363.791</v>
      </c>
      <c r="F2994" s="4" t="str">
        <f>HYPERLINK("http://141.218.60.56/~jnz1568/getInfo.php?workbook=12_04.xlsx&amp;sheet=A0&amp;row=2994&amp;col=6&amp;number=0.0367&amp;sourceID=14","0.0367")</f>
        <v>0.0367</v>
      </c>
      <c r="G2994" s="4" t="str">
        <f>HYPERLINK("http://141.218.60.56/~jnz1568/getInfo.php?workbook=12_04.xlsx&amp;sheet=A0&amp;row=2994&amp;col=7&amp;number=0&amp;sourceID=14","0")</f>
        <v>0</v>
      </c>
    </row>
    <row r="2995" spans="1:7">
      <c r="A2995" s="3">
        <v>12</v>
      </c>
      <c r="B2995" s="3">
        <v>4</v>
      </c>
      <c r="C2995" s="3">
        <v>61</v>
      </c>
      <c r="D2995" s="3">
        <v>41</v>
      </c>
      <c r="E2995" s="3">
        <v>-256.022</v>
      </c>
      <c r="F2995" s="4" t="str">
        <f>HYPERLINK("http://141.218.60.56/~jnz1568/getInfo.php?workbook=12_04.xlsx&amp;sheet=A0&amp;row=2995&amp;col=6&amp;number=42800&amp;sourceID=14","42800")</f>
        <v>42800</v>
      </c>
      <c r="G2995" s="4" t="str">
        <f>HYPERLINK("http://141.218.60.56/~jnz1568/getInfo.php?workbook=12_04.xlsx&amp;sheet=A0&amp;row=2995&amp;col=7&amp;number=0&amp;sourceID=14","0")</f>
        <v>0</v>
      </c>
    </row>
    <row r="2996" spans="1:7">
      <c r="A2996" s="3">
        <v>12</v>
      </c>
      <c r="B2996" s="3">
        <v>4</v>
      </c>
      <c r="C2996" s="3">
        <v>62</v>
      </c>
      <c r="D2996" s="3">
        <v>41</v>
      </c>
      <c r="E2996" s="3">
        <v>-255.421</v>
      </c>
      <c r="F2996" s="4" t="str">
        <f>HYPERLINK("http://141.218.60.56/~jnz1568/getInfo.php?workbook=12_04.xlsx&amp;sheet=A0&amp;row=2996&amp;col=6&amp;number=49000&amp;sourceID=14","49000")</f>
        <v>49000</v>
      </c>
      <c r="G2996" s="4" t="str">
        <f>HYPERLINK("http://141.218.60.56/~jnz1568/getInfo.php?workbook=12_04.xlsx&amp;sheet=A0&amp;row=2996&amp;col=7&amp;number=0&amp;sourceID=14","0")</f>
        <v>0</v>
      </c>
    </row>
    <row r="2997" spans="1:7">
      <c r="A2997" s="3">
        <v>12</v>
      </c>
      <c r="B2997" s="3">
        <v>4</v>
      </c>
      <c r="C2997" s="3">
        <v>63</v>
      </c>
      <c r="D2997" s="3">
        <v>41</v>
      </c>
      <c r="E2997" s="3">
        <v>-253.492</v>
      </c>
      <c r="F2997" s="4" t="str">
        <f>HYPERLINK("http://141.218.60.56/~jnz1568/getInfo.php?workbook=12_04.xlsx&amp;sheet=A0&amp;row=2997&amp;col=6&amp;number=53500&amp;sourceID=14","53500")</f>
        <v>53500</v>
      </c>
      <c r="G2997" s="4" t="str">
        <f>HYPERLINK("http://141.218.60.56/~jnz1568/getInfo.php?workbook=12_04.xlsx&amp;sheet=A0&amp;row=2997&amp;col=7&amp;number=0&amp;sourceID=14","0")</f>
        <v>0</v>
      </c>
    </row>
    <row r="2998" spans="1:7">
      <c r="A2998" s="3">
        <v>12</v>
      </c>
      <c r="B2998" s="3">
        <v>4</v>
      </c>
      <c r="C2998" s="3">
        <v>64</v>
      </c>
      <c r="D2998" s="3">
        <v>41</v>
      </c>
      <c r="E2998" s="3">
        <v>-249.545</v>
      </c>
      <c r="F2998" s="4" t="str">
        <f>HYPERLINK("http://141.218.60.56/~jnz1568/getInfo.php?workbook=12_04.xlsx&amp;sheet=A0&amp;row=2998&amp;col=6&amp;number=3950&amp;sourceID=14","3950")</f>
        <v>3950</v>
      </c>
      <c r="G2998" s="4" t="str">
        <f>HYPERLINK("http://141.218.60.56/~jnz1568/getInfo.php?workbook=12_04.xlsx&amp;sheet=A0&amp;row=2998&amp;col=7&amp;number=0&amp;sourceID=14","0")</f>
        <v>0</v>
      </c>
    </row>
    <row r="2999" spans="1:7">
      <c r="A2999" s="3">
        <v>12</v>
      </c>
      <c r="B2999" s="3">
        <v>4</v>
      </c>
      <c r="C2999" s="3">
        <v>65</v>
      </c>
      <c r="D2999" s="3">
        <v>41</v>
      </c>
      <c r="E2999" s="3">
        <v>-244.944</v>
      </c>
      <c r="F2999" s="4" t="str">
        <f>HYPERLINK("http://141.218.60.56/~jnz1568/getInfo.php?workbook=12_04.xlsx&amp;sheet=A0&amp;row=2999&amp;col=6&amp;number=12200000&amp;sourceID=14","12200000")</f>
        <v>12200000</v>
      </c>
      <c r="G2999" s="4" t="str">
        <f>HYPERLINK("http://141.218.60.56/~jnz1568/getInfo.php?workbook=12_04.xlsx&amp;sheet=A0&amp;row=2999&amp;col=7&amp;number=0&amp;sourceID=14","0")</f>
        <v>0</v>
      </c>
    </row>
    <row r="3000" spans="1:7">
      <c r="A3000" s="3">
        <v>12</v>
      </c>
      <c r="B3000" s="3">
        <v>4</v>
      </c>
      <c r="C3000" s="3">
        <v>66</v>
      </c>
      <c r="D3000" s="3">
        <v>41</v>
      </c>
      <c r="E3000" s="3">
        <v>-243.423</v>
      </c>
      <c r="F3000" s="4" t="str">
        <f>HYPERLINK("http://141.218.60.56/~jnz1568/getInfo.php?workbook=12_04.xlsx&amp;sheet=A0&amp;row=3000&amp;col=6&amp;number=95700000&amp;sourceID=14","95700000")</f>
        <v>95700000</v>
      </c>
      <c r="G3000" s="4" t="str">
        <f>HYPERLINK("http://141.218.60.56/~jnz1568/getInfo.php?workbook=12_04.xlsx&amp;sheet=A0&amp;row=3000&amp;col=7&amp;number=0&amp;sourceID=14","0")</f>
        <v>0</v>
      </c>
    </row>
    <row r="3001" spans="1:7">
      <c r="A3001" s="3">
        <v>12</v>
      </c>
      <c r="B3001" s="3">
        <v>4</v>
      </c>
      <c r="C3001" s="3">
        <v>67</v>
      </c>
      <c r="D3001" s="3">
        <v>41</v>
      </c>
      <c r="E3001" s="3">
        <v>-243.156</v>
      </c>
      <c r="F3001" s="4" t="str">
        <f>HYPERLINK("http://141.218.60.56/~jnz1568/getInfo.php?workbook=12_04.xlsx&amp;sheet=A0&amp;row=3001&amp;col=6&amp;number=196000000&amp;sourceID=14","196000000")</f>
        <v>196000000</v>
      </c>
      <c r="G3001" s="4" t="str">
        <f>HYPERLINK("http://141.218.60.56/~jnz1568/getInfo.php?workbook=12_04.xlsx&amp;sheet=A0&amp;row=3001&amp;col=7&amp;number=0&amp;sourceID=14","0")</f>
        <v>0</v>
      </c>
    </row>
    <row r="3002" spans="1:7">
      <c r="A3002" s="3">
        <v>12</v>
      </c>
      <c r="B3002" s="3">
        <v>4</v>
      </c>
      <c r="C3002" s="3">
        <v>68</v>
      </c>
      <c r="D3002" s="3">
        <v>41</v>
      </c>
      <c r="E3002" s="3">
        <v>241.249</v>
      </c>
      <c r="F3002" s="4" t="str">
        <f>HYPERLINK("http://141.218.60.56/~jnz1568/getInfo.php?workbook=12_04.xlsx&amp;sheet=A0&amp;row=3002&amp;col=6&amp;number=1170000000&amp;sourceID=14","1170000000")</f>
        <v>1170000000</v>
      </c>
      <c r="G3002" s="4" t="str">
        <f>HYPERLINK("http://141.218.60.56/~jnz1568/getInfo.php?workbook=12_04.xlsx&amp;sheet=A0&amp;row=3002&amp;col=7&amp;number=0&amp;sourceID=14","0")</f>
        <v>0</v>
      </c>
    </row>
    <row r="3003" spans="1:7">
      <c r="A3003" s="3">
        <v>12</v>
      </c>
      <c r="B3003" s="3">
        <v>4</v>
      </c>
      <c r="C3003" s="3">
        <v>69</v>
      </c>
      <c r="D3003" s="3">
        <v>41</v>
      </c>
      <c r="E3003" s="3">
        <v>-240.041</v>
      </c>
      <c r="F3003" s="4" t="str">
        <f>HYPERLINK("http://141.218.60.56/~jnz1568/getInfo.php?workbook=12_04.xlsx&amp;sheet=A0&amp;row=3003&amp;col=6&amp;number=2430000000&amp;sourceID=14","2430000000")</f>
        <v>2430000000</v>
      </c>
      <c r="G3003" s="4" t="str">
        <f>HYPERLINK("http://141.218.60.56/~jnz1568/getInfo.php?workbook=12_04.xlsx&amp;sheet=A0&amp;row=3003&amp;col=7&amp;number=0&amp;sourceID=14","0")</f>
        <v>0</v>
      </c>
    </row>
    <row r="3004" spans="1:7">
      <c r="A3004" s="3">
        <v>12</v>
      </c>
      <c r="B3004" s="3">
        <v>4</v>
      </c>
      <c r="C3004" s="3">
        <v>70</v>
      </c>
      <c r="D3004" s="3">
        <v>41</v>
      </c>
      <c r="E3004" s="3">
        <v>-239.678</v>
      </c>
      <c r="F3004" s="4" t="str">
        <f>HYPERLINK("http://141.218.60.56/~jnz1568/getInfo.php?workbook=12_04.xlsx&amp;sheet=A0&amp;row=3004&amp;col=6&amp;number=0.00917&amp;sourceID=14","0.00917")</f>
        <v>0.00917</v>
      </c>
      <c r="G3004" s="4" t="str">
        <f>HYPERLINK("http://141.218.60.56/~jnz1568/getInfo.php?workbook=12_04.xlsx&amp;sheet=A0&amp;row=3004&amp;col=7&amp;number=0&amp;sourceID=14","0")</f>
        <v>0</v>
      </c>
    </row>
    <row r="3005" spans="1:7">
      <c r="A3005" s="3">
        <v>12</v>
      </c>
      <c r="B3005" s="3">
        <v>4</v>
      </c>
      <c r="C3005" s="3">
        <v>71</v>
      </c>
      <c r="D3005" s="3">
        <v>41</v>
      </c>
      <c r="E3005" s="3">
        <v>-238.573</v>
      </c>
      <c r="F3005" s="4" t="str">
        <f>HYPERLINK("http://141.218.60.56/~jnz1568/getInfo.php?workbook=12_04.xlsx&amp;sheet=A0&amp;row=3005&amp;col=6&amp;number=1130000000&amp;sourceID=14","1130000000")</f>
        <v>1130000000</v>
      </c>
      <c r="G3005" s="4" t="str">
        <f>HYPERLINK("http://141.218.60.56/~jnz1568/getInfo.php?workbook=12_04.xlsx&amp;sheet=A0&amp;row=3005&amp;col=7&amp;number=0&amp;sourceID=14","0")</f>
        <v>0</v>
      </c>
    </row>
    <row r="3006" spans="1:7">
      <c r="A3006" s="3">
        <v>12</v>
      </c>
      <c r="B3006" s="3">
        <v>4</v>
      </c>
      <c r="C3006" s="3">
        <v>72</v>
      </c>
      <c r="D3006" s="3">
        <v>41</v>
      </c>
      <c r="E3006" s="3">
        <v>238.022</v>
      </c>
      <c r="F3006" s="4" t="str">
        <f>HYPERLINK("http://141.218.60.56/~jnz1568/getInfo.php?workbook=12_04.xlsx&amp;sheet=A0&amp;row=3006&amp;col=6&amp;number=184000000&amp;sourceID=14","184000000")</f>
        <v>184000000</v>
      </c>
      <c r="G3006" s="4" t="str">
        <f>HYPERLINK("http://141.218.60.56/~jnz1568/getInfo.php?workbook=12_04.xlsx&amp;sheet=A0&amp;row=3006&amp;col=7&amp;number=0&amp;sourceID=14","0")</f>
        <v>0</v>
      </c>
    </row>
    <row r="3007" spans="1:7">
      <c r="A3007" s="3">
        <v>12</v>
      </c>
      <c r="B3007" s="3">
        <v>4</v>
      </c>
      <c r="C3007" s="3">
        <v>73</v>
      </c>
      <c r="D3007" s="3">
        <v>41</v>
      </c>
      <c r="E3007" s="3">
        <v>-236.596</v>
      </c>
      <c r="F3007" s="4" t="str">
        <f>HYPERLINK("http://141.218.60.56/~jnz1568/getInfo.php?workbook=12_04.xlsx&amp;sheet=A0&amp;row=3007&amp;col=6&amp;number=551&amp;sourceID=14","551")</f>
        <v>551</v>
      </c>
      <c r="G3007" s="4" t="str">
        <f>HYPERLINK("http://141.218.60.56/~jnz1568/getInfo.php?workbook=12_04.xlsx&amp;sheet=A0&amp;row=3007&amp;col=7&amp;number=0&amp;sourceID=14","0")</f>
        <v>0</v>
      </c>
    </row>
    <row r="3008" spans="1:7">
      <c r="A3008" s="3">
        <v>12</v>
      </c>
      <c r="B3008" s="3">
        <v>4</v>
      </c>
      <c r="C3008" s="3">
        <v>74</v>
      </c>
      <c r="D3008" s="3">
        <v>41</v>
      </c>
      <c r="E3008" s="3">
        <v>-235.532</v>
      </c>
      <c r="F3008" s="4" t="str">
        <f>HYPERLINK("http://141.218.60.56/~jnz1568/getInfo.php?workbook=12_04.xlsx&amp;sheet=A0&amp;row=3008&amp;col=6&amp;number=23700&amp;sourceID=14","23700")</f>
        <v>23700</v>
      </c>
      <c r="G3008" s="4" t="str">
        <f>HYPERLINK("http://141.218.60.56/~jnz1568/getInfo.php?workbook=12_04.xlsx&amp;sheet=A0&amp;row=3008&amp;col=7&amp;number=0&amp;sourceID=14","0")</f>
        <v>0</v>
      </c>
    </row>
    <row r="3009" spans="1:7">
      <c r="A3009" s="3">
        <v>12</v>
      </c>
      <c r="B3009" s="3">
        <v>4</v>
      </c>
      <c r="C3009" s="3">
        <v>75</v>
      </c>
      <c r="D3009" s="3">
        <v>41</v>
      </c>
      <c r="E3009" s="3">
        <v>234.748</v>
      </c>
      <c r="F3009" s="4" t="str">
        <f>HYPERLINK("http://141.218.60.56/~jnz1568/getInfo.php?workbook=12_04.xlsx&amp;sheet=A0&amp;row=3009&amp;col=6&amp;number=9030&amp;sourceID=14","9030")</f>
        <v>9030</v>
      </c>
      <c r="G3009" s="4" t="str">
        <f>HYPERLINK("http://141.218.60.56/~jnz1568/getInfo.php?workbook=12_04.xlsx&amp;sheet=A0&amp;row=3009&amp;col=7&amp;number=0&amp;sourceID=14","0")</f>
        <v>0</v>
      </c>
    </row>
    <row r="3010" spans="1:7">
      <c r="A3010" s="3">
        <v>12</v>
      </c>
      <c r="B3010" s="3">
        <v>4</v>
      </c>
      <c r="C3010" s="3">
        <v>76</v>
      </c>
      <c r="D3010" s="3">
        <v>41</v>
      </c>
      <c r="E3010" s="3">
        <v>234.819</v>
      </c>
      <c r="F3010" s="4" t="str">
        <f>HYPERLINK("http://141.218.60.56/~jnz1568/getInfo.php?workbook=12_04.xlsx&amp;sheet=A0&amp;row=3010&amp;col=6&amp;number=26600000&amp;sourceID=14","26600000")</f>
        <v>26600000</v>
      </c>
      <c r="G3010" s="4" t="str">
        <f>HYPERLINK("http://141.218.60.56/~jnz1568/getInfo.php?workbook=12_04.xlsx&amp;sheet=A0&amp;row=3010&amp;col=7&amp;number=0&amp;sourceID=14","0")</f>
        <v>0</v>
      </c>
    </row>
    <row r="3011" spans="1:7">
      <c r="A3011" s="3">
        <v>12</v>
      </c>
      <c r="B3011" s="3">
        <v>4</v>
      </c>
      <c r="C3011" s="3">
        <v>77</v>
      </c>
      <c r="D3011" s="3">
        <v>41</v>
      </c>
      <c r="E3011" s="3">
        <v>-234.331</v>
      </c>
      <c r="F3011" s="4" t="str">
        <f>HYPERLINK("http://141.218.60.56/~jnz1568/getInfo.php?workbook=12_04.xlsx&amp;sheet=A0&amp;row=3011&amp;col=6&amp;number=99700&amp;sourceID=14","99700")</f>
        <v>99700</v>
      </c>
      <c r="G3011" s="4" t="str">
        <f>HYPERLINK("http://141.218.60.56/~jnz1568/getInfo.php?workbook=12_04.xlsx&amp;sheet=A0&amp;row=3011&amp;col=7&amp;number=0&amp;sourceID=14","0")</f>
        <v>0</v>
      </c>
    </row>
    <row r="3012" spans="1:7">
      <c r="A3012" s="3">
        <v>12</v>
      </c>
      <c r="B3012" s="3">
        <v>4</v>
      </c>
      <c r="C3012" s="3">
        <v>78</v>
      </c>
      <c r="D3012" s="3">
        <v>41</v>
      </c>
      <c r="E3012" s="3">
        <v>-232.693</v>
      </c>
      <c r="F3012" s="4" t="str">
        <f>HYPERLINK("http://141.218.60.56/~jnz1568/getInfo.php?workbook=12_04.xlsx&amp;sheet=A0&amp;row=3012&amp;col=6&amp;number=55900&amp;sourceID=14","55900")</f>
        <v>55900</v>
      </c>
      <c r="G3012" s="4" t="str">
        <f>HYPERLINK("http://141.218.60.56/~jnz1568/getInfo.php?workbook=12_04.xlsx&amp;sheet=A0&amp;row=3012&amp;col=7&amp;number=0&amp;sourceID=14","0")</f>
        <v>0</v>
      </c>
    </row>
    <row r="3013" spans="1:7">
      <c r="A3013" s="3">
        <v>12</v>
      </c>
      <c r="B3013" s="3">
        <v>4</v>
      </c>
      <c r="C3013" s="3">
        <v>79</v>
      </c>
      <c r="D3013" s="3">
        <v>41</v>
      </c>
      <c r="E3013" s="3">
        <v>-232.359</v>
      </c>
      <c r="F3013" s="4" t="str">
        <f>HYPERLINK("http://141.218.60.56/~jnz1568/getInfo.php?workbook=12_04.xlsx&amp;sheet=A0&amp;row=3013&amp;col=6&amp;number=83600&amp;sourceID=14","83600")</f>
        <v>83600</v>
      </c>
      <c r="G3013" s="4" t="str">
        <f>HYPERLINK("http://141.218.60.56/~jnz1568/getInfo.php?workbook=12_04.xlsx&amp;sheet=A0&amp;row=3013&amp;col=7&amp;number=0&amp;sourceID=14","0")</f>
        <v>0</v>
      </c>
    </row>
    <row r="3014" spans="1:7">
      <c r="A3014" s="3">
        <v>12</v>
      </c>
      <c r="B3014" s="3">
        <v>4</v>
      </c>
      <c r="C3014" s="3">
        <v>80</v>
      </c>
      <c r="D3014" s="3">
        <v>41</v>
      </c>
      <c r="E3014" s="3">
        <v>-231.69</v>
      </c>
      <c r="F3014" s="4" t="str">
        <f>HYPERLINK("http://141.218.60.56/~jnz1568/getInfo.php?workbook=12_04.xlsx&amp;sheet=A0&amp;row=3014&amp;col=6&amp;number=1500000000&amp;sourceID=14","1500000000")</f>
        <v>1500000000</v>
      </c>
      <c r="G3014" s="4" t="str">
        <f>HYPERLINK("http://141.218.60.56/~jnz1568/getInfo.php?workbook=12_04.xlsx&amp;sheet=A0&amp;row=3014&amp;col=7&amp;number=0&amp;sourceID=14","0")</f>
        <v>0</v>
      </c>
    </row>
    <row r="3015" spans="1:7">
      <c r="A3015" s="3">
        <v>12</v>
      </c>
      <c r="B3015" s="3">
        <v>4</v>
      </c>
      <c r="C3015" s="3">
        <v>81</v>
      </c>
      <c r="D3015" s="3">
        <v>41</v>
      </c>
      <c r="E3015" s="3">
        <v>230.931</v>
      </c>
      <c r="F3015" s="4" t="str">
        <f>HYPERLINK("http://141.218.60.56/~jnz1568/getInfo.php?workbook=12_04.xlsx&amp;sheet=A0&amp;row=3015&amp;col=6&amp;number=59700&amp;sourceID=14","59700")</f>
        <v>59700</v>
      </c>
      <c r="G3015" s="4" t="str">
        <f>HYPERLINK("http://141.218.60.56/~jnz1568/getInfo.php?workbook=12_04.xlsx&amp;sheet=A0&amp;row=3015&amp;col=7&amp;number=0&amp;sourceID=14","0")</f>
        <v>0</v>
      </c>
    </row>
    <row r="3016" spans="1:7">
      <c r="A3016" s="3">
        <v>12</v>
      </c>
      <c r="B3016" s="3">
        <v>4</v>
      </c>
      <c r="C3016" s="3">
        <v>82</v>
      </c>
      <c r="D3016" s="3">
        <v>41</v>
      </c>
      <c r="E3016" s="3">
        <v>-231.496</v>
      </c>
      <c r="F3016" s="4" t="str">
        <f>HYPERLINK("http://141.218.60.56/~jnz1568/getInfo.php?workbook=12_04.xlsx&amp;sheet=A0&amp;row=3016&amp;col=6&amp;number=65400000&amp;sourceID=14","65400000")</f>
        <v>65400000</v>
      </c>
      <c r="G3016" s="4" t="str">
        <f>HYPERLINK("http://141.218.60.56/~jnz1568/getInfo.php?workbook=12_04.xlsx&amp;sheet=A0&amp;row=3016&amp;col=7&amp;number=0&amp;sourceID=14","0")</f>
        <v>0</v>
      </c>
    </row>
    <row r="3017" spans="1:7">
      <c r="A3017" s="3">
        <v>12</v>
      </c>
      <c r="B3017" s="3">
        <v>4</v>
      </c>
      <c r="C3017" s="3">
        <v>83</v>
      </c>
      <c r="D3017" s="3">
        <v>41</v>
      </c>
      <c r="E3017" s="3">
        <v>-231.494</v>
      </c>
      <c r="F3017" s="4" t="str">
        <f>HYPERLINK("http://141.218.60.56/~jnz1568/getInfo.php?workbook=12_04.xlsx&amp;sheet=A0&amp;row=3017&amp;col=6&amp;number=86300000&amp;sourceID=14","86300000")</f>
        <v>86300000</v>
      </c>
      <c r="G3017" s="4" t="str">
        <f>HYPERLINK("http://141.218.60.56/~jnz1568/getInfo.php?workbook=12_04.xlsx&amp;sheet=A0&amp;row=3017&amp;col=7&amp;number=0&amp;sourceID=14","0")</f>
        <v>0</v>
      </c>
    </row>
    <row r="3018" spans="1:7">
      <c r="A3018" s="3">
        <v>12</v>
      </c>
      <c r="B3018" s="3">
        <v>4</v>
      </c>
      <c r="C3018" s="3">
        <v>84</v>
      </c>
      <c r="D3018" s="3">
        <v>41</v>
      </c>
      <c r="E3018" s="3">
        <v>-231.32</v>
      </c>
      <c r="F3018" s="4" t="str">
        <f>HYPERLINK("http://141.218.60.56/~jnz1568/getInfo.php?workbook=12_04.xlsx&amp;sheet=A0&amp;row=3018&amp;col=6&amp;number=24.2&amp;sourceID=14","24.2")</f>
        <v>24.2</v>
      </c>
      <c r="G3018" s="4" t="str">
        <f>HYPERLINK("http://141.218.60.56/~jnz1568/getInfo.php?workbook=12_04.xlsx&amp;sheet=A0&amp;row=3018&amp;col=7&amp;number=0&amp;sourceID=14","0")</f>
        <v>0</v>
      </c>
    </row>
    <row r="3019" spans="1:7">
      <c r="A3019" s="3">
        <v>12</v>
      </c>
      <c r="B3019" s="3">
        <v>4</v>
      </c>
      <c r="C3019" s="3">
        <v>85</v>
      </c>
      <c r="D3019" s="3">
        <v>41</v>
      </c>
      <c r="E3019" s="3">
        <v>230.293</v>
      </c>
      <c r="F3019" s="4" t="str">
        <f>HYPERLINK("http://141.218.60.56/~jnz1568/getInfo.php?workbook=12_04.xlsx&amp;sheet=A0&amp;row=3019&amp;col=6&amp;number=44300&amp;sourceID=14","44300")</f>
        <v>44300</v>
      </c>
      <c r="G3019" s="4" t="str">
        <f>HYPERLINK("http://141.218.60.56/~jnz1568/getInfo.php?workbook=12_04.xlsx&amp;sheet=A0&amp;row=3019&amp;col=7&amp;number=0&amp;sourceID=14","0")</f>
        <v>0</v>
      </c>
    </row>
    <row r="3020" spans="1:7">
      <c r="A3020" s="3">
        <v>12</v>
      </c>
      <c r="B3020" s="3">
        <v>4</v>
      </c>
      <c r="C3020" s="3">
        <v>86</v>
      </c>
      <c r="D3020" s="3">
        <v>41</v>
      </c>
      <c r="E3020" s="3">
        <v>230.018</v>
      </c>
      <c r="F3020" s="4" t="str">
        <f>HYPERLINK("http://141.218.60.56/~jnz1568/getInfo.php?workbook=12_04.xlsx&amp;sheet=A0&amp;row=3020&amp;col=6&amp;number=290000&amp;sourceID=14","290000")</f>
        <v>290000</v>
      </c>
      <c r="G3020" s="4" t="str">
        <f>HYPERLINK("http://141.218.60.56/~jnz1568/getInfo.php?workbook=12_04.xlsx&amp;sheet=A0&amp;row=3020&amp;col=7&amp;number=0&amp;sourceID=14","0")</f>
        <v>0</v>
      </c>
    </row>
    <row r="3021" spans="1:7">
      <c r="A3021" s="3">
        <v>12</v>
      </c>
      <c r="B3021" s="3">
        <v>4</v>
      </c>
      <c r="C3021" s="3">
        <v>87</v>
      </c>
      <c r="D3021" s="3">
        <v>41</v>
      </c>
      <c r="E3021" s="3">
        <v>-230.027</v>
      </c>
      <c r="F3021" s="4" t="str">
        <f>HYPERLINK("http://141.218.60.56/~jnz1568/getInfo.php?workbook=12_04.xlsx&amp;sheet=A0&amp;row=3021&amp;col=6&amp;number=559000&amp;sourceID=14","559000")</f>
        <v>559000</v>
      </c>
      <c r="G3021" s="4" t="str">
        <f>HYPERLINK("http://141.218.60.56/~jnz1568/getInfo.php?workbook=12_04.xlsx&amp;sheet=A0&amp;row=3021&amp;col=7&amp;number=0&amp;sourceID=14","0")</f>
        <v>0</v>
      </c>
    </row>
    <row r="3022" spans="1:7">
      <c r="A3022" s="3">
        <v>12</v>
      </c>
      <c r="B3022" s="3">
        <v>4</v>
      </c>
      <c r="C3022" s="3">
        <v>88</v>
      </c>
      <c r="D3022" s="3">
        <v>41</v>
      </c>
      <c r="E3022" s="3">
        <v>-229.613</v>
      </c>
      <c r="F3022" s="4" t="str">
        <f>HYPERLINK("http://141.218.60.56/~jnz1568/getInfo.php?workbook=12_04.xlsx&amp;sheet=A0&amp;row=3022&amp;col=6&amp;number=107000000&amp;sourceID=14","107000000")</f>
        <v>107000000</v>
      </c>
      <c r="G3022" s="4" t="str">
        <f>HYPERLINK("http://141.218.60.56/~jnz1568/getInfo.php?workbook=12_04.xlsx&amp;sheet=A0&amp;row=3022&amp;col=7&amp;number=0&amp;sourceID=14","0")</f>
        <v>0</v>
      </c>
    </row>
    <row r="3023" spans="1:7">
      <c r="A3023" s="3">
        <v>12</v>
      </c>
      <c r="B3023" s="3">
        <v>4</v>
      </c>
      <c r="C3023" s="3">
        <v>89</v>
      </c>
      <c r="D3023" s="3">
        <v>41</v>
      </c>
      <c r="E3023" s="3">
        <v>-229.369</v>
      </c>
      <c r="F3023" s="4" t="str">
        <f>HYPERLINK("http://141.218.60.56/~jnz1568/getInfo.php?workbook=12_04.xlsx&amp;sheet=A0&amp;row=3023&amp;col=6&amp;number=14.1&amp;sourceID=14","14.1")</f>
        <v>14.1</v>
      </c>
      <c r="G3023" s="4" t="str">
        <f>HYPERLINK("http://141.218.60.56/~jnz1568/getInfo.php?workbook=12_04.xlsx&amp;sheet=A0&amp;row=3023&amp;col=7&amp;number=0&amp;sourceID=14","0")</f>
        <v>0</v>
      </c>
    </row>
    <row r="3024" spans="1:7">
      <c r="A3024" s="3">
        <v>12</v>
      </c>
      <c r="B3024" s="3">
        <v>4</v>
      </c>
      <c r="C3024" s="3">
        <v>90</v>
      </c>
      <c r="D3024" s="3">
        <v>41</v>
      </c>
      <c r="E3024" s="3">
        <v>-228.649</v>
      </c>
      <c r="F3024" s="4" t="str">
        <f>HYPERLINK("http://141.218.60.56/~jnz1568/getInfo.php?workbook=12_04.xlsx&amp;sheet=A0&amp;row=3024&amp;col=6&amp;number=3.85&amp;sourceID=14","3.85")</f>
        <v>3.85</v>
      </c>
      <c r="G3024" s="4" t="str">
        <f>HYPERLINK("http://141.218.60.56/~jnz1568/getInfo.php?workbook=12_04.xlsx&amp;sheet=A0&amp;row=3024&amp;col=7&amp;number=0&amp;sourceID=14","0")</f>
        <v>0</v>
      </c>
    </row>
    <row r="3025" spans="1:7">
      <c r="A3025" s="3">
        <v>12</v>
      </c>
      <c r="B3025" s="3">
        <v>4</v>
      </c>
      <c r="C3025" s="3">
        <v>91</v>
      </c>
      <c r="D3025" s="3">
        <v>41</v>
      </c>
      <c r="E3025" s="3">
        <v>-228.013</v>
      </c>
      <c r="F3025" s="4" t="str">
        <f>HYPERLINK("http://141.218.60.56/~jnz1568/getInfo.php?workbook=12_04.xlsx&amp;sheet=A0&amp;row=3025&amp;col=6&amp;number=70800000000&amp;sourceID=14","70800000000")</f>
        <v>70800000000</v>
      </c>
      <c r="G3025" s="4" t="str">
        <f>HYPERLINK("http://141.218.60.56/~jnz1568/getInfo.php?workbook=12_04.xlsx&amp;sheet=A0&amp;row=3025&amp;col=7&amp;number=0&amp;sourceID=14","0")</f>
        <v>0</v>
      </c>
    </row>
    <row r="3026" spans="1:7">
      <c r="A3026" s="3">
        <v>12</v>
      </c>
      <c r="B3026" s="3">
        <v>4</v>
      </c>
      <c r="C3026" s="3">
        <v>92</v>
      </c>
      <c r="D3026" s="3">
        <v>41</v>
      </c>
      <c r="E3026" s="3">
        <v>-227.864</v>
      </c>
      <c r="F3026" s="4" t="str">
        <f>HYPERLINK("http://141.218.60.56/~jnz1568/getInfo.php?workbook=12_04.xlsx&amp;sheet=A0&amp;row=3026&amp;col=6&amp;number=0.563&amp;sourceID=14","0.563")</f>
        <v>0.563</v>
      </c>
      <c r="G3026" s="4" t="str">
        <f>HYPERLINK("http://141.218.60.56/~jnz1568/getInfo.php?workbook=12_04.xlsx&amp;sheet=A0&amp;row=3026&amp;col=7&amp;number=0&amp;sourceID=14","0")</f>
        <v>0</v>
      </c>
    </row>
    <row r="3027" spans="1:7">
      <c r="A3027" s="3">
        <v>12</v>
      </c>
      <c r="B3027" s="3">
        <v>4</v>
      </c>
      <c r="C3027" s="3">
        <v>93</v>
      </c>
      <c r="D3027" s="3">
        <v>41</v>
      </c>
      <c r="E3027" s="3">
        <v>-227.728</v>
      </c>
      <c r="F3027" s="4" t="str">
        <f>HYPERLINK("http://141.218.60.56/~jnz1568/getInfo.php?workbook=12_04.xlsx&amp;sheet=A0&amp;row=3027&amp;col=6&amp;number=19900000000&amp;sourceID=14","19900000000")</f>
        <v>19900000000</v>
      </c>
      <c r="G3027" s="4" t="str">
        <f>HYPERLINK("http://141.218.60.56/~jnz1568/getInfo.php?workbook=12_04.xlsx&amp;sheet=A0&amp;row=3027&amp;col=7&amp;number=0&amp;sourceID=14","0")</f>
        <v>0</v>
      </c>
    </row>
    <row r="3028" spans="1:7">
      <c r="A3028" s="3">
        <v>12</v>
      </c>
      <c r="B3028" s="3">
        <v>4</v>
      </c>
      <c r="C3028" s="3">
        <v>94</v>
      </c>
      <c r="D3028" s="3">
        <v>41</v>
      </c>
      <c r="E3028" s="3">
        <v>-227.227</v>
      </c>
      <c r="F3028" s="4" t="str">
        <f>HYPERLINK("http://141.218.60.56/~jnz1568/getInfo.php?workbook=12_04.xlsx&amp;sheet=A0&amp;row=3028&amp;col=6&amp;number=3230000000&amp;sourceID=14","3230000000")</f>
        <v>3230000000</v>
      </c>
      <c r="G3028" s="4" t="str">
        <f>HYPERLINK("http://141.218.60.56/~jnz1568/getInfo.php?workbook=12_04.xlsx&amp;sheet=A0&amp;row=3028&amp;col=7&amp;number=0&amp;sourceID=14","0")</f>
        <v>0</v>
      </c>
    </row>
    <row r="3029" spans="1:7">
      <c r="A3029" s="3">
        <v>12</v>
      </c>
      <c r="B3029" s="3">
        <v>4</v>
      </c>
      <c r="C3029" s="3">
        <v>95</v>
      </c>
      <c r="D3029" s="3">
        <v>41</v>
      </c>
      <c r="E3029" s="3">
        <v>-226.9</v>
      </c>
      <c r="F3029" s="4" t="str">
        <f>HYPERLINK("http://141.218.60.56/~jnz1568/getInfo.php?workbook=12_04.xlsx&amp;sheet=A0&amp;row=3029&amp;col=6&amp;number=4.25&amp;sourceID=14","4.25")</f>
        <v>4.25</v>
      </c>
      <c r="G3029" s="4" t="str">
        <f>HYPERLINK("http://141.218.60.56/~jnz1568/getInfo.php?workbook=12_04.xlsx&amp;sheet=A0&amp;row=3029&amp;col=7&amp;number=0&amp;sourceID=14","0")</f>
        <v>0</v>
      </c>
    </row>
    <row r="3030" spans="1:7">
      <c r="A3030" s="3">
        <v>12</v>
      </c>
      <c r="B3030" s="3">
        <v>4</v>
      </c>
      <c r="C3030" s="3">
        <v>96</v>
      </c>
      <c r="D3030" s="3">
        <v>41</v>
      </c>
      <c r="E3030" s="3">
        <v>-226.599</v>
      </c>
      <c r="F3030" s="4" t="str">
        <f>HYPERLINK("http://141.218.60.56/~jnz1568/getInfo.php?workbook=12_04.xlsx&amp;sheet=A0&amp;row=3030&amp;col=6&amp;number=4570000000&amp;sourceID=14","4570000000")</f>
        <v>4570000000</v>
      </c>
      <c r="G3030" s="4" t="str">
        <f>HYPERLINK("http://141.218.60.56/~jnz1568/getInfo.php?workbook=12_04.xlsx&amp;sheet=A0&amp;row=3030&amp;col=7&amp;number=0&amp;sourceID=14","0")</f>
        <v>0</v>
      </c>
    </row>
    <row r="3031" spans="1:7">
      <c r="A3031" s="3">
        <v>12</v>
      </c>
      <c r="B3031" s="3">
        <v>4</v>
      </c>
      <c r="C3031" s="3">
        <v>97</v>
      </c>
      <c r="D3031" s="3">
        <v>41</v>
      </c>
      <c r="E3031" s="3">
        <v>226.578</v>
      </c>
      <c r="F3031" s="4" t="str">
        <f>HYPERLINK("http://141.218.60.56/~jnz1568/getInfo.php?workbook=12_04.xlsx&amp;sheet=A0&amp;row=3031&amp;col=6&amp;number=2270&amp;sourceID=14","2270")</f>
        <v>2270</v>
      </c>
      <c r="G3031" s="4" t="str">
        <f>HYPERLINK("http://141.218.60.56/~jnz1568/getInfo.php?workbook=12_04.xlsx&amp;sheet=A0&amp;row=3031&amp;col=7&amp;number=0&amp;sourceID=14","0")</f>
        <v>0</v>
      </c>
    </row>
    <row r="3032" spans="1:7">
      <c r="A3032" s="3">
        <v>12</v>
      </c>
      <c r="B3032" s="3">
        <v>4</v>
      </c>
      <c r="C3032" s="3">
        <v>98</v>
      </c>
      <c r="D3032" s="3">
        <v>41</v>
      </c>
      <c r="E3032" s="3">
        <v>225.688</v>
      </c>
      <c r="F3032" s="4" t="str">
        <f>HYPERLINK("http://141.218.60.56/~jnz1568/getInfo.php?workbook=12_04.xlsx&amp;sheet=A0&amp;row=3032&amp;col=6&amp;number=6430&amp;sourceID=14","6430")</f>
        <v>6430</v>
      </c>
      <c r="G3032" s="4" t="str">
        <f>HYPERLINK("http://141.218.60.56/~jnz1568/getInfo.php?workbook=12_04.xlsx&amp;sheet=A0&amp;row=3032&amp;col=7&amp;number=0&amp;sourceID=14","0")</f>
        <v>0</v>
      </c>
    </row>
    <row r="3033" spans="1:7">
      <c r="A3033" s="3">
        <v>12</v>
      </c>
      <c r="B3033" s="3">
        <v>4</v>
      </c>
      <c r="C3033" s="3">
        <v>43</v>
      </c>
      <c r="D3033" s="3">
        <v>42</v>
      </c>
      <c r="E3033" s="3">
        <v>192308.047</v>
      </c>
      <c r="F3033" s="4" t="str">
        <f>HYPERLINK("http://141.218.60.56/~jnz1568/getInfo.php?workbook=12_04.xlsx&amp;sheet=A0&amp;row=3033&amp;col=6&amp;number=0.00745&amp;sourceID=14","0.00745")</f>
        <v>0.00745</v>
      </c>
      <c r="G3033" s="4" t="str">
        <f>HYPERLINK("http://141.218.60.56/~jnz1568/getInfo.php?workbook=12_04.xlsx&amp;sheet=A0&amp;row=3033&amp;col=7&amp;number=0&amp;sourceID=14","0")</f>
        <v>0</v>
      </c>
    </row>
    <row r="3034" spans="1:7">
      <c r="A3034" s="3">
        <v>12</v>
      </c>
      <c r="B3034" s="3">
        <v>4</v>
      </c>
      <c r="C3034" s="3">
        <v>44</v>
      </c>
      <c r="D3034" s="3">
        <v>42</v>
      </c>
      <c r="E3034" s="3">
        <v>-6498.16</v>
      </c>
      <c r="F3034" s="4" t="str">
        <f>HYPERLINK("http://141.218.60.56/~jnz1568/getInfo.php?workbook=12_04.xlsx&amp;sheet=A0&amp;row=3034&amp;col=6&amp;number=2450&amp;sourceID=14","2450")</f>
        <v>2450</v>
      </c>
      <c r="G3034" s="4" t="str">
        <f>HYPERLINK("http://141.218.60.56/~jnz1568/getInfo.php?workbook=12_04.xlsx&amp;sheet=A0&amp;row=3034&amp;col=7&amp;number=0&amp;sourceID=14","0")</f>
        <v>0</v>
      </c>
    </row>
    <row r="3035" spans="1:7">
      <c r="A3035" s="3">
        <v>12</v>
      </c>
      <c r="B3035" s="3">
        <v>4</v>
      </c>
      <c r="C3035" s="3">
        <v>45</v>
      </c>
      <c r="D3035" s="3">
        <v>42</v>
      </c>
      <c r="E3035" s="3">
        <v>5411.265</v>
      </c>
      <c r="F3035" s="4" t="str">
        <f>HYPERLINK("http://141.218.60.56/~jnz1568/getInfo.php?workbook=12_04.xlsx&amp;sheet=A0&amp;row=3035&amp;col=6&amp;number=9.23e-06&amp;sourceID=14","9.23e-06")</f>
        <v>9.23e-06</v>
      </c>
      <c r="G3035" s="4" t="str">
        <f>HYPERLINK("http://141.218.60.56/~jnz1568/getInfo.php?workbook=12_04.xlsx&amp;sheet=A0&amp;row=3035&amp;col=7&amp;number=0&amp;sourceID=14","0")</f>
        <v>0</v>
      </c>
    </row>
    <row r="3036" spans="1:7">
      <c r="A3036" s="3">
        <v>12</v>
      </c>
      <c r="B3036" s="3">
        <v>4</v>
      </c>
      <c r="C3036" s="3">
        <v>46</v>
      </c>
      <c r="D3036" s="3">
        <v>42</v>
      </c>
      <c r="E3036" s="3">
        <v>3944.78</v>
      </c>
      <c r="F3036" s="4" t="str">
        <f>HYPERLINK("http://141.218.60.56/~jnz1568/getInfo.php?workbook=12_04.xlsx&amp;sheet=A0&amp;row=3036&amp;col=6&amp;number=0.362&amp;sourceID=14","0.362")</f>
        <v>0.362</v>
      </c>
      <c r="G3036" s="4" t="str">
        <f>HYPERLINK("http://141.218.60.56/~jnz1568/getInfo.php?workbook=12_04.xlsx&amp;sheet=A0&amp;row=3036&amp;col=7&amp;number=0&amp;sourceID=14","0")</f>
        <v>0</v>
      </c>
    </row>
    <row r="3037" spans="1:7">
      <c r="A3037" s="3">
        <v>12</v>
      </c>
      <c r="B3037" s="3">
        <v>4</v>
      </c>
      <c r="C3037" s="3">
        <v>47</v>
      </c>
      <c r="D3037" s="3">
        <v>42</v>
      </c>
      <c r="E3037" s="3">
        <v>-446.842</v>
      </c>
      <c r="F3037" s="4" t="str">
        <f>HYPERLINK("http://141.218.60.56/~jnz1568/getInfo.php?workbook=12_04.xlsx&amp;sheet=A0&amp;row=3037&amp;col=6&amp;number=31200000&amp;sourceID=14","31200000")</f>
        <v>31200000</v>
      </c>
      <c r="G3037" s="4" t="str">
        <f>HYPERLINK("http://141.218.60.56/~jnz1568/getInfo.php?workbook=12_04.xlsx&amp;sheet=A0&amp;row=3037&amp;col=7&amp;number=0&amp;sourceID=14","0")</f>
        <v>0</v>
      </c>
    </row>
    <row r="3038" spans="1:7">
      <c r="A3038" s="3">
        <v>12</v>
      </c>
      <c r="B3038" s="3">
        <v>4</v>
      </c>
      <c r="C3038" s="3">
        <v>48</v>
      </c>
      <c r="D3038" s="3">
        <v>42</v>
      </c>
      <c r="E3038" s="3">
        <v>-427.602</v>
      </c>
      <c r="F3038" s="4" t="str">
        <f>HYPERLINK("http://141.218.60.56/~jnz1568/getInfo.php?workbook=12_04.xlsx&amp;sheet=A0&amp;row=3038&amp;col=6&amp;number=9740&amp;sourceID=14","9740")</f>
        <v>9740</v>
      </c>
      <c r="G3038" s="4" t="str">
        <f>HYPERLINK("http://141.218.60.56/~jnz1568/getInfo.php?workbook=12_04.xlsx&amp;sheet=A0&amp;row=3038&amp;col=7&amp;number=0&amp;sourceID=14","0")</f>
        <v>0</v>
      </c>
    </row>
    <row r="3039" spans="1:7">
      <c r="A3039" s="3">
        <v>12</v>
      </c>
      <c r="B3039" s="3">
        <v>4</v>
      </c>
      <c r="C3039" s="3">
        <v>49</v>
      </c>
      <c r="D3039" s="3">
        <v>42</v>
      </c>
      <c r="E3039" s="3">
        <v>-402.593</v>
      </c>
      <c r="F3039" s="4" t="str">
        <f>HYPERLINK("http://141.218.60.56/~jnz1568/getInfo.php?workbook=12_04.xlsx&amp;sheet=A0&amp;row=3039&amp;col=6&amp;number=0.00131&amp;sourceID=14","0.00131")</f>
        <v>0.00131</v>
      </c>
      <c r="G3039" s="4" t="str">
        <f>HYPERLINK("http://141.218.60.56/~jnz1568/getInfo.php?workbook=12_04.xlsx&amp;sheet=A0&amp;row=3039&amp;col=7&amp;number=0&amp;sourceID=14","0")</f>
        <v>0</v>
      </c>
    </row>
    <row r="3040" spans="1:7">
      <c r="A3040" s="3">
        <v>12</v>
      </c>
      <c r="B3040" s="3">
        <v>4</v>
      </c>
      <c r="C3040" s="3">
        <v>50</v>
      </c>
      <c r="D3040" s="3">
        <v>42</v>
      </c>
      <c r="E3040" s="3">
        <v>-402.406</v>
      </c>
      <c r="F3040" s="4" t="str">
        <f>HYPERLINK("http://141.218.60.56/~jnz1568/getInfo.php?workbook=12_04.xlsx&amp;sheet=A0&amp;row=3040&amp;col=6&amp;number=697&amp;sourceID=14","697")</f>
        <v>697</v>
      </c>
      <c r="G3040" s="4" t="str">
        <f>HYPERLINK("http://141.218.60.56/~jnz1568/getInfo.php?workbook=12_04.xlsx&amp;sheet=A0&amp;row=3040&amp;col=7&amp;number=0&amp;sourceID=14","0")</f>
        <v>0</v>
      </c>
    </row>
    <row r="3041" spans="1:7">
      <c r="A3041" s="3">
        <v>12</v>
      </c>
      <c r="B3041" s="3">
        <v>4</v>
      </c>
      <c r="C3041" s="3">
        <v>51</v>
      </c>
      <c r="D3041" s="3">
        <v>42</v>
      </c>
      <c r="E3041" s="3">
        <v>-401.982</v>
      </c>
      <c r="F3041" s="4" t="str">
        <f>HYPERLINK("http://141.218.60.56/~jnz1568/getInfo.php?workbook=12_04.xlsx&amp;sheet=A0&amp;row=3041&amp;col=6&amp;number=1370&amp;sourceID=14","1370")</f>
        <v>1370</v>
      </c>
      <c r="G3041" s="4" t="str">
        <f>HYPERLINK("http://141.218.60.56/~jnz1568/getInfo.php?workbook=12_04.xlsx&amp;sheet=A0&amp;row=3041&amp;col=7&amp;number=0&amp;sourceID=14","0")</f>
        <v>0</v>
      </c>
    </row>
    <row r="3042" spans="1:7">
      <c r="A3042" s="3">
        <v>12</v>
      </c>
      <c r="B3042" s="3">
        <v>4</v>
      </c>
      <c r="C3042" s="3">
        <v>52</v>
      </c>
      <c r="D3042" s="3">
        <v>42</v>
      </c>
      <c r="E3042" s="3">
        <v>396.087</v>
      </c>
      <c r="F3042" s="4" t="str">
        <f>HYPERLINK("http://141.218.60.56/~jnz1568/getInfo.php?workbook=12_04.xlsx&amp;sheet=A0&amp;row=3042&amp;col=6&amp;number=7.99&amp;sourceID=14","7.99")</f>
        <v>7.99</v>
      </c>
      <c r="G3042" s="4" t="str">
        <f>HYPERLINK("http://141.218.60.56/~jnz1568/getInfo.php?workbook=12_04.xlsx&amp;sheet=A0&amp;row=3042&amp;col=7&amp;number=0&amp;sourceID=14","0")</f>
        <v>0</v>
      </c>
    </row>
    <row r="3043" spans="1:7">
      <c r="A3043" s="3">
        <v>12</v>
      </c>
      <c r="B3043" s="3">
        <v>4</v>
      </c>
      <c r="C3043" s="3">
        <v>53</v>
      </c>
      <c r="D3043" s="3">
        <v>42</v>
      </c>
      <c r="E3043" s="3">
        <v>379.133</v>
      </c>
      <c r="F3043" s="4" t="str">
        <f>HYPERLINK("http://141.218.60.56/~jnz1568/getInfo.php?workbook=12_04.xlsx&amp;sheet=A0&amp;row=3043&amp;col=6&amp;number=108000000&amp;sourceID=14","108000000")</f>
        <v>108000000</v>
      </c>
      <c r="G3043" s="4" t="str">
        <f>HYPERLINK("http://141.218.60.56/~jnz1568/getInfo.php?workbook=12_04.xlsx&amp;sheet=A0&amp;row=3043&amp;col=7&amp;number=0&amp;sourceID=14","0")</f>
        <v>0</v>
      </c>
    </row>
    <row r="3044" spans="1:7">
      <c r="A3044" s="3">
        <v>12</v>
      </c>
      <c r="B3044" s="3">
        <v>4</v>
      </c>
      <c r="C3044" s="3">
        <v>54</v>
      </c>
      <c r="D3044" s="3">
        <v>42</v>
      </c>
      <c r="E3044" s="3">
        <v>379.133</v>
      </c>
      <c r="F3044" s="4" t="str">
        <f>HYPERLINK("http://141.218.60.56/~jnz1568/getInfo.php?workbook=12_04.xlsx&amp;sheet=A0&amp;row=3044&amp;col=6&amp;number=193000000&amp;sourceID=14","193000000")</f>
        <v>193000000</v>
      </c>
      <c r="G3044" s="4" t="str">
        <f>HYPERLINK("http://141.218.60.56/~jnz1568/getInfo.php?workbook=12_04.xlsx&amp;sheet=A0&amp;row=3044&amp;col=7&amp;number=0&amp;sourceID=14","0")</f>
        <v>0</v>
      </c>
    </row>
    <row r="3045" spans="1:7">
      <c r="A3045" s="3">
        <v>12</v>
      </c>
      <c r="B3045" s="3">
        <v>4</v>
      </c>
      <c r="C3045" s="3">
        <v>55</v>
      </c>
      <c r="D3045" s="3">
        <v>42</v>
      </c>
      <c r="E3045" s="3">
        <v>379.018</v>
      </c>
      <c r="F3045" s="4" t="str">
        <f>HYPERLINK("http://141.218.60.56/~jnz1568/getInfo.php?workbook=12_04.xlsx&amp;sheet=A0&amp;row=3045&amp;col=6&amp;number=0.0337&amp;sourceID=14","0.0337")</f>
        <v>0.0337</v>
      </c>
      <c r="G3045" s="4" t="str">
        <f>HYPERLINK("http://141.218.60.56/~jnz1568/getInfo.php?workbook=12_04.xlsx&amp;sheet=A0&amp;row=3045&amp;col=7&amp;number=0&amp;sourceID=14","0")</f>
        <v>0</v>
      </c>
    </row>
    <row r="3046" spans="1:7">
      <c r="A3046" s="3">
        <v>12</v>
      </c>
      <c r="B3046" s="3">
        <v>4</v>
      </c>
      <c r="C3046" s="3">
        <v>56</v>
      </c>
      <c r="D3046" s="3">
        <v>42</v>
      </c>
      <c r="E3046" s="3">
        <v>368.081</v>
      </c>
      <c r="F3046" s="4" t="str">
        <f>HYPERLINK("http://141.218.60.56/~jnz1568/getInfo.php?workbook=12_04.xlsx&amp;sheet=A0&amp;row=3046&amp;col=6&amp;number=289000&amp;sourceID=14","289000")</f>
        <v>289000</v>
      </c>
      <c r="G3046" s="4" t="str">
        <f>HYPERLINK("http://141.218.60.56/~jnz1568/getInfo.php?workbook=12_04.xlsx&amp;sheet=A0&amp;row=3046&amp;col=7&amp;number=0&amp;sourceID=14","0")</f>
        <v>0</v>
      </c>
    </row>
    <row r="3047" spans="1:7">
      <c r="A3047" s="3">
        <v>12</v>
      </c>
      <c r="B3047" s="3">
        <v>4</v>
      </c>
      <c r="C3047" s="3">
        <v>57</v>
      </c>
      <c r="D3047" s="3">
        <v>42</v>
      </c>
      <c r="E3047" s="3">
        <v>-368.424</v>
      </c>
      <c r="F3047" s="4" t="str">
        <f>HYPERLINK("http://141.218.60.56/~jnz1568/getInfo.php?workbook=12_04.xlsx&amp;sheet=A0&amp;row=3047&amp;col=6&amp;number=3750&amp;sourceID=14","3750")</f>
        <v>3750</v>
      </c>
      <c r="G3047" s="4" t="str">
        <f>HYPERLINK("http://141.218.60.56/~jnz1568/getInfo.php?workbook=12_04.xlsx&amp;sheet=A0&amp;row=3047&amp;col=7&amp;number=0&amp;sourceID=14","0")</f>
        <v>0</v>
      </c>
    </row>
    <row r="3048" spans="1:7">
      <c r="A3048" s="3">
        <v>12</v>
      </c>
      <c r="B3048" s="3">
        <v>4</v>
      </c>
      <c r="C3048" s="3">
        <v>58</v>
      </c>
      <c r="D3048" s="3">
        <v>42</v>
      </c>
      <c r="E3048" s="3">
        <v>-368.385</v>
      </c>
      <c r="F3048" s="4" t="str">
        <f>HYPERLINK("http://141.218.60.56/~jnz1568/getInfo.php?workbook=12_04.xlsx&amp;sheet=A0&amp;row=3048&amp;col=6&amp;number=5460&amp;sourceID=14","5460")</f>
        <v>5460</v>
      </c>
      <c r="G3048" s="4" t="str">
        <f>HYPERLINK("http://141.218.60.56/~jnz1568/getInfo.php?workbook=12_04.xlsx&amp;sheet=A0&amp;row=3048&amp;col=7&amp;number=0&amp;sourceID=14","0")</f>
        <v>0</v>
      </c>
    </row>
    <row r="3049" spans="1:7">
      <c r="A3049" s="3">
        <v>12</v>
      </c>
      <c r="B3049" s="3">
        <v>4</v>
      </c>
      <c r="C3049" s="3">
        <v>59</v>
      </c>
      <c r="D3049" s="3">
        <v>42</v>
      </c>
      <c r="E3049" s="3">
        <v>-368.333</v>
      </c>
      <c r="F3049" s="4" t="str">
        <f>HYPERLINK("http://141.218.60.56/~jnz1568/getInfo.php?workbook=12_04.xlsx&amp;sheet=A0&amp;row=3049&amp;col=6&amp;number=5.61e-07&amp;sourceID=14","5.61e-07")</f>
        <v>5.61e-07</v>
      </c>
      <c r="G3049" s="4" t="str">
        <f>HYPERLINK("http://141.218.60.56/~jnz1568/getInfo.php?workbook=12_04.xlsx&amp;sheet=A0&amp;row=3049&amp;col=7&amp;number=0&amp;sourceID=14","0")</f>
        <v>0</v>
      </c>
    </row>
    <row r="3050" spans="1:7">
      <c r="A3050" s="3">
        <v>12</v>
      </c>
      <c r="B3050" s="3">
        <v>4</v>
      </c>
      <c r="C3050" s="3">
        <v>60</v>
      </c>
      <c r="D3050" s="3">
        <v>42</v>
      </c>
      <c r="E3050" s="3">
        <v>-364.938</v>
      </c>
      <c r="F3050" s="4" t="str">
        <f>HYPERLINK("http://141.218.60.56/~jnz1568/getInfo.php?workbook=12_04.xlsx&amp;sheet=A0&amp;row=3050&amp;col=6&amp;number=7.12&amp;sourceID=14","7.12")</f>
        <v>7.12</v>
      </c>
      <c r="G3050" s="4" t="str">
        <f>HYPERLINK("http://141.218.60.56/~jnz1568/getInfo.php?workbook=12_04.xlsx&amp;sheet=A0&amp;row=3050&amp;col=7&amp;number=0&amp;sourceID=14","0")</f>
        <v>0</v>
      </c>
    </row>
    <row r="3051" spans="1:7">
      <c r="A3051" s="3">
        <v>12</v>
      </c>
      <c r="B3051" s="3">
        <v>4</v>
      </c>
      <c r="C3051" s="3">
        <v>61</v>
      </c>
      <c r="D3051" s="3">
        <v>42</v>
      </c>
      <c r="E3051" s="3">
        <v>-256.589</v>
      </c>
      <c r="F3051" s="4" t="str">
        <f>HYPERLINK("http://141.218.60.56/~jnz1568/getInfo.php?workbook=12_04.xlsx&amp;sheet=A0&amp;row=3051&amp;col=6&amp;number=1.89e-05&amp;sourceID=14","1.89e-05")</f>
        <v>1.89e-05</v>
      </c>
      <c r="G3051" s="4" t="str">
        <f>HYPERLINK("http://141.218.60.56/~jnz1568/getInfo.php?workbook=12_04.xlsx&amp;sheet=A0&amp;row=3051&amp;col=7&amp;number=0&amp;sourceID=14","0")</f>
        <v>0</v>
      </c>
    </row>
    <row r="3052" spans="1:7">
      <c r="A3052" s="3">
        <v>12</v>
      </c>
      <c r="B3052" s="3">
        <v>4</v>
      </c>
      <c r="C3052" s="3">
        <v>62</v>
      </c>
      <c r="D3052" s="3">
        <v>42</v>
      </c>
      <c r="E3052" s="3">
        <v>-255.986</v>
      </c>
      <c r="F3052" s="4" t="str">
        <f>HYPERLINK("http://141.218.60.56/~jnz1568/getInfo.php?workbook=12_04.xlsx&amp;sheet=A0&amp;row=3052&amp;col=6&amp;number=11700&amp;sourceID=14","11700")</f>
        <v>11700</v>
      </c>
      <c r="G3052" s="4" t="str">
        <f>HYPERLINK("http://141.218.60.56/~jnz1568/getInfo.php?workbook=12_04.xlsx&amp;sheet=A0&amp;row=3052&amp;col=7&amp;number=0&amp;sourceID=14","0")</f>
        <v>0</v>
      </c>
    </row>
    <row r="3053" spans="1:7">
      <c r="A3053" s="3">
        <v>12</v>
      </c>
      <c r="B3053" s="3">
        <v>4</v>
      </c>
      <c r="C3053" s="3">
        <v>63</v>
      </c>
      <c r="D3053" s="3">
        <v>42</v>
      </c>
      <c r="E3053" s="3">
        <v>-254.048</v>
      </c>
      <c r="F3053" s="4" t="str">
        <f>HYPERLINK("http://141.218.60.56/~jnz1568/getInfo.php?workbook=12_04.xlsx&amp;sheet=A0&amp;row=3053&amp;col=6&amp;number=48000&amp;sourceID=14","48000")</f>
        <v>48000</v>
      </c>
      <c r="G3053" s="4" t="str">
        <f>HYPERLINK("http://141.218.60.56/~jnz1568/getInfo.php?workbook=12_04.xlsx&amp;sheet=A0&amp;row=3053&amp;col=7&amp;number=0&amp;sourceID=14","0")</f>
        <v>0</v>
      </c>
    </row>
    <row r="3054" spans="1:7">
      <c r="A3054" s="3">
        <v>12</v>
      </c>
      <c r="B3054" s="3">
        <v>4</v>
      </c>
      <c r="C3054" s="3">
        <v>64</v>
      </c>
      <c r="D3054" s="3">
        <v>42</v>
      </c>
      <c r="E3054" s="3">
        <v>-250.084</v>
      </c>
      <c r="F3054" s="4" t="str">
        <f>HYPERLINK("http://141.218.60.56/~jnz1568/getInfo.php?workbook=12_04.xlsx&amp;sheet=A0&amp;row=3054&amp;col=6&amp;number=63.8&amp;sourceID=14","63.8")</f>
        <v>63.8</v>
      </c>
      <c r="G3054" s="4" t="str">
        <f>HYPERLINK("http://141.218.60.56/~jnz1568/getInfo.php?workbook=12_04.xlsx&amp;sheet=A0&amp;row=3054&amp;col=7&amp;number=0&amp;sourceID=14","0")</f>
        <v>0</v>
      </c>
    </row>
    <row r="3055" spans="1:7">
      <c r="A3055" s="3">
        <v>12</v>
      </c>
      <c r="B3055" s="3">
        <v>4</v>
      </c>
      <c r="C3055" s="3">
        <v>65</v>
      </c>
      <c r="D3055" s="3">
        <v>42</v>
      </c>
      <c r="E3055" s="3">
        <v>-245.464</v>
      </c>
      <c r="F3055" s="4" t="str">
        <f>HYPERLINK("http://141.218.60.56/~jnz1568/getInfo.php?workbook=12_04.xlsx&amp;sheet=A0&amp;row=3055&amp;col=6&amp;number=242000000&amp;sourceID=14","242000000")</f>
        <v>242000000</v>
      </c>
      <c r="G3055" s="4" t="str">
        <f>HYPERLINK("http://141.218.60.56/~jnz1568/getInfo.php?workbook=12_04.xlsx&amp;sheet=A0&amp;row=3055&amp;col=7&amp;number=0&amp;sourceID=14","0")</f>
        <v>0</v>
      </c>
    </row>
    <row r="3056" spans="1:7">
      <c r="A3056" s="3">
        <v>12</v>
      </c>
      <c r="B3056" s="3">
        <v>4</v>
      </c>
      <c r="C3056" s="3">
        <v>66</v>
      </c>
      <c r="D3056" s="3">
        <v>42</v>
      </c>
      <c r="E3056" s="3">
        <v>-243.936</v>
      </c>
      <c r="F3056" s="4" t="str">
        <f>HYPERLINK("http://141.218.60.56/~jnz1568/getInfo.php?workbook=12_04.xlsx&amp;sheet=A0&amp;row=3056&amp;col=6&amp;number=88400000&amp;sourceID=14","88400000")</f>
        <v>88400000</v>
      </c>
      <c r="G3056" s="4" t="str">
        <f>HYPERLINK("http://141.218.60.56/~jnz1568/getInfo.php?workbook=12_04.xlsx&amp;sheet=A0&amp;row=3056&amp;col=7&amp;number=0&amp;sourceID=14","0")</f>
        <v>0</v>
      </c>
    </row>
    <row r="3057" spans="1:7">
      <c r="A3057" s="3">
        <v>12</v>
      </c>
      <c r="B3057" s="3">
        <v>4</v>
      </c>
      <c r="C3057" s="3">
        <v>67</v>
      </c>
      <c r="D3057" s="3">
        <v>42</v>
      </c>
      <c r="E3057" s="3">
        <v>-243.667</v>
      </c>
      <c r="F3057" s="4" t="str">
        <f>HYPERLINK("http://141.218.60.56/~jnz1568/getInfo.php?workbook=12_04.xlsx&amp;sheet=A0&amp;row=3057&amp;col=6&amp;number=726000000&amp;sourceID=14","726000000")</f>
        <v>726000000</v>
      </c>
      <c r="G3057" s="4" t="str">
        <f>HYPERLINK("http://141.218.60.56/~jnz1568/getInfo.php?workbook=12_04.xlsx&amp;sheet=A0&amp;row=3057&amp;col=7&amp;number=0&amp;sourceID=14","0")</f>
        <v>0</v>
      </c>
    </row>
    <row r="3058" spans="1:7">
      <c r="A3058" s="3">
        <v>12</v>
      </c>
      <c r="B3058" s="3">
        <v>4</v>
      </c>
      <c r="C3058" s="3">
        <v>68</v>
      </c>
      <c r="D3058" s="3">
        <v>42</v>
      </c>
      <c r="E3058" s="3">
        <v>241.827</v>
      </c>
      <c r="F3058" s="4" t="str">
        <f>HYPERLINK("http://141.218.60.56/~jnz1568/getInfo.php?workbook=12_04.xlsx&amp;sheet=A0&amp;row=3058&amp;col=6&amp;number=3.29&amp;sourceID=14","3.29")</f>
        <v>3.29</v>
      </c>
      <c r="G3058" s="4" t="str">
        <f>HYPERLINK("http://141.218.60.56/~jnz1568/getInfo.php?workbook=12_04.xlsx&amp;sheet=A0&amp;row=3058&amp;col=7&amp;number=0&amp;sourceID=14","0")</f>
        <v>0</v>
      </c>
    </row>
    <row r="3059" spans="1:7">
      <c r="A3059" s="3">
        <v>12</v>
      </c>
      <c r="B3059" s="3">
        <v>4</v>
      </c>
      <c r="C3059" s="3">
        <v>69</v>
      </c>
      <c r="D3059" s="3">
        <v>42</v>
      </c>
      <c r="E3059" s="3">
        <v>-240.54</v>
      </c>
      <c r="F3059" s="4" t="str">
        <f>HYPERLINK("http://141.218.60.56/~jnz1568/getInfo.php?workbook=12_04.xlsx&amp;sheet=A0&amp;row=3059&amp;col=6&amp;number=1140000000&amp;sourceID=14","1140000000")</f>
        <v>1140000000</v>
      </c>
      <c r="G3059" s="4" t="str">
        <f>HYPERLINK("http://141.218.60.56/~jnz1568/getInfo.php?workbook=12_04.xlsx&amp;sheet=A0&amp;row=3059&amp;col=7&amp;number=0&amp;sourceID=14","0")</f>
        <v>0</v>
      </c>
    </row>
    <row r="3060" spans="1:7">
      <c r="A3060" s="3">
        <v>12</v>
      </c>
      <c r="B3060" s="3">
        <v>4</v>
      </c>
      <c r="C3060" s="3">
        <v>70</v>
      </c>
      <c r="D3060" s="3">
        <v>42</v>
      </c>
      <c r="E3060" s="3">
        <v>-240.175</v>
      </c>
      <c r="F3060" s="4" t="str">
        <f>HYPERLINK("http://141.218.60.56/~jnz1568/getInfo.php?workbook=12_04.xlsx&amp;sheet=A0&amp;row=3060&amp;col=6&amp;number=75700000&amp;sourceID=14","75700000")</f>
        <v>75700000</v>
      </c>
      <c r="G3060" s="4" t="str">
        <f>HYPERLINK("http://141.218.60.56/~jnz1568/getInfo.php?workbook=12_04.xlsx&amp;sheet=A0&amp;row=3060&amp;col=7&amp;number=0&amp;sourceID=14","0")</f>
        <v>0</v>
      </c>
    </row>
    <row r="3061" spans="1:7">
      <c r="A3061" s="3">
        <v>12</v>
      </c>
      <c r="B3061" s="3">
        <v>4</v>
      </c>
      <c r="C3061" s="3">
        <v>71</v>
      </c>
      <c r="D3061" s="3">
        <v>42</v>
      </c>
      <c r="E3061" s="3">
        <v>-239.066</v>
      </c>
      <c r="F3061" s="4" t="str">
        <f>HYPERLINK("http://141.218.60.56/~jnz1568/getInfo.php?workbook=12_04.xlsx&amp;sheet=A0&amp;row=3061&amp;col=6&amp;number=1150000000&amp;sourceID=14","1150000000")</f>
        <v>1150000000</v>
      </c>
      <c r="G3061" s="4" t="str">
        <f>HYPERLINK("http://141.218.60.56/~jnz1568/getInfo.php?workbook=12_04.xlsx&amp;sheet=A0&amp;row=3061&amp;col=7&amp;number=0&amp;sourceID=14","0")</f>
        <v>0</v>
      </c>
    </row>
    <row r="3062" spans="1:7">
      <c r="A3062" s="3">
        <v>12</v>
      </c>
      <c r="B3062" s="3">
        <v>4</v>
      </c>
      <c r="C3062" s="3">
        <v>72</v>
      </c>
      <c r="D3062" s="3">
        <v>42</v>
      </c>
      <c r="E3062" s="3">
        <v>238.584</v>
      </c>
      <c r="F3062" s="4" t="str">
        <f>HYPERLINK("http://141.218.60.56/~jnz1568/getInfo.php?workbook=12_04.xlsx&amp;sheet=A0&amp;row=3062&amp;col=6&amp;number=161000000&amp;sourceID=14","161000000")</f>
        <v>161000000</v>
      </c>
      <c r="G3062" s="4" t="str">
        <f>HYPERLINK("http://141.218.60.56/~jnz1568/getInfo.php?workbook=12_04.xlsx&amp;sheet=A0&amp;row=3062&amp;col=7&amp;number=0&amp;sourceID=14","0")</f>
        <v>0</v>
      </c>
    </row>
    <row r="3063" spans="1:7">
      <c r="A3063" s="3">
        <v>12</v>
      </c>
      <c r="B3063" s="3">
        <v>4</v>
      </c>
      <c r="C3063" s="3">
        <v>73</v>
      </c>
      <c r="D3063" s="3">
        <v>42</v>
      </c>
      <c r="E3063" s="3">
        <v>-237.081</v>
      </c>
      <c r="F3063" s="4" t="str">
        <f>HYPERLINK("http://141.218.60.56/~jnz1568/getInfo.php?workbook=12_04.xlsx&amp;sheet=A0&amp;row=3063&amp;col=6&amp;number=26900&amp;sourceID=14","26900")</f>
        <v>26900</v>
      </c>
      <c r="G3063" s="4" t="str">
        <f>HYPERLINK("http://141.218.60.56/~jnz1568/getInfo.php?workbook=12_04.xlsx&amp;sheet=A0&amp;row=3063&amp;col=7&amp;number=0&amp;sourceID=14","0")</f>
        <v>0</v>
      </c>
    </row>
    <row r="3064" spans="1:7">
      <c r="A3064" s="3">
        <v>12</v>
      </c>
      <c r="B3064" s="3">
        <v>4</v>
      </c>
      <c r="C3064" s="3">
        <v>74</v>
      </c>
      <c r="D3064" s="3">
        <v>42</v>
      </c>
      <c r="E3064" s="3">
        <v>-236.012</v>
      </c>
      <c r="F3064" s="4" t="str">
        <f>HYPERLINK("http://141.218.60.56/~jnz1568/getInfo.php?workbook=12_04.xlsx&amp;sheet=A0&amp;row=3064&amp;col=6&amp;number=45300&amp;sourceID=14","45300")</f>
        <v>45300</v>
      </c>
      <c r="G3064" s="4" t="str">
        <f>HYPERLINK("http://141.218.60.56/~jnz1568/getInfo.php?workbook=12_04.xlsx&amp;sheet=A0&amp;row=3064&amp;col=7&amp;number=0&amp;sourceID=14","0")</f>
        <v>0</v>
      </c>
    </row>
    <row r="3065" spans="1:7">
      <c r="A3065" s="3">
        <v>12</v>
      </c>
      <c r="B3065" s="3">
        <v>4</v>
      </c>
      <c r="C3065" s="3">
        <v>75</v>
      </c>
      <c r="D3065" s="3">
        <v>42</v>
      </c>
      <c r="E3065" s="3">
        <v>235.295</v>
      </c>
      <c r="F3065" s="4" t="str">
        <f>HYPERLINK("http://141.218.60.56/~jnz1568/getInfo.php?workbook=12_04.xlsx&amp;sheet=A0&amp;row=3065&amp;col=6&amp;number=501&amp;sourceID=14","501")</f>
        <v>501</v>
      </c>
      <c r="G3065" s="4" t="str">
        <f>HYPERLINK("http://141.218.60.56/~jnz1568/getInfo.php?workbook=12_04.xlsx&amp;sheet=A0&amp;row=3065&amp;col=7&amp;number=0&amp;sourceID=14","0")</f>
        <v>0</v>
      </c>
    </row>
    <row r="3066" spans="1:7">
      <c r="A3066" s="3">
        <v>12</v>
      </c>
      <c r="B3066" s="3">
        <v>4</v>
      </c>
      <c r="C3066" s="3">
        <v>76</v>
      </c>
      <c r="D3066" s="3">
        <v>42</v>
      </c>
      <c r="E3066" s="3">
        <v>235.367</v>
      </c>
      <c r="F3066" s="4" t="str">
        <f>HYPERLINK("http://141.218.60.56/~jnz1568/getInfo.php?workbook=12_04.xlsx&amp;sheet=A0&amp;row=3066&amp;col=6&amp;number=35900000&amp;sourceID=14","35900000")</f>
        <v>35900000</v>
      </c>
      <c r="G3066" s="4" t="str">
        <f>HYPERLINK("http://141.218.60.56/~jnz1568/getInfo.php?workbook=12_04.xlsx&amp;sheet=A0&amp;row=3066&amp;col=7&amp;number=0&amp;sourceID=14","0")</f>
        <v>0</v>
      </c>
    </row>
    <row r="3067" spans="1:7">
      <c r="A3067" s="3">
        <v>12</v>
      </c>
      <c r="B3067" s="3">
        <v>4</v>
      </c>
      <c r="C3067" s="3">
        <v>77</v>
      </c>
      <c r="D3067" s="3">
        <v>42</v>
      </c>
      <c r="E3067" s="3">
        <v>-234.807</v>
      </c>
      <c r="F3067" s="4" t="str">
        <f>HYPERLINK("http://141.218.60.56/~jnz1568/getInfo.php?workbook=12_04.xlsx&amp;sheet=A0&amp;row=3067&amp;col=6&amp;number=8.2e-05&amp;sourceID=14","8.2e-05")</f>
        <v>8.2e-05</v>
      </c>
      <c r="G3067" s="4" t="str">
        <f>HYPERLINK("http://141.218.60.56/~jnz1568/getInfo.php?workbook=12_04.xlsx&amp;sheet=A0&amp;row=3067&amp;col=7&amp;number=0&amp;sourceID=14","0")</f>
        <v>0</v>
      </c>
    </row>
    <row r="3068" spans="1:7">
      <c r="A3068" s="3">
        <v>12</v>
      </c>
      <c r="B3068" s="3">
        <v>4</v>
      </c>
      <c r="C3068" s="3">
        <v>78</v>
      </c>
      <c r="D3068" s="3">
        <v>42</v>
      </c>
      <c r="E3068" s="3">
        <v>-233.162</v>
      </c>
      <c r="F3068" s="4" t="str">
        <f>HYPERLINK("http://141.218.60.56/~jnz1568/getInfo.php?workbook=12_04.xlsx&amp;sheet=A0&amp;row=3068&amp;col=6&amp;number=13500&amp;sourceID=14","13500")</f>
        <v>13500</v>
      </c>
      <c r="G3068" s="4" t="str">
        <f>HYPERLINK("http://141.218.60.56/~jnz1568/getInfo.php?workbook=12_04.xlsx&amp;sheet=A0&amp;row=3068&amp;col=7&amp;number=0&amp;sourceID=14","0")</f>
        <v>0</v>
      </c>
    </row>
    <row r="3069" spans="1:7">
      <c r="A3069" s="3">
        <v>12</v>
      </c>
      <c r="B3069" s="3">
        <v>4</v>
      </c>
      <c r="C3069" s="3">
        <v>79</v>
      </c>
      <c r="D3069" s="3">
        <v>42</v>
      </c>
      <c r="E3069" s="3">
        <v>-232.826</v>
      </c>
      <c r="F3069" s="4" t="str">
        <f>HYPERLINK("http://141.218.60.56/~jnz1568/getInfo.php?workbook=12_04.xlsx&amp;sheet=A0&amp;row=3069&amp;col=6&amp;number=8830&amp;sourceID=14","8830")</f>
        <v>8830</v>
      </c>
      <c r="G3069" s="4" t="str">
        <f>HYPERLINK("http://141.218.60.56/~jnz1568/getInfo.php?workbook=12_04.xlsx&amp;sheet=A0&amp;row=3069&amp;col=7&amp;number=0&amp;sourceID=14","0")</f>
        <v>0</v>
      </c>
    </row>
    <row r="3070" spans="1:7">
      <c r="A3070" s="3">
        <v>12</v>
      </c>
      <c r="B3070" s="3">
        <v>4</v>
      </c>
      <c r="C3070" s="3">
        <v>80</v>
      </c>
      <c r="D3070" s="3">
        <v>42</v>
      </c>
      <c r="E3070" s="3">
        <v>-232.155</v>
      </c>
      <c r="F3070" s="4" t="str">
        <f>HYPERLINK("http://141.218.60.56/~jnz1568/getInfo.php?workbook=12_04.xlsx&amp;sheet=A0&amp;row=3070&amp;col=6&amp;number=0.557&amp;sourceID=14","0.557")</f>
        <v>0.557</v>
      </c>
      <c r="G3070" s="4" t="str">
        <f>HYPERLINK("http://141.218.60.56/~jnz1568/getInfo.php?workbook=12_04.xlsx&amp;sheet=A0&amp;row=3070&amp;col=7&amp;number=0&amp;sourceID=14","0")</f>
        <v>0</v>
      </c>
    </row>
    <row r="3071" spans="1:7">
      <c r="A3071" s="3">
        <v>12</v>
      </c>
      <c r="B3071" s="3">
        <v>4</v>
      </c>
      <c r="C3071" s="3">
        <v>81</v>
      </c>
      <c r="D3071" s="3">
        <v>42</v>
      </c>
      <c r="E3071" s="3">
        <v>231.46</v>
      </c>
      <c r="F3071" s="4" t="str">
        <f>HYPERLINK("http://141.218.60.56/~jnz1568/getInfo.php?workbook=12_04.xlsx&amp;sheet=A0&amp;row=3071&amp;col=6&amp;number=50200&amp;sourceID=14","50200")</f>
        <v>50200</v>
      </c>
      <c r="G3071" s="4" t="str">
        <f>HYPERLINK("http://141.218.60.56/~jnz1568/getInfo.php?workbook=12_04.xlsx&amp;sheet=A0&amp;row=3071&amp;col=7&amp;number=0&amp;sourceID=14","0")</f>
        <v>0</v>
      </c>
    </row>
    <row r="3072" spans="1:7">
      <c r="A3072" s="3">
        <v>12</v>
      </c>
      <c r="B3072" s="3">
        <v>4</v>
      </c>
      <c r="C3072" s="3">
        <v>82</v>
      </c>
      <c r="D3072" s="3">
        <v>42</v>
      </c>
      <c r="E3072" s="3">
        <v>-231.96</v>
      </c>
      <c r="F3072" s="4" t="str">
        <f>HYPERLINK("http://141.218.60.56/~jnz1568/getInfo.php?workbook=12_04.xlsx&amp;sheet=A0&amp;row=3072&amp;col=6&amp;number=211000000&amp;sourceID=14","211000000")</f>
        <v>211000000</v>
      </c>
      <c r="G3072" s="4" t="str">
        <f>HYPERLINK("http://141.218.60.56/~jnz1568/getInfo.php?workbook=12_04.xlsx&amp;sheet=A0&amp;row=3072&amp;col=7&amp;number=0&amp;sourceID=14","0")</f>
        <v>0</v>
      </c>
    </row>
    <row r="3073" spans="1:7">
      <c r="A3073" s="3">
        <v>12</v>
      </c>
      <c r="B3073" s="3">
        <v>4</v>
      </c>
      <c r="C3073" s="3">
        <v>83</v>
      </c>
      <c r="D3073" s="3">
        <v>42</v>
      </c>
      <c r="E3073" s="3">
        <v>-231.958</v>
      </c>
      <c r="F3073" s="4" t="str">
        <f>HYPERLINK("http://141.218.60.56/~jnz1568/getInfo.php?workbook=12_04.xlsx&amp;sheet=A0&amp;row=3073&amp;col=6&amp;number=13.2&amp;sourceID=14","13.2")</f>
        <v>13.2</v>
      </c>
      <c r="G3073" s="4" t="str">
        <f>HYPERLINK("http://141.218.60.56/~jnz1568/getInfo.php?workbook=12_04.xlsx&amp;sheet=A0&amp;row=3073&amp;col=7&amp;number=0&amp;sourceID=14","0")</f>
        <v>0</v>
      </c>
    </row>
    <row r="3074" spans="1:7">
      <c r="A3074" s="3">
        <v>12</v>
      </c>
      <c r="B3074" s="3">
        <v>4</v>
      </c>
      <c r="C3074" s="3">
        <v>84</v>
      </c>
      <c r="D3074" s="3">
        <v>42</v>
      </c>
      <c r="E3074" s="3">
        <v>-231.783</v>
      </c>
      <c r="F3074" s="4" t="str">
        <f>HYPERLINK("http://141.218.60.56/~jnz1568/getInfo.php?workbook=12_04.xlsx&amp;sheet=A0&amp;row=3074&amp;col=6&amp;number=0.215&amp;sourceID=14","0.215")</f>
        <v>0.215</v>
      </c>
      <c r="G3074" s="4" t="str">
        <f>HYPERLINK("http://141.218.60.56/~jnz1568/getInfo.php?workbook=12_04.xlsx&amp;sheet=A0&amp;row=3074&amp;col=7&amp;number=0&amp;sourceID=14","0")</f>
        <v>0</v>
      </c>
    </row>
    <row r="3075" spans="1:7">
      <c r="A3075" s="3">
        <v>12</v>
      </c>
      <c r="B3075" s="3">
        <v>4</v>
      </c>
      <c r="C3075" s="3">
        <v>85</v>
      </c>
      <c r="D3075" s="3">
        <v>42</v>
      </c>
      <c r="E3075" s="3">
        <v>230.819</v>
      </c>
      <c r="F3075" s="4" t="str">
        <f>HYPERLINK("http://141.218.60.56/~jnz1568/getInfo.php?workbook=12_04.xlsx&amp;sheet=A0&amp;row=3075&amp;col=6&amp;number=170000&amp;sourceID=14","170000")</f>
        <v>170000</v>
      </c>
      <c r="G3075" s="4" t="str">
        <f>HYPERLINK("http://141.218.60.56/~jnz1568/getInfo.php?workbook=12_04.xlsx&amp;sheet=A0&amp;row=3075&amp;col=7&amp;number=0&amp;sourceID=14","0")</f>
        <v>0</v>
      </c>
    </row>
    <row r="3076" spans="1:7">
      <c r="A3076" s="3">
        <v>12</v>
      </c>
      <c r="B3076" s="3">
        <v>4</v>
      </c>
      <c r="C3076" s="3">
        <v>86</v>
      </c>
      <c r="D3076" s="3">
        <v>42</v>
      </c>
      <c r="E3076" s="3">
        <v>230.543</v>
      </c>
      <c r="F3076" s="4" t="str">
        <f>HYPERLINK("http://141.218.60.56/~jnz1568/getInfo.php?workbook=12_04.xlsx&amp;sheet=A0&amp;row=3076&amp;col=6&amp;number=172000&amp;sourceID=14","172000")</f>
        <v>172000</v>
      </c>
      <c r="G3076" s="4" t="str">
        <f>HYPERLINK("http://141.218.60.56/~jnz1568/getInfo.php?workbook=12_04.xlsx&amp;sheet=A0&amp;row=3076&amp;col=7&amp;number=0&amp;sourceID=14","0")</f>
        <v>0</v>
      </c>
    </row>
    <row r="3077" spans="1:7">
      <c r="A3077" s="3">
        <v>12</v>
      </c>
      <c r="B3077" s="3">
        <v>4</v>
      </c>
      <c r="C3077" s="3">
        <v>87</v>
      </c>
      <c r="D3077" s="3">
        <v>42</v>
      </c>
      <c r="E3077" s="3">
        <v>-230.485</v>
      </c>
      <c r="F3077" s="4" t="str">
        <f>HYPERLINK("http://141.218.60.56/~jnz1568/getInfo.php?workbook=12_04.xlsx&amp;sheet=A0&amp;row=3077&amp;col=6&amp;number=0.0108&amp;sourceID=14","0.0108")</f>
        <v>0.0108</v>
      </c>
      <c r="G3077" s="4" t="str">
        <f>HYPERLINK("http://141.218.60.56/~jnz1568/getInfo.php?workbook=12_04.xlsx&amp;sheet=A0&amp;row=3077&amp;col=7&amp;number=0&amp;sourceID=14","0")</f>
        <v>0</v>
      </c>
    </row>
    <row r="3078" spans="1:7">
      <c r="A3078" s="3">
        <v>12</v>
      </c>
      <c r="B3078" s="3">
        <v>4</v>
      </c>
      <c r="C3078" s="3">
        <v>88</v>
      </c>
      <c r="D3078" s="3">
        <v>42</v>
      </c>
      <c r="E3078" s="3">
        <v>-230.07</v>
      </c>
      <c r="F3078" s="4" t="str">
        <f>HYPERLINK("http://141.218.60.56/~jnz1568/getInfo.php?workbook=12_04.xlsx&amp;sheet=A0&amp;row=3078&amp;col=6&amp;number=6.86&amp;sourceID=14","6.86")</f>
        <v>6.86</v>
      </c>
      <c r="G3078" s="4" t="str">
        <f>HYPERLINK("http://141.218.60.56/~jnz1568/getInfo.php?workbook=12_04.xlsx&amp;sheet=A0&amp;row=3078&amp;col=7&amp;number=0&amp;sourceID=14","0")</f>
        <v>0</v>
      </c>
    </row>
    <row r="3079" spans="1:7">
      <c r="A3079" s="3">
        <v>12</v>
      </c>
      <c r="B3079" s="3">
        <v>4</v>
      </c>
      <c r="C3079" s="3">
        <v>89</v>
      </c>
      <c r="D3079" s="3">
        <v>42</v>
      </c>
      <c r="E3079" s="3">
        <v>-229.825</v>
      </c>
      <c r="F3079" s="4" t="str">
        <f>HYPERLINK("http://141.218.60.56/~jnz1568/getInfo.php?workbook=12_04.xlsx&amp;sheet=A0&amp;row=3079&amp;col=6&amp;number=3.55&amp;sourceID=14","3.55")</f>
        <v>3.55</v>
      </c>
      <c r="G3079" s="4" t="str">
        <f>HYPERLINK("http://141.218.60.56/~jnz1568/getInfo.php?workbook=12_04.xlsx&amp;sheet=A0&amp;row=3079&amp;col=7&amp;number=0&amp;sourceID=14","0")</f>
        <v>0</v>
      </c>
    </row>
    <row r="3080" spans="1:7">
      <c r="A3080" s="3">
        <v>12</v>
      </c>
      <c r="B3080" s="3">
        <v>4</v>
      </c>
      <c r="C3080" s="3">
        <v>90</v>
      </c>
      <c r="D3080" s="3">
        <v>42</v>
      </c>
      <c r="E3080" s="3">
        <v>-229.101</v>
      </c>
      <c r="F3080" s="4" t="str">
        <f>HYPERLINK("http://141.218.60.56/~jnz1568/getInfo.php?workbook=12_04.xlsx&amp;sheet=A0&amp;row=3080&amp;col=6&amp;number=6.28e-07&amp;sourceID=14","6.28e-07")</f>
        <v>6.28e-07</v>
      </c>
      <c r="G3080" s="4" t="str">
        <f>HYPERLINK("http://141.218.60.56/~jnz1568/getInfo.php?workbook=12_04.xlsx&amp;sheet=A0&amp;row=3080&amp;col=7&amp;number=0&amp;sourceID=14","0")</f>
        <v>0</v>
      </c>
    </row>
    <row r="3081" spans="1:7">
      <c r="A3081" s="3">
        <v>12</v>
      </c>
      <c r="B3081" s="3">
        <v>4</v>
      </c>
      <c r="C3081" s="3">
        <v>91</v>
      </c>
      <c r="D3081" s="3">
        <v>42</v>
      </c>
      <c r="E3081" s="3">
        <v>-228.463</v>
      </c>
      <c r="F3081" s="4" t="str">
        <f>HYPERLINK("http://141.218.60.56/~jnz1568/getInfo.php?workbook=12_04.xlsx&amp;sheet=A0&amp;row=3081&amp;col=6&amp;number=5.64&amp;sourceID=14","5.64")</f>
        <v>5.64</v>
      </c>
      <c r="G3081" s="4" t="str">
        <f>HYPERLINK("http://141.218.60.56/~jnz1568/getInfo.php?workbook=12_04.xlsx&amp;sheet=A0&amp;row=3081&amp;col=7&amp;number=0&amp;sourceID=14","0")</f>
        <v>0</v>
      </c>
    </row>
    <row r="3082" spans="1:7">
      <c r="A3082" s="3">
        <v>12</v>
      </c>
      <c r="B3082" s="3">
        <v>4</v>
      </c>
      <c r="C3082" s="3">
        <v>92</v>
      </c>
      <c r="D3082" s="3">
        <v>42</v>
      </c>
      <c r="E3082" s="3">
        <v>-228.314</v>
      </c>
      <c r="F3082" s="4" t="str">
        <f>HYPERLINK("http://141.218.60.56/~jnz1568/getInfo.php?workbook=12_04.xlsx&amp;sheet=A0&amp;row=3082&amp;col=6&amp;number=0.227&amp;sourceID=14","0.227")</f>
        <v>0.227</v>
      </c>
      <c r="G3082" s="4" t="str">
        <f>HYPERLINK("http://141.218.60.56/~jnz1568/getInfo.php?workbook=12_04.xlsx&amp;sheet=A0&amp;row=3082&amp;col=7&amp;number=0&amp;sourceID=14","0")</f>
        <v>0</v>
      </c>
    </row>
    <row r="3083" spans="1:7">
      <c r="A3083" s="3">
        <v>12</v>
      </c>
      <c r="B3083" s="3">
        <v>4</v>
      </c>
      <c r="C3083" s="3">
        <v>93</v>
      </c>
      <c r="D3083" s="3">
        <v>42</v>
      </c>
      <c r="E3083" s="3">
        <v>-228.177</v>
      </c>
      <c r="F3083" s="4" t="str">
        <f>HYPERLINK("http://141.218.60.56/~jnz1568/getInfo.php?workbook=12_04.xlsx&amp;sheet=A0&amp;row=3083&amp;col=6&amp;number=47300000000&amp;sourceID=14","47300000000")</f>
        <v>47300000000</v>
      </c>
      <c r="G3083" s="4" t="str">
        <f>HYPERLINK("http://141.218.60.56/~jnz1568/getInfo.php?workbook=12_04.xlsx&amp;sheet=A0&amp;row=3083&amp;col=7&amp;number=0&amp;sourceID=14","0")</f>
        <v>0</v>
      </c>
    </row>
    <row r="3084" spans="1:7">
      <c r="A3084" s="3">
        <v>12</v>
      </c>
      <c r="B3084" s="3">
        <v>4</v>
      </c>
      <c r="C3084" s="3">
        <v>94</v>
      </c>
      <c r="D3084" s="3">
        <v>42</v>
      </c>
      <c r="E3084" s="3">
        <v>-227.674</v>
      </c>
      <c r="F3084" s="4" t="str">
        <f>HYPERLINK("http://141.218.60.56/~jnz1568/getInfo.php?workbook=12_04.xlsx&amp;sheet=A0&amp;row=3084&amp;col=6&amp;number=36400000000&amp;sourceID=14","36400000000")</f>
        <v>36400000000</v>
      </c>
      <c r="G3084" s="4" t="str">
        <f>HYPERLINK("http://141.218.60.56/~jnz1568/getInfo.php?workbook=12_04.xlsx&amp;sheet=A0&amp;row=3084&amp;col=7&amp;number=0&amp;sourceID=14","0")</f>
        <v>0</v>
      </c>
    </row>
    <row r="3085" spans="1:7">
      <c r="A3085" s="3">
        <v>12</v>
      </c>
      <c r="B3085" s="3">
        <v>4</v>
      </c>
      <c r="C3085" s="3">
        <v>95</v>
      </c>
      <c r="D3085" s="3">
        <v>42</v>
      </c>
      <c r="E3085" s="3">
        <v>-227.346</v>
      </c>
      <c r="F3085" s="4" t="str">
        <f>HYPERLINK("http://141.218.60.56/~jnz1568/getInfo.php?workbook=12_04.xlsx&amp;sheet=A0&amp;row=3085&amp;col=6&amp;number=1900000&amp;sourceID=14","1900000")</f>
        <v>1900000</v>
      </c>
      <c r="G3085" s="4" t="str">
        <f>HYPERLINK("http://141.218.60.56/~jnz1568/getInfo.php?workbook=12_04.xlsx&amp;sheet=A0&amp;row=3085&amp;col=7&amp;number=0&amp;sourceID=14","0")</f>
        <v>0</v>
      </c>
    </row>
    <row r="3086" spans="1:7">
      <c r="A3086" s="3">
        <v>12</v>
      </c>
      <c r="B3086" s="3">
        <v>4</v>
      </c>
      <c r="C3086" s="3">
        <v>96</v>
      </c>
      <c r="D3086" s="3">
        <v>42</v>
      </c>
      <c r="E3086" s="3">
        <v>-227.043</v>
      </c>
      <c r="F3086" s="4" t="str">
        <f>HYPERLINK("http://141.218.60.56/~jnz1568/getInfo.php?workbook=12_04.xlsx&amp;sheet=A0&amp;row=3086&amp;col=6&amp;number=7440000000&amp;sourceID=14","7440000000")</f>
        <v>7440000000</v>
      </c>
      <c r="G3086" s="4" t="str">
        <f>HYPERLINK("http://141.218.60.56/~jnz1568/getInfo.php?workbook=12_04.xlsx&amp;sheet=A0&amp;row=3086&amp;col=7&amp;number=0&amp;sourceID=14","0")</f>
        <v>0</v>
      </c>
    </row>
    <row r="3087" spans="1:7">
      <c r="A3087" s="3">
        <v>12</v>
      </c>
      <c r="B3087" s="3">
        <v>4</v>
      </c>
      <c r="C3087" s="3">
        <v>97</v>
      </c>
      <c r="D3087" s="3">
        <v>42</v>
      </c>
      <c r="E3087" s="3">
        <v>227.087</v>
      </c>
      <c r="F3087" s="4" t="str">
        <f>HYPERLINK("http://141.218.60.56/~jnz1568/getInfo.php?workbook=12_04.xlsx&amp;sheet=A0&amp;row=3087&amp;col=6&amp;number=111&amp;sourceID=14","111")</f>
        <v>111</v>
      </c>
      <c r="G3087" s="4" t="str">
        <f>HYPERLINK("http://141.218.60.56/~jnz1568/getInfo.php?workbook=12_04.xlsx&amp;sheet=A0&amp;row=3087&amp;col=7&amp;number=0&amp;sourceID=14","0")</f>
        <v>0</v>
      </c>
    </row>
    <row r="3088" spans="1:7">
      <c r="A3088" s="3">
        <v>12</v>
      </c>
      <c r="B3088" s="3">
        <v>4</v>
      </c>
      <c r="C3088" s="3">
        <v>98</v>
      </c>
      <c r="D3088" s="3">
        <v>42</v>
      </c>
      <c r="E3088" s="3">
        <v>226.194</v>
      </c>
      <c r="F3088" s="4" t="str">
        <f>HYPERLINK("http://141.218.60.56/~jnz1568/getInfo.php?workbook=12_04.xlsx&amp;sheet=A0&amp;row=3088&amp;col=6&amp;number=513&amp;sourceID=14","513")</f>
        <v>513</v>
      </c>
      <c r="G3088" s="4" t="str">
        <f>HYPERLINK("http://141.218.60.56/~jnz1568/getInfo.php?workbook=12_04.xlsx&amp;sheet=A0&amp;row=3088&amp;col=7&amp;number=0&amp;sourceID=14","0")</f>
        <v>0</v>
      </c>
    </row>
    <row r="3089" spans="1:7">
      <c r="A3089" s="3">
        <v>12</v>
      </c>
      <c r="B3089" s="3">
        <v>4</v>
      </c>
      <c r="C3089" s="3">
        <v>46</v>
      </c>
      <c r="D3089" s="3">
        <v>43</v>
      </c>
      <c r="E3089" s="3">
        <v>4027.394</v>
      </c>
      <c r="F3089" s="4" t="str">
        <f>HYPERLINK("http://141.218.60.56/~jnz1568/getInfo.php?workbook=12_04.xlsx&amp;sheet=A0&amp;row=3089&amp;col=6&amp;number=0.339&amp;sourceID=14","0.339")</f>
        <v>0.339</v>
      </c>
      <c r="G3089" s="4" t="str">
        <f>HYPERLINK("http://141.218.60.56/~jnz1568/getInfo.php?workbook=12_04.xlsx&amp;sheet=A0&amp;row=3089&amp;col=7&amp;number=0&amp;sourceID=14","0")</f>
        <v>0</v>
      </c>
    </row>
    <row r="3090" spans="1:7">
      <c r="A3090" s="3">
        <v>12</v>
      </c>
      <c r="B3090" s="3">
        <v>4</v>
      </c>
      <c r="C3090" s="3">
        <v>47</v>
      </c>
      <c r="D3090" s="3">
        <v>43</v>
      </c>
      <c r="E3090" s="3">
        <v>-447.725</v>
      </c>
      <c r="F3090" s="4" t="str">
        <f>HYPERLINK("http://141.218.60.56/~jnz1568/getInfo.php?workbook=12_04.xlsx&amp;sheet=A0&amp;row=3090&amp;col=6&amp;number=10500000&amp;sourceID=14","10500000")</f>
        <v>10500000</v>
      </c>
      <c r="G3090" s="4" t="str">
        <f>HYPERLINK("http://141.218.60.56/~jnz1568/getInfo.php?workbook=12_04.xlsx&amp;sheet=A0&amp;row=3090&amp;col=7&amp;number=0&amp;sourceID=14","0")</f>
        <v>0</v>
      </c>
    </row>
    <row r="3091" spans="1:7">
      <c r="A3091" s="3">
        <v>12</v>
      </c>
      <c r="B3091" s="3">
        <v>4</v>
      </c>
      <c r="C3091" s="3">
        <v>50</v>
      </c>
      <c r="D3091" s="3">
        <v>43</v>
      </c>
      <c r="E3091" s="3">
        <v>-403.121</v>
      </c>
      <c r="F3091" s="4" t="str">
        <f>HYPERLINK("http://141.218.60.56/~jnz1568/getInfo.php?workbook=12_04.xlsx&amp;sheet=A0&amp;row=3091&amp;col=6&amp;number=0.000792&amp;sourceID=14","0.000792")</f>
        <v>0.000792</v>
      </c>
      <c r="G3091" s="4" t="str">
        <f>HYPERLINK("http://141.218.60.56/~jnz1568/getInfo.php?workbook=12_04.xlsx&amp;sheet=A0&amp;row=3091&amp;col=7&amp;number=0&amp;sourceID=14","0")</f>
        <v>0</v>
      </c>
    </row>
    <row r="3092" spans="1:7">
      <c r="A3092" s="3">
        <v>12</v>
      </c>
      <c r="B3092" s="3">
        <v>4</v>
      </c>
      <c r="C3092" s="3">
        <v>51</v>
      </c>
      <c r="D3092" s="3">
        <v>43</v>
      </c>
      <c r="E3092" s="3">
        <v>-402.696</v>
      </c>
      <c r="F3092" s="4" t="str">
        <f>HYPERLINK("http://141.218.60.56/~jnz1568/getInfo.php?workbook=12_04.xlsx&amp;sheet=A0&amp;row=3092&amp;col=6&amp;number=603&amp;sourceID=14","603")</f>
        <v>603</v>
      </c>
      <c r="G3092" s="4" t="str">
        <f>HYPERLINK("http://141.218.60.56/~jnz1568/getInfo.php?workbook=12_04.xlsx&amp;sheet=A0&amp;row=3092&amp;col=7&amp;number=0&amp;sourceID=14","0")</f>
        <v>0</v>
      </c>
    </row>
    <row r="3093" spans="1:7">
      <c r="A3093" s="3">
        <v>12</v>
      </c>
      <c r="B3093" s="3">
        <v>4</v>
      </c>
      <c r="C3093" s="3">
        <v>52</v>
      </c>
      <c r="D3093" s="3">
        <v>43</v>
      </c>
      <c r="E3093" s="3">
        <v>396.905</v>
      </c>
      <c r="F3093" s="4" t="str">
        <f>HYPERLINK("http://141.218.60.56/~jnz1568/getInfo.php?workbook=12_04.xlsx&amp;sheet=A0&amp;row=3093&amp;col=6&amp;number=0.00702&amp;sourceID=14","0.00702")</f>
        <v>0.00702</v>
      </c>
      <c r="G3093" s="4" t="str">
        <f>HYPERLINK("http://141.218.60.56/~jnz1568/getInfo.php?workbook=12_04.xlsx&amp;sheet=A0&amp;row=3093&amp;col=7&amp;number=0&amp;sourceID=14","0")</f>
        <v>0</v>
      </c>
    </row>
    <row r="3094" spans="1:7">
      <c r="A3094" s="3">
        <v>12</v>
      </c>
      <c r="B3094" s="3">
        <v>4</v>
      </c>
      <c r="C3094" s="3">
        <v>53</v>
      </c>
      <c r="D3094" s="3">
        <v>43</v>
      </c>
      <c r="E3094" s="3">
        <v>379.882</v>
      </c>
      <c r="F3094" s="4" t="str">
        <f>HYPERLINK("http://141.218.60.56/~jnz1568/getInfo.php?workbook=12_04.xlsx&amp;sheet=A0&amp;row=3094&amp;col=6&amp;number=144000000&amp;sourceID=14","144000000")</f>
        <v>144000000</v>
      </c>
      <c r="G3094" s="4" t="str">
        <f>HYPERLINK("http://141.218.60.56/~jnz1568/getInfo.php?workbook=12_04.xlsx&amp;sheet=A0&amp;row=3094&amp;col=7&amp;number=0&amp;sourceID=14","0")</f>
        <v>0</v>
      </c>
    </row>
    <row r="3095" spans="1:7">
      <c r="A3095" s="3">
        <v>12</v>
      </c>
      <c r="B3095" s="3">
        <v>4</v>
      </c>
      <c r="C3095" s="3">
        <v>54</v>
      </c>
      <c r="D3095" s="3">
        <v>43</v>
      </c>
      <c r="E3095" s="3">
        <v>379.882</v>
      </c>
      <c r="F3095" s="4" t="str">
        <f>HYPERLINK("http://141.218.60.56/~jnz1568/getInfo.php?workbook=12_04.xlsx&amp;sheet=A0&amp;row=3095&amp;col=6&amp;number=0.00594&amp;sourceID=14","0.00594")</f>
        <v>0.00594</v>
      </c>
      <c r="G3095" s="4" t="str">
        <f>HYPERLINK("http://141.218.60.56/~jnz1568/getInfo.php?workbook=12_04.xlsx&amp;sheet=A0&amp;row=3095&amp;col=7&amp;number=0&amp;sourceID=14","0")</f>
        <v>0</v>
      </c>
    </row>
    <row r="3096" spans="1:7">
      <c r="A3096" s="3">
        <v>12</v>
      </c>
      <c r="B3096" s="3">
        <v>4</v>
      </c>
      <c r="C3096" s="3">
        <v>55</v>
      </c>
      <c r="D3096" s="3">
        <v>43</v>
      </c>
      <c r="E3096" s="3">
        <v>379.767</v>
      </c>
      <c r="F3096" s="4" t="str">
        <f>HYPERLINK("http://141.218.60.56/~jnz1568/getInfo.php?workbook=12_04.xlsx&amp;sheet=A0&amp;row=3096&amp;col=6&amp;number=0.0146&amp;sourceID=14","0.0146")</f>
        <v>0.0146</v>
      </c>
      <c r="G3096" s="4" t="str">
        <f>HYPERLINK("http://141.218.60.56/~jnz1568/getInfo.php?workbook=12_04.xlsx&amp;sheet=A0&amp;row=3096&amp;col=7&amp;number=0&amp;sourceID=14","0")</f>
        <v>0</v>
      </c>
    </row>
    <row r="3097" spans="1:7">
      <c r="A3097" s="3">
        <v>12</v>
      </c>
      <c r="B3097" s="3">
        <v>4</v>
      </c>
      <c r="C3097" s="3">
        <v>56</v>
      </c>
      <c r="D3097" s="3">
        <v>43</v>
      </c>
      <c r="E3097" s="3">
        <v>368.787</v>
      </c>
      <c r="F3097" s="4" t="str">
        <f>HYPERLINK("http://141.218.60.56/~jnz1568/getInfo.php?workbook=12_04.xlsx&amp;sheet=A0&amp;row=3097&amp;col=6&amp;number=0.0381&amp;sourceID=14","0.0381")</f>
        <v>0.0381</v>
      </c>
      <c r="G3097" s="4" t="str">
        <f>HYPERLINK("http://141.218.60.56/~jnz1568/getInfo.php?workbook=12_04.xlsx&amp;sheet=A0&amp;row=3097&amp;col=7&amp;number=0&amp;sourceID=14","0")</f>
        <v>0</v>
      </c>
    </row>
    <row r="3098" spans="1:7">
      <c r="A3098" s="3">
        <v>12</v>
      </c>
      <c r="B3098" s="3">
        <v>4</v>
      </c>
      <c r="C3098" s="3">
        <v>57</v>
      </c>
      <c r="D3098" s="3">
        <v>43</v>
      </c>
      <c r="E3098" s="3">
        <v>-369.023</v>
      </c>
      <c r="F3098" s="4" t="str">
        <f>HYPERLINK("http://141.218.60.56/~jnz1568/getInfo.php?workbook=12_04.xlsx&amp;sheet=A0&amp;row=3098&amp;col=6&amp;number=3860&amp;sourceID=14","3860")</f>
        <v>3860</v>
      </c>
      <c r="G3098" s="4" t="str">
        <f>HYPERLINK("http://141.218.60.56/~jnz1568/getInfo.php?workbook=12_04.xlsx&amp;sheet=A0&amp;row=3098&amp;col=7&amp;number=0&amp;sourceID=14","0")</f>
        <v>0</v>
      </c>
    </row>
    <row r="3099" spans="1:7">
      <c r="A3099" s="3">
        <v>12</v>
      </c>
      <c r="B3099" s="3">
        <v>4</v>
      </c>
      <c r="C3099" s="3">
        <v>58</v>
      </c>
      <c r="D3099" s="3">
        <v>43</v>
      </c>
      <c r="E3099" s="3">
        <v>-368.984</v>
      </c>
      <c r="F3099" s="4" t="str">
        <f>HYPERLINK("http://141.218.60.56/~jnz1568/getInfo.php?workbook=12_04.xlsx&amp;sheet=A0&amp;row=3099&amp;col=6&amp;number=3.77e-07&amp;sourceID=14","3.77e-07")</f>
        <v>3.77e-07</v>
      </c>
      <c r="G3099" s="4" t="str">
        <f>HYPERLINK("http://141.218.60.56/~jnz1568/getInfo.php?workbook=12_04.xlsx&amp;sheet=A0&amp;row=3099&amp;col=7&amp;number=0&amp;sourceID=14","0")</f>
        <v>0</v>
      </c>
    </row>
    <row r="3100" spans="1:7">
      <c r="A3100" s="3">
        <v>12</v>
      </c>
      <c r="B3100" s="3">
        <v>4</v>
      </c>
      <c r="C3100" s="3">
        <v>59</v>
      </c>
      <c r="D3100" s="3">
        <v>43</v>
      </c>
      <c r="E3100" s="3">
        <v>-368.932</v>
      </c>
      <c r="F3100" s="4" t="str">
        <f>HYPERLINK("http://141.218.60.56/~jnz1568/getInfo.php?workbook=12_04.xlsx&amp;sheet=A0&amp;row=3100&amp;col=6&amp;number=1.17e-07&amp;sourceID=14","1.17e-07")</f>
        <v>1.17e-07</v>
      </c>
      <c r="G3100" s="4" t="str">
        <f>HYPERLINK("http://141.218.60.56/~jnz1568/getInfo.php?workbook=12_04.xlsx&amp;sheet=A0&amp;row=3100&amp;col=7&amp;number=0&amp;sourceID=14","0")</f>
        <v>0</v>
      </c>
    </row>
    <row r="3101" spans="1:7">
      <c r="A3101" s="3">
        <v>12</v>
      </c>
      <c r="B3101" s="3">
        <v>4</v>
      </c>
      <c r="C3101" s="3">
        <v>60</v>
      </c>
      <c r="D3101" s="3">
        <v>43</v>
      </c>
      <c r="E3101" s="3">
        <v>-365.526</v>
      </c>
      <c r="F3101" s="4" t="str">
        <f>HYPERLINK("http://141.218.60.56/~jnz1568/getInfo.php?workbook=12_04.xlsx&amp;sheet=A0&amp;row=3101&amp;col=6&amp;number=1.18e-06&amp;sourceID=14","1.18e-06")</f>
        <v>1.18e-06</v>
      </c>
      <c r="G3101" s="4" t="str">
        <f>HYPERLINK("http://141.218.60.56/~jnz1568/getInfo.php?workbook=12_04.xlsx&amp;sheet=A0&amp;row=3101&amp;col=7&amp;number=0&amp;sourceID=14","0")</f>
        <v>0</v>
      </c>
    </row>
    <row r="3102" spans="1:7">
      <c r="A3102" s="3">
        <v>12</v>
      </c>
      <c r="B3102" s="3">
        <v>4</v>
      </c>
      <c r="C3102" s="3">
        <v>62</v>
      </c>
      <c r="D3102" s="3">
        <v>43</v>
      </c>
      <c r="E3102" s="3">
        <v>-256.275</v>
      </c>
      <c r="F3102" s="4" t="str">
        <f>HYPERLINK("http://141.218.60.56/~jnz1568/getInfo.php?workbook=12_04.xlsx&amp;sheet=A0&amp;row=3102&amp;col=6&amp;number=0.00695&amp;sourceID=14","0.00695")</f>
        <v>0.00695</v>
      </c>
      <c r="G3102" s="4" t="str">
        <f>HYPERLINK("http://141.218.60.56/~jnz1568/getInfo.php?workbook=12_04.xlsx&amp;sheet=A0&amp;row=3102&amp;col=7&amp;number=0&amp;sourceID=14","0")</f>
        <v>0</v>
      </c>
    </row>
    <row r="3103" spans="1:7">
      <c r="A3103" s="3">
        <v>12</v>
      </c>
      <c r="B3103" s="3">
        <v>4</v>
      </c>
      <c r="C3103" s="3">
        <v>63</v>
      </c>
      <c r="D3103" s="3">
        <v>43</v>
      </c>
      <c r="E3103" s="3">
        <v>-254.333</v>
      </c>
      <c r="F3103" s="4" t="str">
        <f>HYPERLINK("http://141.218.60.56/~jnz1568/getInfo.php?workbook=12_04.xlsx&amp;sheet=A0&amp;row=3103&amp;col=6&amp;number=18100&amp;sourceID=14","18100")</f>
        <v>18100</v>
      </c>
      <c r="G3103" s="4" t="str">
        <f>HYPERLINK("http://141.218.60.56/~jnz1568/getInfo.php?workbook=12_04.xlsx&amp;sheet=A0&amp;row=3103&amp;col=7&amp;number=0&amp;sourceID=14","0")</f>
        <v>0</v>
      </c>
    </row>
    <row r="3104" spans="1:7">
      <c r="A3104" s="3">
        <v>12</v>
      </c>
      <c r="B3104" s="3">
        <v>4</v>
      </c>
      <c r="C3104" s="3">
        <v>64</v>
      </c>
      <c r="D3104" s="3">
        <v>43</v>
      </c>
      <c r="E3104" s="3">
        <v>-250.36</v>
      </c>
      <c r="F3104" s="4" t="str">
        <f>HYPERLINK("http://141.218.60.56/~jnz1568/getInfo.php?workbook=12_04.xlsx&amp;sheet=A0&amp;row=3104&amp;col=6&amp;number=0.00298&amp;sourceID=14","0.00298")</f>
        <v>0.00298</v>
      </c>
      <c r="G3104" s="4" t="str">
        <f>HYPERLINK("http://141.218.60.56/~jnz1568/getInfo.php?workbook=12_04.xlsx&amp;sheet=A0&amp;row=3104&amp;col=7&amp;number=0&amp;sourceID=14","0")</f>
        <v>0</v>
      </c>
    </row>
    <row r="3105" spans="1:7">
      <c r="A3105" s="3">
        <v>12</v>
      </c>
      <c r="B3105" s="3">
        <v>4</v>
      </c>
      <c r="C3105" s="3">
        <v>65</v>
      </c>
      <c r="D3105" s="3">
        <v>43</v>
      </c>
      <c r="E3105" s="3">
        <v>-245.73</v>
      </c>
      <c r="F3105" s="4" t="str">
        <f>HYPERLINK("http://141.218.60.56/~jnz1568/getInfo.php?workbook=12_04.xlsx&amp;sheet=A0&amp;row=3105&amp;col=6&amp;number=103000000&amp;sourceID=14","103000000")</f>
        <v>103000000</v>
      </c>
      <c r="G3105" s="4" t="str">
        <f>HYPERLINK("http://141.218.60.56/~jnz1568/getInfo.php?workbook=12_04.xlsx&amp;sheet=A0&amp;row=3105&amp;col=7&amp;number=0&amp;sourceID=14","0")</f>
        <v>0</v>
      </c>
    </row>
    <row r="3106" spans="1:7">
      <c r="A3106" s="3">
        <v>12</v>
      </c>
      <c r="B3106" s="3">
        <v>4</v>
      </c>
      <c r="C3106" s="3">
        <v>66</v>
      </c>
      <c r="D3106" s="3">
        <v>43</v>
      </c>
      <c r="E3106" s="3">
        <v>-244.198</v>
      </c>
      <c r="F3106" s="4" t="str">
        <f>HYPERLINK("http://141.218.60.56/~jnz1568/getInfo.php?workbook=12_04.xlsx&amp;sheet=A0&amp;row=3106&amp;col=6&amp;number=456000000&amp;sourceID=14","456000000")</f>
        <v>456000000</v>
      </c>
      <c r="G3106" s="4" t="str">
        <f>HYPERLINK("http://141.218.60.56/~jnz1568/getInfo.php?workbook=12_04.xlsx&amp;sheet=A0&amp;row=3106&amp;col=7&amp;number=0&amp;sourceID=14","0")</f>
        <v>0</v>
      </c>
    </row>
    <row r="3107" spans="1:7">
      <c r="A3107" s="3">
        <v>12</v>
      </c>
      <c r="B3107" s="3">
        <v>4</v>
      </c>
      <c r="C3107" s="3">
        <v>67</v>
      </c>
      <c r="D3107" s="3">
        <v>43</v>
      </c>
      <c r="E3107" s="3">
        <v>-243.93</v>
      </c>
      <c r="F3107" s="4" t="str">
        <f>HYPERLINK("http://141.218.60.56/~jnz1568/getInfo.php?workbook=12_04.xlsx&amp;sheet=A0&amp;row=3107&amp;col=6&amp;number=0.0336&amp;sourceID=14","0.0336")</f>
        <v>0.0336</v>
      </c>
      <c r="G3107" s="4" t="str">
        <f>HYPERLINK("http://141.218.60.56/~jnz1568/getInfo.php?workbook=12_04.xlsx&amp;sheet=A0&amp;row=3107&amp;col=7&amp;number=0&amp;sourceID=14","0")</f>
        <v>0</v>
      </c>
    </row>
    <row r="3108" spans="1:7">
      <c r="A3108" s="3">
        <v>12</v>
      </c>
      <c r="B3108" s="3">
        <v>4</v>
      </c>
      <c r="C3108" s="3">
        <v>68</v>
      </c>
      <c r="D3108" s="3">
        <v>43</v>
      </c>
      <c r="E3108" s="3">
        <v>242.131</v>
      </c>
      <c r="F3108" s="4" t="str">
        <f>HYPERLINK("http://141.218.60.56/~jnz1568/getInfo.php?workbook=12_04.xlsx&amp;sheet=A0&amp;row=3108&amp;col=6&amp;number=1.42&amp;sourceID=14","1.42")</f>
        <v>1.42</v>
      </c>
      <c r="G3108" s="4" t="str">
        <f>HYPERLINK("http://141.218.60.56/~jnz1568/getInfo.php?workbook=12_04.xlsx&amp;sheet=A0&amp;row=3108&amp;col=7&amp;number=0&amp;sourceID=14","0")</f>
        <v>0</v>
      </c>
    </row>
    <row r="3109" spans="1:7">
      <c r="A3109" s="3">
        <v>12</v>
      </c>
      <c r="B3109" s="3">
        <v>4</v>
      </c>
      <c r="C3109" s="3">
        <v>69</v>
      </c>
      <c r="D3109" s="3">
        <v>43</v>
      </c>
      <c r="E3109" s="3">
        <v>-240.796</v>
      </c>
      <c r="F3109" s="4" t="str">
        <f>HYPERLINK("http://141.218.60.56/~jnz1568/getInfo.php?workbook=12_04.xlsx&amp;sheet=A0&amp;row=3109&amp;col=6&amp;number=212000000&amp;sourceID=14","212000000")</f>
        <v>212000000</v>
      </c>
      <c r="G3109" s="4" t="str">
        <f>HYPERLINK("http://141.218.60.56/~jnz1568/getInfo.php?workbook=12_04.xlsx&amp;sheet=A0&amp;row=3109&amp;col=7&amp;number=0&amp;sourceID=14","0")</f>
        <v>0</v>
      </c>
    </row>
    <row r="3110" spans="1:7">
      <c r="A3110" s="3">
        <v>12</v>
      </c>
      <c r="B3110" s="3">
        <v>4</v>
      </c>
      <c r="C3110" s="3">
        <v>71</v>
      </c>
      <c r="D3110" s="3">
        <v>43</v>
      </c>
      <c r="E3110" s="3">
        <v>-239.319</v>
      </c>
      <c r="F3110" s="4" t="str">
        <f>HYPERLINK("http://141.218.60.56/~jnz1568/getInfo.php?workbook=12_04.xlsx&amp;sheet=A0&amp;row=3110&amp;col=6&amp;number=596000000&amp;sourceID=14","596000000")</f>
        <v>596000000</v>
      </c>
      <c r="G3110" s="4" t="str">
        <f>HYPERLINK("http://141.218.60.56/~jnz1568/getInfo.php?workbook=12_04.xlsx&amp;sheet=A0&amp;row=3110&amp;col=7&amp;number=0&amp;sourceID=14","0")</f>
        <v>0</v>
      </c>
    </row>
    <row r="3111" spans="1:7">
      <c r="A3111" s="3">
        <v>12</v>
      </c>
      <c r="B3111" s="3">
        <v>4</v>
      </c>
      <c r="C3111" s="3">
        <v>72</v>
      </c>
      <c r="D3111" s="3">
        <v>43</v>
      </c>
      <c r="E3111" s="3">
        <v>238.881</v>
      </c>
      <c r="F3111" s="4" t="str">
        <f>HYPERLINK("http://141.218.60.56/~jnz1568/getInfo.php?workbook=12_04.xlsx&amp;sheet=A0&amp;row=3111&amp;col=6&amp;number=0.109&amp;sourceID=14","0.109")</f>
        <v>0.109</v>
      </c>
      <c r="G3111" s="4" t="str">
        <f>HYPERLINK("http://141.218.60.56/~jnz1568/getInfo.php?workbook=12_04.xlsx&amp;sheet=A0&amp;row=3111&amp;col=7&amp;number=0&amp;sourceID=14","0")</f>
        <v>0</v>
      </c>
    </row>
    <row r="3112" spans="1:7">
      <c r="A3112" s="3">
        <v>12</v>
      </c>
      <c r="B3112" s="3">
        <v>4</v>
      </c>
      <c r="C3112" s="3">
        <v>73</v>
      </c>
      <c r="D3112" s="3">
        <v>43</v>
      </c>
      <c r="E3112" s="3">
        <v>-237.329</v>
      </c>
      <c r="F3112" s="4" t="str">
        <f>HYPERLINK("http://141.218.60.56/~jnz1568/getInfo.php?workbook=12_04.xlsx&amp;sheet=A0&amp;row=3112&amp;col=6&amp;number=17400&amp;sourceID=14","17400")</f>
        <v>17400</v>
      </c>
      <c r="G3112" s="4" t="str">
        <f>HYPERLINK("http://141.218.60.56/~jnz1568/getInfo.php?workbook=12_04.xlsx&amp;sheet=A0&amp;row=3112&amp;col=7&amp;number=0&amp;sourceID=14","0")</f>
        <v>0</v>
      </c>
    </row>
    <row r="3113" spans="1:7">
      <c r="A3113" s="3">
        <v>12</v>
      </c>
      <c r="B3113" s="3">
        <v>4</v>
      </c>
      <c r="C3113" s="3">
        <v>74</v>
      </c>
      <c r="D3113" s="3">
        <v>43</v>
      </c>
      <c r="E3113" s="3">
        <v>-236.258</v>
      </c>
      <c r="F3113" s="4" t="str">
        <f>HYPERLINK("http://141.218.60.56/~jnz1568/getInfo.php?workbook=12_04.xlsx&amp;sheet=A0&amp;row=3113&amp;col=6&amp;number=1.41e-06&amp;sourceID=14","1.41e-06")</f>
        <v>1.41e-06</v>
      </c>
      <c r="G3113" s="4" t="str">
        <f>HYPERLINK("http://141.218.60.56/~jnz1568/getInfo.php?workbook=12_04.xlsx&amp;sheet=A0&amp;row=3113&amp;col=7&amp;number=0&amp;sourceID=14","0")</f>
        <v>0</v>
      </c>
    </row>
    <row r="3114" spans="1:7">
      <c r="A3114" s="3">
        <v>12</v>
      </c>
      <c r="B3114" s="3">
        <v>4</v>
      </c>
      <c r="C3114" s="3">
        <v>75</v>
      </c>
      <c r="D3114" s="3">
        <v>43</v>
      </c>
      <c r="E3114" s="3">
        <v>235.583</v>
      </c>
      <c r="F3114" s="4" t="str">
        <f>HYPERLINK("http://141.218.60.56/~jnz1568/getInfo.php?workbook=12_04.xlsx&amp;sheet=A0&amp;row=3114&amp;col=6&amp;number=12800&amp;sourceID=14","12800")</f>
        <v>12800</v>
      </c>
      <c r="G3114" s="4" t="str">
        <f>HYPERLINK("http://141.218.60.56/~jnz1568/getInfo.php?workbook=12_04.xlsx&amp;sheet=A0&amp;row=3114&amp;col=7&amp;number=0&amp;sourceID=14","0")</f>
        <v>0</v>
      </c>
    </row>
    <row r="3115" spans="1:7">
      <c r="A3115" s="3">
        <v>12</v>
      </c>
      <c r="B3115" s="3">
        <v>4</v>
      </c>
      <c r="C3115" s="3">
        <v>76</v>
      </c>
      <c r="D3115" s="3">
        <v>43</v>
      </c>
      <c r="E3115" s="3">
        <v>235.655</v>
      </c>
      <c r="F3115" s="4" t="str">
        <f>HYPERLINK("http://141.218.60.56/~jnz1568/getInfo.php?workbook=12_04.xlsx&amp;sheet=A0&amp;row=3115&amp;col=6&amp;number=0.682&amp;sourceID=14","0.682")</f>
        <v>0.682</v>
      </c>
      <c r="G3115" s="4" t="str">
        <f>HYPERLINK("http://141.218.60.56/~jnz1568/getInfo.php?workbook=12_04.xlsx&amp;sheet=A0&amp;row=3115&amp;col=7&amp;number=0&amp;sourceID=14","0")</f>
        <v>0</v>
      </c>
    </row>
    <row r="3116" spans="1:7">
      <c r="A3116" s="3">
        <v>12</v>
      </c>
      <c r="B3116" s="3">
        <v>4</v>
      </c>
      <c r="C3116" s="3">
        <v>77</v>
      </c>
      <c r="D3116" s="3">
        <v>43</v>
      </c>
      <c r="E3116" s="3">
        <v>-235.05</v>
      </c>
      <c r="F3116" s="4" t="str">
        <f>HYPERLINK("http://141.218.60.56/~jnz1568/getInfo.php?workbook=12_04.xlsx&amp;sheet=A0&amp;row=3116&amp;col=6&amp;number=3.7e-05&amp;sourceID=14","3.7e-05")</f>
        <v>3.7e-05</v>
      </c>
      <c r="G3116" s="4" t="str">
        <f>HYPERLINK("http://141.218.60.56/~jnz1568/getInfo.php?workbook=12_04.xlsx&amp;sheet=A0&amp;row=3116&amp;col=7&amp;number=0&amp;sourceID=14","0")</f>
        <v>0</v>
      </c>
    </row>
    <row r="3117" spans="1:7">
      <c r="A3117" s="3">
        <v>12</v>
      </c>
      <c r="B3117" s="3">
        <v>4</v>
      </c>
      <c r="C3117" s="3">
        <v>78</v>
      </c>
      <c r="D3117" s="3">
        <v>43</v>
      </c>
      <c r="E3117" s="3">
        <v>-233.402</v>
      </c>
      <c r="F3117" s="4" t="str">
        <f>HYPERLINK("http://141.218.60.56/~jnz1568/getInfo.php?workbook=12_04.xlsx&amp;sheet=A0&amp;row=3117&amp;col=6&amp;number=0.000846&amp;sourceID=14","0.000846")</f>
        <v>0.000846</v>
      </c>
      <c r="G3117" s="4" t="str">
        <f>HYPERLINK("http://141.218.60.56/~jnz1568/getInfo.php?workbook=12_04.xlsx&amp;sheet=A0&amp;row=3117&amp;col=7&amp;number=0&amp;sourceID=14","0")</f>
        <v>0</v>
      </c>
    </row>
    <row r="3118" spans="1:7">
      <c r="A3118" s="3">
        <v>12</v>
      </c>
      <c r="B3118" s="3">
        <v>4</v>
      </c>
      <c r="C3118" s="3">
        <v>79</v>
      </c>
      <c r="D3118" s="3">
        <v>43</v>
      </c>
      <c r="E3118" s="3">
        <v>-233.065</v>
      </c>
      <c r="F3118" s="4" t="str">
        <f>HYPERLINK("http://141.218.60.56/~jnz1568/getInfo.php?workbook=12_04.xlsx&amp;sheet=A0&amp;row=3118&amp;col=6&amp;number=4060&amp;sourceID=14","4060")</f>
        <v>4060</v>
      </c>
      <c r="G3118" s="4" t="str">
        <f>HYPERLINK("http://141.218.60.56/~jnz1568/getInfo.php?workbook=12_04.xlsx&amp;sheet=A0&amp;row=3118&amp;col=7&amp;number=0&amp;sourceID=14","0")</f>
        <v>0</v>
      </c>
    </row>
    <row r="3119" spans="1:7">
      <c r="A3119" s="3">
        <v>12</v>
      </c>
      <c r="B3119" s="3">
        <v>4</v>
      </c>
      <c r="C3119" s="3">
        <v>80</v>
      </c>
      <c r="D3119" s="3">
        <v>43</v>
      </c>
      <c r="E3119" s="3">
        <v>-232.393</v>
      </c>
      <c r="F3119" s="4" t="str">
        <f>HYPERLINK("http://141.218.60.56/~jnz1568/getInfo.php?workbook=12_04.xlsx&amp;sheet=A0&amp;row=3119&amp;col=6&amp;number=0.0863&amp;sourceID=14","0.0863")</f>
        <v>0.0863</v>
      </c>
      <c r="G3119" s="4" t="str">
        <f>HYPERLINK("http://141.218.60.56/~jnz1568/getInfo.php?workbook=12_04.xlsx&amp;sheet=A0&amp;row=3119&amp;col=7&amp;number=0&amp;sourceID=14","0")</f>
        <v>0</v>
      </c>
    </row>
    <row r="3120" spans="1:7">
      <c r="A3120" s="3">
        <v>12</v>
      </c>
      <c r="B3120" s="3">
        <v>4</v>
      </c>
      <c r="C3120" s="3">
        <v>81</v>
      </c>
      <c r="D3120" s="3">
        <v>43</v>
      </c>
      <c r="E3120" s="3">
        <v>231.739</v>
      </c>
      <c r="F3120" s="4" t="str">
        <f>HYPERLINK("http://141.218.60.56/~jnz1568/getInfo.php?workbook=12_04.xlsx&amp;sheet=A0&amp;row=3120&amp;col=6&amp;number=3.89e-06&amp;sourceID=14","3.89e-06")</f>
        <v>3.89e-06</v>
      </c>
      <c r="G3120" s="4" t="str">
        <f>HYPERLINK("http://141.218.60.56/~jnz1568/getInfo.php?workbook=12_04.xlsx&amp;sheet=A0&amp;row=3120&amp;col=7&amp;number=0&amp;sourceID=14","0")</f>
        <v>0</v>
      </c>
    </row>
    <row r="3121" spans="1:7">
      <c r="A3121" s="3">
        <v>12</v>
      </c>
      <c r="B3121" s="3">
        <v>4</v>
      </c>
      <c r="C3121" s="3">
        <v>82</v>
      </c>
      <c r="D3121" s="3">
        <v>43</v>
      </c>
      <c r="E3121" s="3">
        <v>-232.198</v>
      </c>
      <c r="F3121" s="4" t="str">
        <f>HYPERLINK("http://141.218.60.56/~jnz1568/getInfo.php?workbook=12_04.xlsx&amp;sheet=A0&amp;row=3121&amp;col=6&amp;number=5.47&amp;sourceID=14","5.47")</f>
        <v>5.47</v>
      </c>
      <c r="G3121" s="4" t="str">
        <f>HYPERLINK("http://141.218.60.56/~jnz1568/getInfo.php?workbook=12_04.xlsx&amp;sheet=A0&amp;row=3121&amp;col=7&amp;number=0&amp;sourceID=14","0")</f>
        <v>0</v>
      </c>
    </row>
    <row r="3122" spans="1:7">
      <c r="A3122" s="3">
        <v>12</v>
      </c>
      <c r="B3122" s="3">
        <v>4</v>
      </c>
      <c r="C3122" s="3">
        <v>83</v>
      </c>
      <c r="D3122" s="3">
        <v>43</v>
      </c>
      <c r="E3122" s="3">
        <v>-232.195</v>
      </c>
      <c r="F3122" s="4" t="str">
        <f>HYPERLINK("http://141.218.60.56/~jnz1568/getInfo.php?workbook=12_04.xlsx&amp;sheet=A0&amp;row=3122&amp;col=6&amp;number=0.0579&amp;sourceID=14","0.0579")</f>
        <v>0.0579</v>
      </c>
      <c r="G3122" s="4" t="str">
        <f>HYPERLINK("http://141.218.60.56/~jnz1568/getInfo.php?workbook=12_04.xlsx&amp;sheet=A0&amp;row=3122&amp;col=7&amp;number=0&amp;sourceID=14","0")</f>
        <v>0</v>
      </c>
    </row>
    <row r="3123" spans="1:7">
      <c r="A3123" s="3">
        <v>12</v>
      </c>
      <c r="B3123" s="3">
        <v>4</v>
      </c>
      <c r="C3123" s="3">
        <v>85</v>
      </c>
      <c r="D3123" s="3">
        <v>43</v>
      </c>
      <c r="E3123" s="3">
        <v>231.097</v>
      </c>
      <c r="F3123" s="4" t="str">
        <f>HYPERLINK("http://141.218.60.56/~jnz1568/getInfo.php?workbook=12_04.xlsx&amp;sheet=A0&amp;row=3123&amp;col=6&amp;number=116000&amp;sourceID=14","116000")</f>
        <v>116000</v>
      </c>
      <c r="G3123" s="4" t="str">
        <f>HYPERLINK("http://141.218.60.56/~jnz1568/getInfo.php?workbook=12_04.xlsx&amp;sheet=A0&amp;row=3123&amp;col=7&amp;number=0&amp;sourceID=14","0")</f>
        <v>0</v>
      </c>
    </row>
    <row r="3124" spans="1:7">
      <c r="A3124" s="3">
        <v>12</v>
      </c>
      <c r="B3124" s="3">
        <v>4</v>
      </c>
      <c r="C3124" s="3">
        <v>86</v>
      </c>
      <c r="D3124" s="3">
        <v>43</v>
      </c>
      <c r="E3124" s="3">
        <v>230.819</v>
      </c>
      <c r="F3124" s="4" t="str">
        <f>HYPERLINK("http://141.218.60.56/~jnz1568/getInfo.php?workbook=12_04.xlsx&amp;sheet=A0&amp;row=3124&amp;col=6&amp;number=0.0345&amp;sourceID=14","0.0345")</f>
        <v>0.0345</v>
      </c>
      <c r="G3124" s="4" t="str">
        <f>HYPERLINK("http://141.218.60.56/~jnz1568/getInfo.php?workbook=12_04.xlsx&amp;sheet=A0&amp;row=3124&amp;col=7&amp;number=0&amp;sourceID=14","0")</f>
        <v>0</v>
      </c>
    </row>
    <row r="3125" spans="1:7">
      <c r="A3125" s="3">
        <v>12</v>
      </c>
      <c r="B3125" s="3">
        <v>4</v>
      </c>
      <c r="C3125" s="3">
        <v>88</v>
      </c>
      <c r="D3125" s="3">
        <v>43</v>
      </c>
      <c r="E3125" s="3">
        <v>-230.303</v>
      </c>
      <c r="F3125" s="4" t="str">
        <f>HYPERLINK("http://141.218.60.56/~jnz1568/getInfo.php?workbook=12_04.xlsx&amp;sheet=A0&amp;row=3125&amp;col=6&amp;number=1.83&amp;sourceID=14","1.83")</f>
        <v>1.83</v>
      </c>
      <c r="G3125" s="4" t="str">
        <f>HYPERLINK("http://141.218.60.56/~jnz1568/getInfo.php?workbook=12_04.xlsx&amp;sheet=A0&amp;row=3125&amp;col=7&amp;number=0&amp;sourceID=14","0")</f>
        <v>0</v>
      </c>
    </row>
    <row r="3126" spans="1:7">
      <c r="A3126" s="3">
        <v>12</v>
      </c>
      <c r="B3126" s="3">
        <v>4</v>
      </c>
      <c r="C3126" s="3">
        <v>90</v>
      </c>
      <c r="D3126" s="3">
        <v>43</v>
      </c>
      <c r="E3126" s="3">
        <v>-229.333</v>
      </c>
      <c r="F3126" s="4" t="str">
        <f>HYPERLINK("http://141.218.60.56/~jnz1568/getInfo.php?workbook=12_04.xlsx&amp;sheet=A0&amp;row=3126&amp;col=6&amp;number=3.03e-07&amp;sourceID=14","3.03e-07")</f>
        <v>3.03e-07</v>
      </c>
      <c r="G3126" s="4" t="str">
        <f>HYPERLINK("http://141.218.60.56/~jnz1568/getInfo.php?workbook=12_04.xlsx&amp;sheet=A0&amp;row=3126&amp;col=7&amp;number=0&amp;sourceID=14","0")</f>
        <v>0</v>
      </c>
    </row>
    <row r="3127" spans="1:7">
      <c r="A3127" s="3">
        <v>12</v>
      </c>
      <c r="B3127" s="3">
        <v>4</v>
      </c>
      <c r="C3127" s="3">
        <v>91</v>
      </c>
      <c r="D3127" s="3">
        <v>43</v>
      </c>
      <c r="E3127" s="3">
        <v>-228.694</v>
      </c>
      <c r="F3127" s="4" t="str">
        <f>HYPERLINK("http://141.218.60.56/~jnz1568/getInfo.php?workbook=12_04.xlsx&amp;sheet=A0&amp;row=3127&amp;col=6&amp;number=3.01&amp;sourceID=14","3.01")</f>
        <v>3.01</v>
      </c>
      <c r="G3127" s="4" t="str">
        <f>HYPERLINK("http://141.218.60.56/~jnz1568/getInfo.php?workbook=12_04.xlsx&amp;sheet=A0&amp;row=3127&amp;col=7&amp;number=0&amp;sourceID=14","0")</f>
        <v>0</v>
      </c>
    </row>
    <row r="3128" spans="1:7">
      <c r="A3128" s="3">
        <v>12</v>
      </c>
      <c r="B3128" s="3">
        <v>4</v>
      </c>
      <c r="C3128" s="3">
        <v>93</v>
      </c>
      <c r="D3128" s="3">
        <v>43</v>
      </c>
      <c r="E3128" s="3">
        <v>-228.406</v>
      </c>
      <c r="F3128" s="4" t="str">
        <f>HYPERLINK("http://141.218.60.56/~jnz1568/getInfo.php?workbook=12_04.xlsx&amp;sheet=A0&amp;row=3128&amp;col=6&amp;number=10.1&amp;sourceID=14","10.1")</f>
        <v>10.1</v>
      </c>
      <c r="G3128" s="4" t="str">
        <f>HYPERLINK("http://141.218.60.56/~jnz1568/getInfo.php?workbook=12_04.xlsx&amp;sheet=A0&amp;row=3128&amp;col=7&amp;number=0&amp;sourceID=14","0")</f>
        <v>0</v>
      </c>
    </row>
    <row r="3129" spans="1:7">
      <c r="A3129" s="3">
        <v>12</v>
      </c>
      <c r="B3129" s="3">
        <v>4</v>
      </c>
      <c r="C3129" s="3">
        <v>94</v>
      </c>
      <c r="D3129" s="3">
        <v>43</v>
      </c>
      <c r="E3129" s="3">
        <v>-227.903</v>
      </c>
      <c r="F3129" s="4" t="str">
        <f>HYPERLINK("http://141.218.60.56/~jnz1568/getInfo.php?workbook=12_04.xlsx&amp;sheet=A0&amp;row=3129&amp;col=6&amp;number=42700000000&amp;sourceID=14","42700000000")</f>
        <v>42700000000</v>
      </c>
      <c r="G3129" s="4" t="str">
        <f>HYPERLINK("http://141.218.60.56/~jnz1568/getInfo.php?workbook=12_04.xlsx&amp;sheet=A0&amp;row=3129&amp;col=7&amp;number=0&amp;sourceID=14","0")</f>
        <v>0</v>
      </c>
    </row>
    <row r="3130" spans="1:7">
      <c r="A3130" s="3">
        <v>12</v>
      </c>
      <c r="B3130" s="3">
        <v>4</v>
      </c>
      <c r="C3130" s="3">
        <v>96</v>
      </c>
      <c r="D3130" s="3">
        <v>43</v>
      </c>
      <c r="E3130" s="3">
        <v>-227.271</v>
      </c>
      <c r="F3130" s="4" t="str">
        <f>HYPERLINK("http://141.218.60.56/~jnz1568/getInfo.php?workbook=12_04.xlsx&amp;sheet=A0&amp;row=3130&amp;col=6&amp;number=16.9&amp;sourceID=14","16.9")</f>
        <v>16.9</v>
      </c>
      <c r="G3130" s="4" t="str">
        <f>HYPERLINK("http://141.218.60.56/~jnz1568/getInfo.php?workbook=12_04.xlsx&amp;sheet=A0&amp;row=3130&amp;col=7&amp;number=0&amp;sourceID=14","0")</f>
        <v>0</v>
      </c>
    </row>
    <row r="3131" spans="1:7">
      <c r="A3131" s="3">
        <v>12</v>
      </c>
      <c r="B3131" s="3">
        <v>4</v>
      </c>
      <c r="C3131" s="3">
        <v>97</v>
      </c>
      <c r="D3131" s="3">
        <v>43</v>
      </c>
      <c r="E3131" s="3">
        <v>227.356</v>
      </c>
      <c r="F3131" s="4" t="str">
        <f>HYPERLINK("http://141.218.60.56/~jnz1568/getInfo.php?workbook=12_04.xlsx&amp;sheet=A0&amp;row=3131&amp;col=6&amp;number=2.84e-05&amp;sourceID=14","2.84e-05")</f>
        <v>2.84e-05</v>
      </c>
      <c r="G3131" s="4" t="str">
        <f>HYPERLINK("http://141.218.60.56/~jnz1568/getInfo.php?workbook=12_04.xlsx&amp;sheet=A0&amp;row=3131&amp;col=7&amp;number=0&amp;sourceID=14","0")</f>
        <v>0</v>
      </c>
    </row>
    <row r="3132" spans="1:7">
      <c r="A3132" s="3">
        <v>12</v>
      </c>
      <c r="B3132" s="3">
        <v>4</v>
      </c>
      <c r="C3132" s="3">
        <v>98</v>
      </c>
      <c r="D3132" s="3">
        <v>43</v>
      </c>
      <c r="E3132" s="3">
        <v>226.46</v>
      </c>
      <c r="F3132" s="4" t="str">
        <f>HYPERLINK("http://141.218.60.56/~jnz1568/getInfo.php?workbook=12_04.xlsx&amp;sheet=A0&amp;row=3132&amp;col=6&amp;number=0.0611&amp;sourceID=14","0.0611")</f>
        <v>0.0611</v>
      </c>
      <c r="G3132" s="4" t="str">
        <f>HYPERLINK("http://141.218.60.56/~jnz1568/getInfo.php?workbook=12_04.xlsx&amp;sheet=A0&amp;row=3132&amp;col=7&amp;number=0&amp;sourceID=14","0")</f>
        <v>0</v>
      </c>
    </row>
    <row r="3133" spans="1:7">
      <c r="A3133" s="3">
        <v>12</v>
      </c>
      <c r="B3133" s="3">
        <v>4</v>
      </c>
      <c r="C3133" s="3">
        <v>45</v>
      </c>
      <c r="D3133" s="3">
        <v>44</v>
      </c>
      <c r="E3133" s="3">
        <v>-13442.691</v>
      </c>
      <c r="F3133" s="4" t="str">
        <f>HYPERLINK("http://141.218.60.56/~jnz1568/getInfo.php?workbook=12_04.xlsx&amp;sheet=A0&amp;row=3133&amp;col=6&amp;number=2.23e-15&amp;sourceID=14","2.23e-15")</f>
        <v>2.23e-15</v>
      </c>
      <c r="G3133" s="4" t="str">
        <f>HYPERLINK("http://141.218.60.56/~jnz1568/getInfo.php?workbook=12_04.xlsx&amp;sheet=A0&amp;row=3133&amp;col=7&amp;number=0&amp;sourceID=14","0")</f>
        <v>0</v>
      </c>
    </row>
    <row r="3134" spans="1:7">
      <c r="A3134" s="3">
        <v>12</v>
      </c>
      <c r="B3134" s="3">
        <v>4</v>
      </c>
      <c r="C3134" s="3">
        <v>46</v>
      </c>
      <c r="D3134" s="3">
        <v>44</v>
      </c>
      <c r="E3134" s="3">
        <v>-7966.238</v>
      </c>
      <c r="F3134" s="4" t="str">
        <f>HYPERLINK("http://141.218.60.56/~jnz1568/getInfo.php?workbook=12_04.xlsx&amp;sheet=A0&amp;row=3134&amp;col=6&amp;number=582000&amp;sourceID=14","582000")</f>
        <v>582000</v>
      </c>
      <c r="G3134" s="4" t="str">
        <f>HYPERLINK("http://141.218.60.56/~jnz1568/getInfo.php?workbook=12_04.xlsx&amp;sheet=A0&amp;row=3134&amp;col=7&amp;number=0&amp;sourceID=14","0")</f>
        <v>0</v>
      </c>
    </row>
    <row r="3135" spans="1:7">
      <c r="A3135" s="3">
        <v>12</v>
      </c>
      <c r="B3135" s="3">
        <v>4</v>
      </c>
      <c r="C3135" s="3">
        <v>47</v>
      </c>
      <c r="D3135" s="3">
        <v>44</v>
      </c>
      <c r="E3135" s="3">
        <v>-479.838</v>
      </c>
      <c r="F3135" s="4" t="str">
        <f>HYPERLINK("http://141.218.60.56/~jnz1568/getInfo.php?workbook=12_04.xlsx&amp;sheet=A0&amp;row=3135&amp;col=6&amp;number=0.000242&amp;sourceID=14","0.000242")</f>
        <v>0.000242</v>
      </c>
      <c r="G3135" s="4" t="str">
        <f>HYPERLINK("http://141.218.60.56/~jnz1568/getInfo.php?workbook=12_04.xlsx&amp;sheet=A0&amp;row=3135&amp;col=7&amp;number=0&amp;sourceID=14","0")</f>
        <v>0</v>
      </c>
    </row>
    <row r="3136" spans="1:7">
      <c r="A3136" s="3">
        <v>12</v>
      </c>
      <c r="B3136" s="3">
        <v>4</v>
      </c>
      <c r="C3136" s="3">
        <v>50</v>
      </c>
      <c r="D3136" s="3">
        <v>44</v>
      </c>
      <c r="E3136" s="3">
        <v>-428.97</v>
      </c>
      <c r="F3136" s="4" t="str">
        <f>HYPERLINK("http://141.218.60.56/~jnz1568/getInfo.php?workbook=12_04.xlsx&amp;sheet=A0&amp;row=3136&amp;col=6&amp;number=1380000&amp;sourceID=14","1380000")</f>
        <v>1380000</v>
      </c>
      <c r="G3136" s="4" t="str">
        <f>HYPERLINK("http://141.218.60.56/~jnz1568/getInfo.php?workbook=12_04.xlsx&amp;sheet=A0&amp;row=3136&amp;col=7&amp;number=0&amp;sourceID=14","0")</f>
        <v>0</v>
      </c>
    </row>
    <row r="3137" spans="1:7">
      <c r="A3137" s="3">
        <v>12</v>
      </c>
      <c r="B3137" s="3">
        <v>4</v>
      </c>
      <c r="C3137" s="3">
        <v>51</v>
      </c>
      <c r="D3137" s="3">
        <v>44</v>
      </c>
      <c r="E3137" s="3">
        <v>-428.488</v>
      </c>
      <c r="F3137" s="4" t="str">
        <f>HYPERLINK("http://141.218.60.56/~jnz1568/getInfo.php?workbook=12_04.xlsx&amp;sheet=A0&amp;row=3137&amp;col=6&amp;number=0.12&amp;sourceID=14","0.12")</f>
        <v>0.12</v>
      </c>
      <c r="G3137" s="4" t="str">
        <f>HYPERLINK("http://141.218.60.56/~jnz1568/getInfo.php?workbook=12_04.xlsx&amp;sheet=A0&amp;row=3137&amp;col=7&amp;number=0&amp;sourceID=14","0")</f>
        <v>0</v>
      </c>
    </row>
    <row r="3138" spans="1:7">
      <c r="A3138" s="3">
        <v>12</v>
      </c>
      <c r="B3138" s="3">
        <v>4</v>
      </c>
      <c r="C3138" s="3">
        <v>52</v>
      </c>
      <c r="D3138" s="3">
        <v>44</v>
      </c>
      <c r="E3138" s="3">
        <v>-423.486</v>
      </c>
      <c r="F3138" s="4" t="str">
        <f>HYPERLINK("http://141.218.60.56/~jnz1568/getInfo.php?workbook=12_04.xlsx&amp;sheet=A0&amp;row=3138&amp;col=6&amp;number=351000000&amp;sourceID=14","351000000")</f>
        <v>351000000</v>
      </c>
      <c r="G3138" s="4" t="str">
        <f>HYPERLINK("http://141.218.60.56/~jnz1568/getInfo.php?workbook=12_04.xlsx&amp;sheet=A0&amp;row=3138&amp;col=7&amp;number=0&amp;sourceID=14","0")</f>
        <v>0</v>
      </c>
    </row>
    <row r="3139" spans="1:7">
      <c r="A3139" s="3">
        <v>12</v>
      </c>
      <c r="B3139" s="3">
        <v>4</v>
      </c>
      <c r="C3139" s="3">
        <v>53</v>
      </c>
      <c r="D3139" s="3">
        <v>44</v>
      </c>
      <c r="E3139" s="3">
        <v>-404.808</v>
      </c>
      <c r="F3139" s="4" t="str">
        <f>HYPERLINK("http://141.218.60.56/~jnz1568/getInfo.php?workbook=12_04.xlsx&amp;sheet=A0&amp;row=3139&amp;col=6&amp;number=2.62e-05&amp;sourceID=14","2.62e-05")</f>
        <v>2.62e-05</v>
      </c>
      <c r="G3139" s="4" t="str">
        <f>HYPERLINK("http://141.218.60.56/~jnz1568/getInfo.php?workbook=12_04.xlsx&amp;sheet=A0&amp;row=3139&amp;col=7&amp;number=0&amp;sourceID=14","0")</f>
        <v>0</v>
      </c>
    </row>
    <row r="3140" spans="1:7">
      <c r="A3140" s="3">
        <v>12</v>
      </c>
      <c r="B3140" s="3">
        <v>4</v>
      </c>
      <c r="C3140" s="3">
        <v>54</v>
      </c>
      <c r="D3140" s="3">
        <v>44</v>
      </c>
      <c r="E3140" s="3">
        <v>-404.731</v>
      </c>
      <c r="F3140" s="4" t="str">
        <f>HYPERLINK("http://141.218.60.56/~jnz1568/getInfo.php?workbook=12_04.xlsx&amp;sheet=A0&amp;row=3140&amp;col=6&amp;number=0.639&amp;sourceID=14","0.639")</f>
        <v>0.639</v>
      </c>
      <c r="G3140" s="4" t="str">
        <f>HYPERLINK("http://141.218.60.56/~jnz1568/getInfo.php?workbook=12_04.xlsx&amp;sheet=A0&amp;row=3140&amp;col=7&amp;number=0&amp;sourceID=14","0")</f>
        <v>0</v>
      </c>
    </row>
    <row r="3141" spans="1:7">
      <c r="A3141" s="3">
        <v>12</v>
      </c>
      <c r="B3141" s="3">
        <v>4</v>
      </c>
      <c r="C3141" s="3">
        <v>55</v>
      </c>
      <c r="D3141" s="3">
        <v>44</v>
      </c>
      <c r="E3141" s="3">
        <v>-404.613</v>
      </c>
      <c r="F3141" s="4" t="str">
        <f>HYPERLINK("http://141.218.60.56/~jnz1568/getInfo.php?workbook=12_04.xlsx&amp;sheet=A0&amp;row=3141&amp;col=6&amp;number=6.2e-06&amp;sourceID=14","6.2e-06")</f>
        <v>6.2e-06</v>
      </c>
      <c r="G3141" s="4" t="str">
        <f>HYPERLINK("http://141.218.60.56/~jnz1568/getInfo.php?workbook=12_04.xlsx&amp;sheet=A0&amp;row=3141&amp;col=7&amp;number=0&amp;sourceID=14","0")</f>
        <v>0</v>
      </c>
    </row>
    <row r="3142" spans="1:7">
      <c r="A3142" s="3">
        <v>12</v>
      </c>
      <c r="B3142" s="3">
        <v>4</v>
      </c>
      <c r="C3142" s="3">
        <v>56</v>
      </c>
      <c r="D3142" s="3">
        <v>44</v>
      </c>
      <c r="E3142" s="3">
        <v>-391.017</v>
      </c>
      <c r="F3142" s="4" t="str">
        <f>HYPERLINK("http://141.218.60.56/~jnz1568/getInfo.php?workbook=12_04.xlsx&amp;sheet=A0&amp;row=3142&amp;col=6&amp;number=22300&amp;sourceID=14","22300")</f>
        <v>22300</v>
      </c>
      <c r="G3142" s="4" t="str">
        <f>HYPERLINK("http://141.218.60.56/~jnz1568/getInfo.php?workbook=12_04.xlsx&amp;sheet=A0&amp;row=3142&amp;col=7&amp;number=0&amp;sourceID=14","0")</f>
        <v>0</v>
      </c>
    </row>
    <row r="3143" spans="1:7">
      <c r="A3143" s="3">
        <v>12</v>
      </c>
      <c r="B3143" s="3">
        <v>4</v>
      </c>
      <c r="C3143" s="3">
        <v>57</v>
      </c>
      <c r="D3143" s="3">
        <v>44</v>
      </c>
      <c r="E3143" s="3">
        <v>-390.568</v>
      </c>
      <c r="F3143" s="4" t="str">
        <f>HYPERLINK("http://141.218.60.56/~jnz1568/getInfo.php?workbook=12_04.xlsx&amp;sheet=A0&amp;row=3143&amp;col=6&amp;number=2.17e-06&amp;sourceID=14","2.17e-06")</f>
        <v>2.17e-06</v>
      </c>
      <c r="G3143" s="4" t="str">
        <f>HYPERLINK("http://141.218.60.56/~jnz1568/getInfo.php?workbook=12_04.xlsx&amp;sheet=A0&amp;row=3143&amp;col=7&amp;number=0&amp;sourceID=14","0")</f>
        <v>0</v>
      </c>
    </row>
    <row r="3144" spans="1:7">
      <c r="A3144" s="3">
        <v>12</v>
      </c>
      <c r="B3144" s="3">
        <v>4</v>
      </c>
      <c r="C3144" s="3">
        <v>58</v>
      </c>
      <c r="D3144" s="3">
        <v>44</v>
      </c>
      <c r="E3144" s="3">
        <v>-390.524</v>
      </c>
      <c r="F3144" s="4" t="str">
        <f>HYPERLINK("http://141.218.60.56/~jnz1568/getInfo.php?workbook=12_04.xlsx&amp;sheet=A0&amp;row=3144&amp;col=6&amp;number=1.7e-05&amp;sourceID=14","1.7e-05")</f>
        <v>1.7e-05</v>
      </c>
      <c r="G3144" s="4" t="str">
        <f>HYPERLINK("http://141.218.60.56/~jnz1568/getInfo.php?workbook=12_04.xlsx&amp;sheet=A0&amp;row=3144&amp;col=7&amp;number=0&amp;sourceID=14","0")</f>
        <v>0</v>
      </c>
    </row>
    <row r="3145" spans="1:7">
      <c r="A3145" s="3">
        <v>12</v>
      </c>
      <c r="B3145" s="3">
        <v>4</v>
      </c>
      <c r="C3145" s="3">
        <v>60</v>
      </c>
      <c r="D3145" s="3">
        <v>44</v>
      </c>
      <c r="E3145" s="3">
        <v>-386.652</v>
      </c>
      <c r="F3145" s="4" t="str">
        <f>HYPERLINK("http://141.218.60.56/~jnz1568/getInfo.php?workbook=12_04.xlsx&amp;sheet=A0&amp;row=3145&amp;col=6&amp;number=0.218&amp;sourceID=14","0.218")</f>
        <v>0.218</v>
      </c>
      <c r="G3145" s="4" t="str">
        <f>HYPERLINK("http://141.218.60.56/~jnz1568/getInfo.php?workbook=12_04.xlsx&amp;sheet=A0&amp;row=3145&amp;col=7&amp;number=0&amp;sourceID=14","0")</f>
        <v>0</v>
      </c>
    </row>
    <row r="3146" spans="1:7">
      <c r="A3146" s="3">
        <v>12</v>
      </c>
      <c r="B3146" s="3">
        <v>4</v>
      </c>
      <c r="C3146" s="3">
        <v>62</v>
      </c>
      <c r="D3146" s="3">
        <v>44</v>
      </c>
      <c r="E3146" s="3">
        <v>-266.484</v>
      </c>
      <c r="F3146" s="4" t="str">
        <f>HYPERLINK("http://141.218.60.56/~jnz1568/getInfo.php?workbook=12_04.xlsx&amp;sheet=A0&amp;row=3146&amp;col=6&amp;number=157000000&amp;sourceID=14","157000000")</f>
        <v>157000000</v>
      </c>
      <c r="G3146" s="4" t="str">
        <f>HYPERLINK("http://141.218.60.56/~jnz1568/getInfo.php?workbook=12_04.xlsx&amp;sheet=A0&amp;row=3146&amp;col=7&amp;number=0&amp;sourceID=14","0")</f>
        <v>0</v>
      </c>
    </row>
    <row r="3147" spans="1:7">
      <c r="A3147" s="3">
        <v>12</v>
      </c>
      <c r="B3147" s="3">
        <v>4</v>
      </c>
      <c r="C3147" s="3">
        <v>63</v>
      </c>
      <c r="D3147" s="3">
        <v>44</v>
      </c>
      <c r="E3147" s="3">
        <v>-264.384</v>
      </c>
      <c r="F3147" s="4" t="str">
        <f>HYPERLINK("http://141.218.60.56/~jnz1568/getInfo.php?workbook=12_04.xlsx&amp;sheet=A0&amp;row=3147&amp;col=6&amp;number=0.832&amp;sourceID=14","0.832")</f>
        <v>0.832</v>
      </c>
      <c r="G3147" s="4" t="str">
        <f>HYPERLINK("http://141.218.60.56/~jnz1568/getInfo.php?workbook=12_04.xlsx&amp;sheet=A0&amp;row=3147&amp;col=7&amp;number=0&amp;sourceID=14","0")</f>
        <v>0</v>
      </c>
    </row>
    <row r="3148" spans="1:7">
      <c r="A3148" s="3">
        <v>12</v>
      </c>
      <c r="B3148" s="3">
        <v>4</v>
      </c>
      <c r="C3148" s="3">
        <v>64</v>
      </c>
      <c r="D3148" s="3">
        <v>44</v>
      </c>
      <c r="E3148" s="3">
        <v>-260.094</v>
      </c>
      <c r="F3148" s="4" t="str">
        <f>HYPERLINK("http://141.218.60.56/~jnz1568/getInfo.php?workbook=12_04.xlsx&amp;sheet=A0&amp;row=3148&amp;col=6&amp;number=5370000000&amp;sourceID=14","5370000000")</f>
        <v>5370000000</v>
      </c>
      <c r="G3148" s="4" t="str">
        <f>HYPERLINK("http://141.218.60.56/~jnz1568/getInfo.php?workbook=12_04.xlsx&amp;sheet=A0&amp;row=3148&amp;col=7&amp;number=0&amp;sourceID=14","0")</f>
        <v>0</v>
      </c>
    </row>
    <row r="3149" spans="1:7">
      <c r="A3149" s="3">
        <v>12</v>
      </c>
      <c r="B3149" s="3">
        <v>4</v>
      </c>
      <c r="C3149" s="3">
        <v>65</v>
      </c>
      <c r="D3149" s="3">
        <v>44</v>
      </c>
      <c r="E3149" s="3">
        <v>-255.1</v>
      </c>
      <c r="F3149" s="4" t="str">
        <f>HYPERLINK("http://141.218.60.56/~jnz1568/getInfo.php?workbook=12_04.xlsx&amp;sheet=A0&amp;row=3149&amp;col=6&amp;number=0.0298&amp;sourceID=14","0.0298")</f>
        <v>0.0298</v>
      </c>
      <c r="G3149" s="4" t="str">
        <f>HYPERLINK("http://141.218.60.56/~jnz1568/getInfo.php?workbook=12_04.xlsx&amp;sheet=A0&amp;row=3149&amp;col=7&amp;number=0&amp;sourceID=14","0")</f>
        <v>0</v>
      </c>
    </row>
    <row r="3150" spans="1:7">
      <c r="A3150" s="3">
        <v>12</v>
      </c>
      <c r="B3150" s="3">
        <v>4</v>
      </c>
      <c r="C3150" s="3">
        <v>66</v>
      </c>
      <c r="D3150" s="3">
        <v>44</v>
      </c>
      <c r="E3150" s="3">
        <v>-253.45</v>
      </c>
      <c r="F3150" s="4" t="str">
        <f>HYPERLINK("http://141.218.60.56/~jnz1568/getInfo.php?workbook=12_04.xlsx&amp;sheet=A0&amp;row=3150&amp;col=6&amp;number=0.0193&amp;sourceID=14","0.0193")</f>
        <v>0.0193</v>
      </c>
      <c r="G3150" s="4" t="str">
        <f>HYPERLINK("http://141.218.60.56/~jnz1568/getInfo.php?workbook=12_04.xlsx&amp;sheet=A0&amp;row=3150&amp;col=7&amp;number=0&amp;sourceID=14","0")</f>
        <v>0</v>
      </c>
    </row>
    <row r="3151" spans="1:7">
      <c r="A3151" s="3">
        <v>12</v>
      </c>
      <c r="B3151" s="3">
        <v>4</v>
      </c>
      <c r="C3151" s="3">
        <v>67</v>
      </c>
      <c r="D3151" s="3">
        <v>44</v>
      </c>
      <c r="E3151" s="3">
        <v>-253.161</v>
      </c>
      <c r="F3151" s="4" t="str">
        <f>HYPERLINK("http://141.218.60.56/~jnz1568/getInfo.php?workbook=12_04.xlsx&amp;sheet=A0&amp;row=3151&amp;col=6&amp;number=1900&amp;sourceID=14","1900")</f>
        <v>1900</v>
      </c>
      <c r="G3151" s="4" t="str">
        <f>HYPERLINK("http://141.218.60.56/~jnz1568/getInfo.php?workbook=12_04.xlsx&amp;sheet=A0&amp;row=3151&amp;col=7&amp;number=0&amp;sourceID=14","0")</f>
        <v>0</v>
      </c>
    </row>
    <row r="3152" spans="1:7">
      <c r="A3152" s="3">
        <v>12</v>
      </c>
      <c r="B3152" s="3">
        <v>4</v>
      </c>
      <c r="C3152" s="3">
        <v>68</v>
      </c>
      <c r="D3152" s="3">
        <v>44</v>
      </c>
      <c r="E3152" s="3">
        <v>-251.606</v>
      </c>
      <c r="F3152" s="4" t="str">
        <f>HYPERLINK("http://141.218.60.56/~jnz1568/getInfo.php?workbook=12_04.xlsx&amp;sheet=A0&amp;row=3152&amp;col=6&amp;number=0.000293&amp;sourceID=14","0.000293")</f>
        <v>0.000293</v>
      </c>
      <c r="G3152" s="4" t="str">
        <f>HYPERLINK("http://141.218.60.56/~jnz1568/getInfo.php?workbook=12_04.xlsx&amp;sheet=A0&amp;row=3152&amp;col=7&amp;number=0&amp;sourceID=14","0")</f>
        <v>0</v>
      </c>
    </row>
    <row r="3153" spans="1:7">
      <c r="A3153" s="3">
        <v>12</v>
      </c>
      <c r="B3153" s="3">
        <v>4</v>
      </c>
      <c r="C3153" s="3">
        <v>69</v>
      </c>
      <c r="D3153" s="3">
        <v>44</v>
      </c>
      <c r="E3153" s="3">
        <v>-249.786</v>
      </c>
      <c r="F3153" s="4" t="str">
        <f>HYPERLINK("http://141.218.60.56/~jnz1568/getInfo.php?workbook=12_04.xlsx&amp;sheet=A0&amp;row=3153&amp;col=6&amp;number=0.00376&amp;sourceID=14","0.00376")</f>
        <v>0.00376</v>
      </c>
      <c r="G3153" s="4" t="str">
        <f>HYPERLINK("http://141.218.60.56/~jnz1568/getInfo.php?workbook=12_04.xlsx&amp;sheet=A0&amp;row=3153&amp;col=7&amp;number=0&amp;sourceID=14","0")</f>
        <v>0</v>
      </c>
    </row>
    <row r="3154" spans="1:7">
      <c r="A3154" s="3">
        <v>12</v>
      </c>
      <c r="B3154" s="3">
        <v>4</v>
      </c>
      <c r="C3154" s="3">
        <v>71</v>
      </c>
      <c r="D3154" s="3">
        <v>44</v>
      </c>
      <c r="E3154" s="3">
        <v>-248.197</v>
      </c>
      <c r="F3154" s="4" t="str">
        <f>HYPERLINK("http://141.218.60.56/~jnz1568/getInfo.php?workbook=12_04.xlsx&amp;sheet=A0&amp;row=3154&amp;col=6&amp;number=0.318&amp;sourceID=14","0.318")</f>
        <v>0.318</v>
      </c>
      <c r="G3154" s="4" t="str">
        <f>HYPERLINK("http://141.218.60.56/~jnz1568/getInfo.php?workbook=12_04.xlsx&amp;sheet=A0&amp;row=3154&amp;col=7&amp;number=0&amp;sourceID=14","0")</f>
        <v>0</v>
      </c>
    </row>
    <row r="3155" spans="1:7">
      <c r="A3155" s="3">
        <v>12</v>
      </c>
      <c r="B3155" s="3">
        <v>4</v>
      </c>
      <c r="C3155" s="3">
        <v>72</v>
      </c>
      <c r="D3155" s="3">
        <v>44</v>
      </c>
      <c r="E3155" s="3">
        <v>-247.91</v>
      </c>
      <c r="F3155" s="4" t="str">
        <f>HYPERLINK("http://141.218.60.56/~jnz1568/getInfo.php?workbook=12_04.xlsx&amp;sheet=A0&amp;row=3155&amp;col=6&amp;number=5510&amp;sourceID=14","5510")</f>
        <v>5510</v>
      </c>
      <c r="G3155" s="4" t="str">
        <f>HYPERLINK("http://141.218.60.56/~jnz1568/getInfo.php?workbook=12_04.xlsx&amp;sheet=A0&amp;row=3155&amp;col=7&amp;number=0&amp;sourceID=14","0")</f>
        <v>0</v>
      </c>
    </row>
    <row r="3156" spans="1:7">
      <c r="A3156" s="3">
        <v>12</v>
      </c>
      <c r="B3156" s="3">
        <v>4</v>
      </c>
      <c r="C3156" s="3">
        <v>73</v>
      </c>
      <c r="D3156" s="3">
        <v>44</v>
      </c>
      <c r="E3156" s="3">
        <v>-246.058</v>
      </c>
      <c r="F3156" s="4" t="str">
        <f>HYPERLINK("http://141.218.60.56/~jnz1568/getInfo.php?workbook=12_04.xlsx&amp;sheet=A0&amp;row=3156&amp;col=6&amp;number=1.4&amp;sourceID=14","1.4")</f>
        <v>1.4</v>
      </c>
      <c r="G3156" s="4" t="str">
        <f>HYPERLINK("http://141.218.60.56/~jnz1568/getInfo.php?workbook=12_04.xlsx&amp;sheet=A0&amp;row=3156&amp;col=7&amp;number=0&amp;sourceID=14","0")</f>
        <v>0</v>
      </c>
    </row>
    <row r="3157" spans="1:7">
      <c r="A3157" s="3">
        <v>12</v>
      </c>
      <c r="B3157" s="3">
        <v>4</v>
      </c>
      <c r="C3157" s="3">
        <v>74</v>
      </c>
      <c r="D3157" s="3">
        <v>44</v>
      </c>
      <c r="E3157" s="3">
        <v>-244.907</v>
      </c>
      <c r="F3157" s="4" t="str">
        <f>HYPERLINK("http://141.218.60.56/~jnz1568/getInfo.php?workbook=12_04.xlsx&amp;sheet=A0&amp;row=3157&amp;col=6&amp;number=0.025&amp;sourceID=14","0.025")</f>
        <v>0.025</v>
      </c>
      <c r="G3157" s="4" t="str">
        <f>HYPERLINK("http://141.218.60.56/~jnz1568/getInfo.php?workbook=12_04.xlsx&amp;sheet=A0&amp;row=3157&amp;col=7&amp;number=0&amp;sourceID=14","0")</f>
        <v>0</v>
      </c>
    </row>
    <row r="3158" spans="1:7">
      <c r="A3158" s="3">
        <v>12</v>
      </c>
      <c r="B3158" s="3">
        <v>4</v>
      </c>
      <c r="C3158" s="3">
        <v>75</v>
      </c>
      <c r="D3158" s="3">
        <v>44</v>
      </c>
      <c r="E3158" s="3">
        <v>-244.547</v>
      </c>
      <c r="F3158" s="4" t="str">
        <f>HYPERLINK("http://141.218.60.56/~jnz1568/getInfo.php?workbook=12_04.xlsx&amp;sheet=A0&amp;row=3158&amp;col=6&amp;number=2.32&amp;sourceID=14","2.32")</f>
        <v>2.32</v>
      </c>
      <c r="G3158" s="4" t="str">
        <f>HYPERLINK("http://141.218.60.56/~jnz1568/getInfo.php?workbook=12_04.xlsx&amp;sheet=A0&amp;row=3158&amp;col=7&amp;number=0&amp;sourceID=14","0")</f>
        <v>0</v>
      </c>
    </row>
    <row r="3159" spans="1:7">
      <c r="A3159" s="3">
        <v>12</v>
      </c>
      <c r="B3159" s="3">
        <v>4</v>
      </c>
      <c r="C3159" s="3">
        <v>76</v>
      </c>
      <c r="D3159" s="3">
        <v>44</v>
      </c>
      <c r="E3159" s="3">
        <v>-243.905</v>
      </c>
      <c r="F3159" s="4" t="str">
        <f>HYPERLINK("http://141.218.60.56/~jnz1568/getInfo.php?workbook=12_04.xlsx&amp;sheet=A0&amp;row=3159&amp;col=6&amp;number=499000&amp;sourceID=14","499000")</f>
        <v>499000</v>
      </c>
      <c r="G3159" s="4" t="str">
        <f>HYPERLINK("http://141.218.60.56/~jnz1568/getInfo.php?workbook=12_04.xlsx&amp;sheet=A0&amp;row=3159&amp;col=7&amp;number=0&amp;sourceID=14","0")</f>
        <v>0</v>
      </c>
    </row>
    <row r="3160" spans="1:7">
      <c r="A3160" s="3">
        <v>12</v>
      </c>
      <c r="B3160" s="3">
        <v>4</v>
      </c>
      <c r="C3160" s="3">
        <v>78</v>
      </c>
      <c r="D3160" s="3">
        <v>44</v>
      </c>
      <c r="E3160" s="3">
        <v>-241.84</v>
      </c>
      <c r="F3160" s="4" t="str">
        <f>HYPERLINK("http://141.218.60.56/~jnz1568/getInfo.php?workbook=12_04.xlsx&amp;sheet=A0&amp;row=3160&amp;col=6&amp;number=160000000&amp;sourceID=14","160000000")</f>
        <v>160000000</v>
      </c>
      <c r="G3160" s="4" t="str">
        <f>HYPERLINK("http://141.218.60.56/~jnz1568/getInfo.php?workbook=12_04.xlsx&amp;sheet=A0&amp;row=3160&amp;col=7&amp;number=0&amp;sourceID=14","0")</f>
        <v>0</v>
      </c>
    </row>
    <row r="3161" spans="1:7">
      <c r="A3161" s="3">
        <v>12</v>
      </c>
      <c r="B3161" s="3">
        <v>4</v>
      </c>
      <c r="C3161" s="3">
        <v>79</v>
      </c>
      <c r="D3161" s="3">
        <v>44</v>
      </c>
      <c r="E3161" s="3">
        <v>-241.478</v>
      </c>
      <c r="F3161" s="4" t="str">
        <f>HYPERLINK("http://141.218.60.56/~jnz1568/getInfo.php?workbook=12_04.xlsx&amp;sheet=A0&amp;row=3161&amp;col=6&amp;number=6.41&amp;sourceID=14","6.41")</f>
        <v>6.41</v>
      </c>
      <c r="G3161" s="4" t="str">
        <f>HYPERLINK("http://141.218.60.56/~jnz1568/getInfo.php?workbook=12_04.xlsx&amp;sheet=A0&amp;row=3161&amp;col=7&amp;number=0&amp;sourceID=14","0")</f>
        <v>0</v>
      </c>
    </row>
    <row r="3162" spans="1:7">
      <c r="A3162" s="3">
        <v>12</v>
      </c>
      <c r="B3162" s="3">
        <v>4</v>
      </c>
      <c r="C3162" s="3">
        <v>80</v>
      </c>
      <c r="D3162" s="3">
        <v>44</v>
      </c>
      <c r="E3162" s="3">
        <v>-240.757</v>
      </c>
      <c r="F3162" s="4" t="str">
        <f>HYPERLINK("http://141.218.60.56/~jnz1568/getInfo.php?workbook=12_04.xlsx&amp;sheet=A0&amp;row=3162&amp;col=6&amp;number=4.95e-05&amp;sourceID=14","4.95e-05")</f>
        <v>4.95e-05</v>
      </c>
      <c r="G3162" s="4" t="str">
        <f>HYPERLINK("http://141.218.60.56/~jnz1568/getInfo.php?workbook=12_04.xlsx&amp;sheet=A0&amp;row=3162&amp;col=7&amp;number=0&amp;sourceID=14","0")</f>
        <v>0</v>
      </c>
    </row>
    <row r="3163" spans="1:7">
      <c r="A3163" s="3">
        <v>12</v>
      </c>
      <c r="B3163" s="3">
        <v>4</v>
      </c>
      <c r="C3163" s="3">
        <v>81</v>
      </c>
      <c r="D3163" s="3">
        <v>44</v>
      </c>
      <c r="E3163" s="3">
        <v>-240.741</v>
      </c>
      <c r="F3163" s="4" t="str">
        <f>HYPERLINK("http://141.218.60.56/~jnz1568/getInfo.php?workbook=12_04.xlsx&amp;sheet=A0&amp;row=3163&amp;col=6&amp;number=0.0285&amp;sourceID=14","0.0285")</f>
        <v>0.0285</v>
      </c>
      <c r="G3163" s="4" t="str">
        <f>HYPERLINK("http://141.218.60.56/~jnz1568/getInfo.php?workbook=12_04.xlsx&amp;sheet=A0&amp;row=3163&amp;col=7&amp;number=0&amp;sourceID=14","0")</f>
        <v>0</v>
      </c>
    </row>
    <row r="3164" spans="1:7">
      <c r="A3164" s="3">
        <v>12</v>
      </c>
      <c r="B3164" s="3">
        <v>4</v>
      </c>
      <c r="C3164" s="3">
        <v>82</v>
      </c>
      <c r="D3164" s="3">
        <v>44</v>
      </c>
      <c r="E3164" s="3">
        <v>-240.547</v>
      </c>
      <c r="F3164" s="4" t="str">
        <f>HYPERLINK("http://141.218.60.56/~jnz1568/getInfo.php?workbook=12_04.xlsx&amp;sheet=A0&amp;row=3164&amp;col=6&amp;number=14800&amp;sourceID=14","14800")</f>
        <v>14800</v>
      </c>
      <c r="G3164" s="4" t="str">
        <f>HYPERLINK("http://141.218.60.56/~jnz1568/getInfo.php?workbook=12_04.xlsx&amp;sheet=A0&amp;row=3164&amp;col=7&amp;number=0&amp;sourceID=14","0")</f>
        <v>0</v>
      </c>
    </row>
    <row r="3165" spans="1:7">
      <c r="A3165" s="3">
        <v>12</v>
      </c>
      <c r="B3165" s="3">
        <v>4</v>
      </c>
      <c r="C3165" s="3">
        <v>83</v>
      </c>
      <c r="D3165" s="3">
        <v>44</v>
      </c>
      <c r="E3165" s="3">
        <v>-240.544</v>
      </c>
      <c r="F3165" s="4" t="str">
        <f>HYPERLINK("http://141.218.60.56/~jnz1568/getInfo.php?workbook=12_04.xlsx&amp;sheet=A0&amp;row=3165&amp;col=6&amp;number=7.86e-05&amp;sourceID=14","7.86e-05")</f>
        <v>7.86e-05</v>
      </c>
      <c r="G3165" s="4" t="str">
        <f>HYPERLINK("http://141.218.60.56/~jnz1568/getInfo.php?workbook=12_04.xlsx&amp;sheet=A0&amp;row=3165&amp;col=7&amp;number=0&amp;sourceID=14","0")</f>
        <v>0</v>
      </c>
    </row>
    <row r="3166" spans="1:7">
      <c r="A3166" s="3">
        <v>12</v>
      </c>
      <c r="B3166" s="3">
        <v>4</v>
      </c>
      <c r="C3166" s="3">
        <v>84</v>
      </c>
      <c r="D3166" s="3">
        <v>44</v>
      </c>
      <c r="E3166" s="3">
        <v>-240.356</v>
      </c>
      <c r="F3166" s="4" t="str">
        <f>HYPERLINK("http://141.218.60.56/~jnz1568/getInfo.php?workbook=12_04.xlsx&amp;sheet=A0&amp;row=3166&amp;col=6&amp;number=9.13e-06&amp;sourceID=14","9.13e-06")</f>
        <v>9.13e-06</v>
      </c>
      <c r="G3166" s="4" t="str">
        <f>HYPERLINK("http://141.218.60.56/~jnz1568/getInfo.php?workbook=12_04.xlsx&amp;sheet=A0&amp;row=3166&amp;col=7&amp;number=0&amp;sourceID=14","0")</f>
        <v>0</v>
      </c>
    </row>
    <row r="3167" spans="1:7">
      <c r="A3167" s="3">
        <v>12</v>
      </c>
      <c r="B3167" s="3">
        <v>4</v>
      </c>
      <c r="C3167" s="3">
        <v>85</v>
      </c>
      <c r="D3167" s="3">
        <v>44</v>
      </c>
      <c r="E3167" s="3">
        <v>-239.505</v>
      </c>
      <c r="F3167" s="4" t="str">
        <f>HYPERLINK("http://141.218.60.56/~jnz1568/getInfo.php?workbook=12_04.xlsx&amp;sheet=A0&amp;row=3167&amp;col=6&amp;number=18.6&amp;sourceID=14","18.6")</f>
        <v>18.6</v>
      </c>
      <c r="G3167" s="4" t="str">
        <f>HYPERLINK("http://141.218.60.56/~jnz1568/getInfo.php?workbook=12_04.xlsx&amp;sheet=A0&amp;row=3167&amp;col=7&amp;number=0&amp;sourceID=14","0")</f>
        <v>0</v>
      </c>
    </row>
    <row r="3168" spans="1:7">
      <c r="A3168" s="3">
        <v>12</v>
      </c>
      <c r="B3168" s="3">
        <v>4</v>
      </c>
      <c r="C3168" s="3">
        <v>86</v>
      </c>
      <c r="D3168" s="3">
        <v>44</v>
      </c>
      <c r="E3168" s="3">
        <v>-239.15</v>
      </c>
      <c r="F3168" s="4" t="str">
        <f>HYPERLINK("http://141.218.60.56/~jnz1568/getInfo.php?workbook=12_04.xlsx&amp;sheet=A0&amp;row=3168&amp;col=6&amp;number=39000000&amp;sourceID=14","39000000")</f>
        <v>39000000</v>
      </c>
      <c r="G3168" s="4" t="str">
        <f>HYPERLINK("http://141.218.60.56/~jnz1568/getInfo.php?workbook=12_04.xlsx&amp;sheet=A0&amp;row=3168&amp;col=7&amp;number=0&amp;sourceID=14","0")</f>
        <v>0</v>
      </c>
    </row>
    <row r="3169" spans="1:7">
      <c r="A3169" s="3">
        <v>12</v>
      </c>
      <c r="B3169" s="3">
        <v>4</v>
      </c>
      <c r="C3169" s="3">
        <v>88</v>
      </c>
      <c r="D3169" s="3">
        <v>44</v>
      </c>
      <c r="E3169" s="3">
        <v>-238.514</v>
      </c>
      <c r="F3169" s="4" t="str">
        <f>HYPERLINK("http://141.218.60.56/~jnz1568/getInfo.php?workbook=12_04.xlsx&amp;sheet=A0&amp;row=3169&amp;col=6&amp;number=7.72e-05&amp;sourceID=14","7.72e-05")</f>
        <v>7.72e-05</v>
      </c>
      <c r="G3169" s="4" t="str">
        <f>HYPERLINK("http://141.218.60.56/~jnz1568/getInfo.php?workbook=12_04.xlsx&amp;sheet=A0&amp;row=3169&amp;col=7&amp;number=0&amp;sourceID=14","0")</f>
        <v>0</v>
      </c>
    </row>
    <row r="3170" spans="1:7">
      <c r="A3170" s="3">
        <v>12</v>
      </c>
      <c r="B3170" s="3">
        <v>4</v>
      </c>
      <c r="C3170" s="3">
        <v>89</v>
      </c>
      <c r="D3170" s="3">
        <v>44</v>
      </c>
      <c r="E3170" s="3">
        <v>-238.251</v>
      </c>
      <c r="F3170" s="4" t="str">
        <f>HYPERLINK("http://141.218.60.56/~jnz1568/getInfo.php?workbook=12_04.xlsx&amp;sheet=A0&amp;row=3170&amp;col=6&amp;number=1.14e-05&amp;sourceID=14","1.14e-05")</f>
        <v>1.14e-05</v>
      </c>
      <c r="G3170" s="4" t="str">
        <f>HYPERLINK("http://141.218.60.56/~jnz1568/getInfo.php?workbook=12_04.xlsx&amp;sheet=A0&amp;row=3170&amp;col=7&amp;number=0&amp;sourceID=14","0")</f>
        <v>0</v>
      </c>
    </row>
    <row r="3171" spans="1:7">
      <c r="A3171" s="3">
        <v>12</v>
      </c>
      <c r="B3171" s="3">
        <v>4</v>
      </c>
      <c r="C3171" s="3">
        <v>91</v>
      </c>
      <c r="D3171" s="3">
        <v>44</v>
      </c>
      <c r="E3171" s="3">
        <v>-236.788</v>
      </c>
      <c r="F3171" s="4" t="str">
        <f>HYPERLINK("http://141.218.60.56/~jnz1568/getInfo.php?workbook=12_04.xlsx&amp;sheet=A0&amp;row=3171&amp;col=6&amp;number=0.00139&amp;sourceID=14","0.00139")</f>
        <v>0.00139</v>
      </c>
      <c r="G3171" s="4" t="str">
        <f>HYPERLINK("http://141.218.60.56/~jnz1568/getInfo.php?workbook=12_04.xlsx&amp;sheet=A0&amp;row=3171&amp;col=7&amp;number=0&amp;sourceID=14","0")</f>
        <v>0</v>
      </c>
    </row>
    <row r="3172" spans="1:7">
      <c r="A3172" s="3">
        <v>12</v>
      </c>
      <c r="B3172" s="3">
        <v>4</v>
      </c>
      <c r="C3172" s="3">
        <v>92</v>
      </c>
      <c r="D3172" s="3">
        <v>44</v>
      </c>
      <c r="E3172" s="3">
        <v>-236.627</v>
      </c>
      <c r="F3172" s="4" t="str">
        <f>HYPERLINK("http://141.218.60.56/~jnz1568/getInfo.php?workbook=12_04.xlsx&amp;sheet=A0&amp;row=3172&amp;col=6&amp;number=0.000153&amp;sourceID=14","0.000153")</f>
        <v>0.000153</v>
      </c>
      <c r="G3172" s="4" t="str">
        <f>HYPERLINK("http://141.218.60.56/~jnz1568/getInfo.php?workbook=12_04.xlsx&amp;sheet=A0&amp;row=3172&amp;col=7&amp;number=0&amp;sourceID=14","0")</f>
        <v>0</v>
      </c>
    </row>
    <row r="3173" spans="1:7">
      <c r="A3173" s="3">
        <v>12</v>
      </c>
      <c r="B3173" s="3">
        <v>4</v>
      </c>
      <c r="C3173" s="3">
        <v>93</v>
      </c>
      <c r="D3173" s="3">
        <v>44</v>
      </c>
      <c r="E3173" s="3">
        <v>-236.48</v>
      </c>
      <c r="F3173" s="4" t="str">
        <f>HYPERLINK("http://141.218.60.56/~jnz1568/getInfo.php?workbook=12_04.xlsx&amp;sheet=A0&amp;row=3173&amp;col=6&amp;number=145000&amp;sourceID=14","145000")</f>
        <v>145000</v>
      </c>
      <c r="G3173" s="4" t="str">
        <f>HYPERLINK("http://141.218.60.56/~jnz1568/getInfo.php?workbook=12_04.xlsx&amp;sheet=A0&amp;row=3173&amp;col=7&amp;number=0&amp;sourceID=14","0")</f>
        <v>0</v>
      </c>
    </row>
    <row r="3174" spans="1:7">
      <c r="A3174" s="3">
        <v>12</v>
      </c>
      <c r="B3174" s="3">
        <v>4</v>
      </c>
      <c r="C3174" s="3">
        <v>94</v>
      </c>
      <c r="D3174" s="3">
        <v>44</v>
      </c>
      <c r="E3174" s="3">
        <v>-235.941</v>
      </c>
      <c r="F3174" s="4" t="str">
        <f>HYPERLINK("http://141.218.60.56/~jnz1568/getInfo.php?workbook=12_04.xlsx&amp;sheet=A0&amp;row=3174&amp;col=6&amp;number=0.0032&amp;sourceID=14","0.0032")</f>
        <v>0.0032</v>
      </c>
      <c r="G3174" s="4" t="str">
        <f>HYPERLINK("http://141.218.60.56/~jnz1568/getInfo.php?workbook=12_04.xlsx&amp;sheet=A0&amp;row=3174&amp;col=7&amp;number=0&amp;sourceID=14","0")</f>
        <v>0</v>
      </c>
    </row>
    <row r="3175" spans="1:7">
      <c r="A3175" s="3">
        <v>12</v>
      </c>
      <c r="B3175" s="3">
        <v>4</v>
      </c>
      <c r="C3175" s="3">
        <v>96</v>
      </c>
      <c r="D3175" s="3">
        <v>44</v>
      </c>
      <c r="E3175" s="3">
        <v>-235.263</v>
      </c>
      <c r="F3175" s="4" t="str">
        <f>HYPERLINK("http://141.218.60.56/~jnz1568/getInfo.php?workbook=12_04.xlsx&amp;sheet=A0&amp;row=3175&amp;col=6&amp;number=969000&amp;sourceID=14","969000")</f>
        <v>969000</v>
      </c>
      <c r="G3175" s="4" t="str">
        <f>HYPERLINK("http://141.218.60.56/~jnz1568/getInfo.php?workbook=12_04.xlsx&amp;sheet=A0&amp;row=3175&amp;col=7&amp;number=0&amp;sourceID=14","0")</f>
        <v>0</v>
      </c>
    </row>
    <row r="3176" spans="1:7">
      <c r="A3176" s="3">
        <v>12</v>
      </c>
      <c r="B3176" s="3">
        <v>4</v>
      </c>
      <c r="C3176" s="3">
        <v>97</v>
      </c>
      <c r="D3176" s="3">
        <v>44</v>
      </c>
      <c r="E3176" s="3">
        <v>-233.889</v>
      </c>
      <c r="F3176" s="4" t="str">
        <f>HYPERLINK("http://141.218.60.56/~jnz1568/getInfo.php?workbook=12_04.xlsx&amp;sheet=A0&amp;row=3176&amp;col=6&amp;number=12.7&amp;sourceID=14","12.7")</f>
        <v>12.7</v>
      </c>
      <c r="G3176" s="4" t="str">
        <f>HYPERLINK("http://141.218.60.56/~jnz1568/getInfo.php?workbook=12_04.xlsx&amp;sheet=A0&amp;row=3176&amp;col=7&amp;number=0&amp;sourceID=14","0")</f>
        <v>0</v>
      </c>
    </row>
    <row r="3177" spans="1:7">
      <c r="A3177" s="3">
        <v>12</v>
      </c>
      <c r="B3177" s="3">
        <v>4</v>
      </c>
      <c r="C3177" s="3">
        <v>98</v>
      </c>
      <c r="D3177" s="3">
        <v>44</v>
      </c>
      <c r="E3177" s="3">
        <v>-233.237</v>
      </c>
      <c r="F3177" s="4" t="str">
        <f>HYPERLINK("http://141.218.60.56/~jnz1568/getInfo.php?workbook=12_04.xlsx&amp;sheet=A0&amp;row=3177&amp;col=6&amp;number=24400000000&amp;sourceID=14","24400000000")</f>
        <v>24400000000</v>
      </c>
      <c r="G3177" s="4" t="str">
        <f>HYPERLINK("http://141.218.60.56/~jnz1568/getInfo.php?workbook=12_04.xlsx&amp;sheet=A0&amp;row=3177&amp;col=7&amp;number=0&amp;sourceID=14","0")</f>
        <v>0</v>
      </c>
    </row>
    <row r="3178" spans="1:7">
      <c r="A3178" s="3">
        <v>12</v>
      </c>
      <c r="B3178" s="3">
        <v>4</v>
      </c>
      <c r="C3178" s="3">
        <v>46</v>
      </c>
      <c r="D3178" s="3">
        <v>45</v>
      </c>
      <c r="E3178" s="3">
        <v>14556.067</v>
      </c>
      <c r="F3178" s="4" t="str">
        <f>HYPERLINK("http://141.218.60.56/~jnz1568/getInfo.php?workbook=12_04.xlsx&amp;sheet=A0&amp;row=3178&amp;col=6&amp;number=0.000219&amp;sourceID=14","0.000219")</f>
        <v>0.000219</v>
      </c>
      <c r="G3178" s="4" t="str">
        <f>HYPERLINK("http://141.218.60.56/~jnz1568/getInfo.php?workbook=12_04.xlsx&amp;sheet=A0&amp;row=3178&amp;col=7&amp;number=0&amp;sourceID=14","0")</f>
        <v>0</v>
      </c>
    </row>
    <row r="3179" spans="1:7">
      <c r="A3179" s="3">
        <v>12</v>
      </c>
      <c r="B3179" s="3">
        <v>4</v>
      </c>
      <c r="C3179" s="3">
        <v>47</v>
      </c>
      <c r="D3179" s="3">
        <v>45</v>
      </c>
      <c r="E3179" s="3">
        <v>-497.6</v>
      </c>
      <c r="F3179" s="4" t="str">
        <f>HYPERLINK("http://141.218.60.56/~jnz1568/getInfo.php?workbook=12_04.xlsx&amp;sheet=A0&amp;row=3179&amp;col=6&amp;number=1.35e-05&amp;sourceID=14","1.35e-05")</f>
        <v>1.35e-05</v>
      </c>
      <c r="G3179" s="4" t="str">
        <f>HYPERLINK("http://141.218.60.56/~jnz1568/getInfo.php?workbook=12_04.xlsx&amp;sheet=A0&amp;row=3179&amp;col=7&amp;number=0&amp;sourceID=14","0")</f>
        <v>0</v>
      </c>
    </row>
    <row r="3180" spans="1:7">
      <c r="A3180" s="3">
        <v>12</v>
      </c>
      <c r="B3180" s="3">
        <v>4</v>
      </c>
      <c r="C3180" s="3">
        <v>48</v>
      </c>
      <c r="D3180" s="3">
        <v>45</v>
      </c>
      <c r="E3180" s="3">
        <v>-473.856</v>
      </c>
      <c r="F3180" s="4" t="str">
        <f>HYPERLINK("http://141.218.60.56/~jnz1568/getInfo.php?workbook=12_04.xlsx&amp;sheet=A0&amp;row=3180&amp;col=6&amp;number=0.172&amp;sourceID=14","0.172")</f>
        <v>0.172</v>
      </c>
      <c r="G3180" s="4" t="str">
        <f>HYPERLINK("http://141.218.60.56/~jnz1568/getInfo.php?workbook=12_04.xlsx&amp;sheet=A0&amp;row=3180&amp;col=7&amp;number=0&amp;sourceID=14","0")</f>
        <v>0</v>
      </c>
    </row>
    <row r="3181" spans="1:7">
      <c r="A3181" s="3">
        <v>12</v>
      </c>
      <c r="B3181" s="3">
        <v>4</v>
      </c>
      <c r="C3181" s="3">
        <v>49</v>
      </c>
      <c r="D3181" s="3">
        <v>45</v>
      </c>
      <c r="E3181" s="3">
        <v>-443.338</v>
      </c>
      <c r="F3181" s="4" t="str">
        <f>HYPERLINK("http://141.218.60.56/~jnz1568/getInfo.php?workbook=12_04.xlsx&amp;sheet=A0&amp;row=3181&amp;col=6&amp;number=2.82e-06&amp;sourceID=14","2.82e-06")</f>
        <v>2.82e-06</v>
      </c>
      <c r="G3181" s="4" t="str">
        <f>HYPERLINK("http://141.218.60.56/~jnz1568/getInfo.php?workbook=12_04.xlsx&amp;sheet=A0&amp;row=3181&amp;col=7&amp;number=0&amp;sourceID=14","0")</f>
        <v>0</v>
      </c>
    </row>
    <row r="3182" spans="1:7">
      <c r="A3182" s="3">
        <v>12</v>
      </c>
      <c r="B3182" s="3">
        <v>4</v>
      </c>
      <c r="C3182" s="3">
        <v>50</v>
      </c>
      <c r="D3182" s="3">
        <v>45</v>
      </c>
      <c r="E3182" s="3">
        <v>-443.11</v>
      </c>
      <c r="F3182" s="4" t="str">
        <f>HYPERLINK("http://141.218.60.56/~jnz1568/getInfo.php?workbook=12_04.xlsx&amp;sheet=A0&amp;row=3182&amp;col=6&amp;number=76.5&amp;sourceID=14","76.5")</f>
        <v>76.5</v>
      </c>
      <c r="G3182" s="4" t="str">
        <f>HYPERLINK("http://141.218.60.56/~jnz1568/getInfo.php?workbook=12_04.xlsx&amp;sheet=A0&amp;row=3182&amp;col=7&amp;number=0&amp;sourceID=14","0")</f>
        <v>0</v>
      </c>
    </row>
    <row r="3183" spans="1:7">
      <c r="A3183" s="3">
        <v>12</v>
      </c>
      <c r="B3183" s="3">
        <v>4</v>
      </c>
      <c r="C3183" s="3">
        <v>51</v>
      </c>
      <c r="D3183" s="3">
        <v>45</v>
      </c>
      <c r="E3183" s="3">
        <v>-442.596</v>
      </c>
      <c r="F3183" s="4" t="str">
        <f>HYPERLINK("http://141.218.60.56/~jnz1568/getInfo.php?workbook=12_04.xlsx&amp;sheet=A0&amp;row=3183&amp;col=6&amp;number=0.978&amp;sourceID=14","0.978")</f>
        <v>0.978</v>
      </c>
      <c r="G3183" s="4" t="str">
        <f>HYPERLINK("http://141.218.60.56/~jnz1568/getInfo.php?workbook=12_04.xlsx&amp;sheet=A0&amp;row=3183&amp;col=7&amp;number=0&amp;sourceID=14","0")</f>
        <v>0</v>
      </c>
    </row>
    <row r="3184" spans="1:7">
      <c r="A3184" s="3">
        <v>12</v>
      </c>
      <c r="B3184" s="3">
        <v>4</v>
      </c>
      <c r="C3184" s="3">
        <v>52</v>
      </c>
      <c r="D3184" s="3">
        <v>45</v>
      </c>
      <c r="E3184" s="3">
        <v>427.37</v>
      </c>
      <c r="F3184" s="4" t="str">
        <f>HYPERLINK("http://141.218.60.56/~jnz1568/getInfo.php?workbook=12_04.xlsx&amp;sheet=A0&amp;row=3184&amp;col=6&amp;number=17900&amp;sourceID=14","17900")</f>
        <v>17900</v>
      </c>
      <c r="G3184" s="4" t="str">
        <f>HYPERLINK("http://141.218.60.56/~jnz1568/getInfo.php?workbook=12_04.xlsx&amp;sheet=A0&amp;row=3184&amp;col=7&amp;number=0&amp;sourceID=14","0")</f>
        <v>0</v>
      </c>
    </row>
    <row r="3185" spans="1:7">
      <c r="A3185" s="3">
        <v>12</v>
      </c>
      <c r="B3185" s="3">
        <v>4</v>
      </c>
      <c r="C3185" s="3">
        <v>53</v>
      </c>
      <c r="D3185" s="3">
        <v>45</v>
      </c>
      <c r="E3185" s="3">
        <v>407.698</v>
      </c>
      <c r="F3185" s="4" t="str">
        <f>HYPERLINK("http://141.218.60.56/~jnz1568/getInfo.php?workbook=12_04.xlsx&amp;sheet=A0&amp;row=3185&amp;col=6&amp;number=0.192&amp;sourceID=14","0.192")</f>
        <v>0.192</v>
      </c>
      <c r="G3185" s="4" t="str">
        <f>HYPERLINK("http://141.218.60.56/~jnz1568/getInfo.php?workbook=12_04.xlsx&amp;sheet=A0&amp;row=3185&amp;col=7&amp;number=0&amp;sourceID=14","0")</f>
        <v>0</v>
      </c>
    </row>
    <row r="3186" spans="1:7">
      <c r="A3186" s="3">
        <v>12</v>
      </c>
      <c r="B3186" s="3">
        <v>4</v>
      </c>
      <c r="C3186" s="3">
        <v>54</v>
      </c>
      <c r="D3186" s="3">
        <v>45</v>
      </c>
      <c r="E3186" s="3">
        <v>407.698</v>
      </c>
      <c r="F3186" s="4" t="str">
        <f>HYPERLINK("http://141.218.60.56/~jnz1568/getInfo.php?workbook=12_04.xlsx&amp;sheet=A0&amp;row=3186&amp;col=6&amp;number=291000&amp;sourceID=14","291000")</f>
        <v>291000</v>
      </c>
      <c r="G3186" s="4" t="str">
        <f>HYPERLINK("http://141.218.60.56/~jnz1568/getInfo.php?workbook=12_04.xlsx&amp;sheet=A0&amp;row=3186&amp;col=7&amp;number=0&amp;sourceID=14","0")</f>
        <v>0</v>
      </c>
    </row>
    <row r="3187" spans="1:7">
      <c r="A3187" s="3">
        <v>12</v>
      </c>
      <c r="B3187" s="3">
        <v>4</v>
      </c>
      <c r="C3187" s="3">
        <v>55</v>
      </c>
      <c r="D3187" s="3">
        <v>45</v>
      </c>
      <c r="E3187" s="3">
        <v>407.565</v>
      </c>
      <c r="F3187" s="4" t="str">
        <f>HYPERLINK("http://141.218.60.56/~jnz1568/getInfo.php?workbook=12_04.xlsx&amp;sheet=A0&amp;row=3187&amp;col=6&amp;number=12200&amp;sourceID=14","12200")</f>
        <v>12200</v>
      </c>
      <c r="G3187" s="4" t="str">
        <f>HYPERLINK("http://141.218.60.56/~jnz1568/getInfo.php?workbook=12_04.xlsx&amp;sheet=A0&amp;row=3187&amp;col=7&amp;number=0&amp;sourceID=14","0")</f>
        <v>0</v>
      </c>
    </row>
    <row r="3188" spans="1:7">
      <c r="A3188" s="3">
        <v>12</v>
      </c>
      <c r="B3188" s="3">
        <v>4</v>
      </c>
      <c r="C3188" s="3">
        <v>56</v>
      </c>
      <c r="D3188" s="3">
        <v>45</v>
      </c>
      <c r="E3188" s="3">
        <v>394.945</v>
      </c>
      <c r="F3188" s="4" t="str">
        <f>HYPERLINK("http://141.218.60.56/~jnz1568/getInfo.php?workbook=12_04.xlsx&amp;sheet=A0&amp;row=3188&amp;col=6&amp;number=506000000&amp;sourceID=14","506000000")</f>
        <v>506000000</v>
      </c>
      <c r="G3188" s="4" t="str">
        <f>HYPERLINK("http://141.218.60.56/~jnz1568/getInfo.php?workbook=12_04.xlsx&amp;sheet=A0&amp;row=3188&amp;col=7&amp;number=0&amp;sourceID=14","0")</f>
        <v>0</v>
      </c>
    </row>
    <row r="3189" spans="1:7">
      <c r="A3189" s="3">
        <v>12</v>
      </c>
      <c r="B3189" s="3">
        <v>4</v>
      </c>
      <c r="C3189" s="3">
        <v>57</v>
      </c>
      <c r="D3189" s="3">
        <v>45</v>
      </c>
      <c r="E3189" s="3">
        <v>-402.255</v>
      </c>
      <c r="F3189" s="4" t="str">
        <f>HYPERLINK("http://141.218.60.56/~jnz1568/getInfo.php?workbook=12_04.xlsx&amp;sheet=A0&amp;row=3189&amp;col=6&amp;number=0.282&amp;sourceID=14","0.282")</f>
        <v>0.282</v>
      </c>
      <c r="G3189" s="4" t="str">
        <f>HYPERLINK("http://141.218.60.56/~jnz1568/getInfo.php?workbook=12_04.xlsx&amp;sheet=A0&amp;row=3189&amp;col=7&amp;number=0&amp;sourceID=14","0")</f>
        <v>0</v>
      </c>
    </row>
    <row r="3190" spans="1:7">
      <c r="A3190" s="3">
        <v>12</v>
      </c>
      <c r="B3190" s="3">
        <v>4</v>
      </c>
      <c r="C3190" s="3">
        <v>58</v>
      </c>
      <c r="D3190" s="3">
        <v>45</v>
      </c>
      <c r="E3190" s="3">
        <v>-402.208</v>
      </c>
      <c r="F3190" s="4" t="str">
        <f>HYPERLINK("http://141.218.60.56/~jnz1568/getInfo.php?workbook=12_04.xlsx&amp;sheet=A0&amp;row=3190&amp;col=6&amp;number=0.946&amp;sourceID=14","0.946")</f>
        <v>0.946</v>
      </c>
      <c r="G3190" s="4" t="str">
        <f>HYPERLINK("http://141.218.60.56/~jnz1568/getInfo.php?workbook=12_04.xlsx&amp;sheet=A0&amp;row=3190&amp;col=7&amp;number=0&amp;sourceID=14","0")</f>
        <v>0</v>
      </c>
    </row>
    <row r="3191" spans="1:7">
      <c r="A3191" s="3">
        <v>12</v>
      </c>
      <c r="B3191" s="3">
        <v>4</v>
      </c>
      <c r="C3191" s="3">
        <v>59</v>
      </c>
      <c r="D3191" s="3">
        <v>45</v>
      </c>
      <c r="E3191" s="3">
        <v>-402.147</v>
      </c>
      <c r="F3191" s="4" t="str">
        <f>HYPERLINK("http://141.218.60.56/~jnz1568/getInfo.php?workbook=12_04.xlsx&amp;sheet=A0&amp;row=3191&amp;col=6&amp;number=0.304&amp;sourceID=14","0.304")</f>
        <v>0.304</v>
      </c>
      <c r="G3191" s="4" t="str">
        <f>HYPERLINK("http://141.218.60.56/~jnz1568/getInfo.php?workbook=12_04.xlsx&amp;sheet=A0&amp;row=3191&amp;col=7&amp;number=0&amp;sourceID=14","0")</f>
        <v>0</v>
      </c>
    </row>
    <row r="3192" spans="1:7">
      <c r="A3192" s="3">
        <v>12</v>
      </c>
      <c r="B3192" s="3">
        <v>4</v>
      </c>
      <c r="C3192" s="3">
        <v>60</v>
      </c>
      <c r="D3192" s="3">
        <v>45</v>
      </c>
      <c r="E3192" s="3">
        <v>-398.103</v>
      </c>
      <c r="F3192" s="4" t="str">
        <f>HYPERLINK("http://141.218.60.56/~jnz1568/getInfo.php?workbook=12_04.xlsx&amp;sheet=A0&amp;row=3192&amp;col=6&amp;number=2000&amp;sourceID=14","2000")</f>
        <v>2000</v>
      </c>
      <c r="G3192" s="4" t="str">
        <f>HYPERLINK("http://141.218.60.56/~jnz1568/getInfo.php?workbook=12_04.xlsx&amp;sheet=A0&amp;row=3192&amp;col=7&amp;number=0&amp;sourceID=14","0")</f>
        <v>0</v>
      </c>
    </row>
    <row r="3193" spans="1:7">
      <c r="A3193" s="3">
        <v>12</v>
      </c>
      <c r="B3193" s="3">
        <v>4</v>
      </c>
      <c r="C3193" s="3">
        <v>61</v>
      </c>
      <c r="D3193" s="3">
        <v>45</v>
      </c>
      <c r="E3193" s="3">
        <v>-272.554</v>
      </c>
      <c r="F3193" s="4" t="str">
        <f>HYPERLINK("http://141.218.60.56/~jnz1568/getInfo.php?workbook=12_04.xlsx&amp;sheet=A0&amp;row=3193&amp;col=6&amp;number=0.000278&amp;sourceID=14","0.000278")</f>
        <v>0.000278</v>
      </c>
      <c r="G3193" s="4" t="str">
        <f>HYPERLINK("http://141.218.60.56/~jnz1568/getInfo.php?workbook=12_04.xlsx&amp;sheet=A0&amp;row=3193&amp;col=7&amp;number=0&amp;sourceID=14","0")</f>
        <v>0</v>
      </c>
    </row>
    <row r="3194" spans="1:7">
      <c r="A3194" s="3">
        <v>12</v>
      </c>
      <c r="B3194" s="3">
        <v>4</v>
      </c>
      <c r="C3194" s="3">
        <v>62</v>
      </c>
      <c r="D3194" s="3">
        <v>45</v>
      </c>
      <c r="E3194" s="3">
        <v>-271.873</v>
      </c>
      <c r="F3194" s="4" t="str">
        <f>HYPERLINK("http://141.218.60.56/~jnz1568/getInfo.php?workbook=12_04.xlsx&amp;sheet=A0&amp;row=3194&amp;col=6&amp;number=10500&amp;sourceID=14","10500")</f>
        <v>10500</v>
      </c>
      <c r="G3194" s="4" t="str">
        <f>HYPERLINK("http://141.218.60.56/~jnz1568/getInfo.php?workbook=12_04.xlsx&amp;sheet=A0&amp;row=3194&amp;col=7&amp;number=0&amp;sourceID=14","0")</f>
        <v>0</v>
      </c>
    </row>
    <row r="3195" spans="1:7">
      <c r="A3195" s="3">
        <v>12</v>
      </c>
      <c r="B3195" s="3">
        <v>4</v>
      </c>
      <c r="C3195" s="3">
        <v>63</v>
      </c>
      <c r="D3195" s="3">
        <v>45</v>
      </c>
      <c r="E3195" s="3">
        <v>-269.688</v>
      </c>
      <c r="F3195" s="4" t="str">
        <f>HYPERLINK("http://141.218.60.56/~jnz1568/getInfo.php?workbook=12_04.xlsx&amp;sheet=A0&amp;row=3195&amp;col=6&amp;number=46.8&amp;sourceID=14","46.8")</f>
        <v>46.8</v>
      </c>
      <c r="G3195" s="4" t="str">
        <f>HYPERLINK("http://141.218.60.56/~jnz1568/getInfo.php?workbook=12_04.xlsx&amp;sheet=A0&amp;row=3195&amp;col=7&amp;number=0&amp;sourceID=14","0")</f>
        <v>0</v>
      </c>
    </row>
    <row r="3196" spans="1:7">
      <c r="A3196" s="3">
        <v>12</v>
      </c>
      <c r="B3196" s="3">
        <v>4</v>
      </c>
      <c r="C3196" s="3">
        <v>64</v>
      </c>
      <c r="D3196" s="3">
        <v>45</v>
      </c>
      <c r="E3196" s="3">
        <v>-265.226</v>
      </c>
      <c r="F3196" s="4" t="str">
        <f>HYPERLINK("http://141.218.60.56/~jnz1568/getInfo.php?workbook=12_04.xlsx&amp;sheet=A0&amp;row=3196&amp;col=6&amp;number=377000&amp;sourceID=14","377000")</f>
        <v>377000</v>
      </c>
      <c r="G3196" s="4" t="str">
        <f>HYPERLINK("http://141.218.60.56/~jnz1568/getInfo.php?workbook=12_04.xlsx&amp;sheet=A0&amp;row=3196&amp;col=7&amp;number=0&amp;sourceID=14","0")</f>
        <v>0</v>
      </c>
    </row>
    <row r="3197" spans="1:7">
      <c r="A3197" s="3">
        <v>12</v>
      </c>
      <c r="B3197" s="3">
        <v>4</v>
      </c>
      <c r="C3197" s="3">
        <v>65</v>
      </c>
      <c r="D3197" s="3">
        <v>45</v>
      </c>
      <c r="E3197" s="3">
        <v>-260.034</v>
      </c>
      <c r="F3197" s="4" t="str">
        <f>HYPERLINK("http://141.218.60.56/~jnz1568/getInfo.php?workbook=12_04.xlsx&amp;sheet=A0&amp;row=3197&amp;col=6&amp;number=8.19&amp;sourceID=14","8.19")</f>
        <v>8.19</v>
      </c>
      <c r="G3197" s="4" t="str">
        <f>HYPERLINK("http://141.218.60.56/~jnz1568/getInfo.php?workbook=12_04.xlsx&amp;sheet=A0&amp;row=3197&amp;col=7&amp;number=0&amp;sourceID=14","0")</f>
        <v>0</v>
      </c>
    </row>
    <row r="3198" spans="1:7">
      <c r="A3198" s="3">
        <v>12</v>
      </c>
      <c r="B3198" s="3">
        <v>4</v>
      </c>
      <c r="C3198" s="3">
        <v>66</v>
      </c>
      <c r="D3198" s="3">
        <v>45</v>
      </c>
      <c r="E3198" s="3">
        <v>-258.32</v>
      </c>
      <c r="F3198" s="4" t="str">
        <f>HYPERLINK("http://141.218.60.56/~jnz1568/getInfo.php?workbook=12_04.xlsx&amp;sheet=A0&amp;row=3198&amp;col=6&amp;number=9.63&amp;sourceID=14","9.63")</f>
        <v>9.63</v>
      </c>
      <c r="G3198" s="4" t="str">
        <f>HYPERLINK("http://141.218.60.56/~jnz1568/getInfo.php?workbook=12_04.xlsx&amp;sheet=A0&amp;row=3198&amp;col=7&amp;number=0&amp;sourceID=14","0")</f>
        <v>0</v>
      </c>
    </row>
    <row r="3199" spans="1:7">
      <c r="A3199" s="3">
        <v>12</v>
      </c>
      <c r="B3199" s="3">
        <v>4</v>
      </c>
      <c r="C3199" s="3">
        <v>67</v>
      </c>
      <c r="D3199" s="3">
        <v>45</v>
      </c>
      <c r="E3199" s="3">
        <v>-258.02</v>
      </c>
      <c r="F3199" s="4" t="str">
        <f>HYPERLINK("http://141.218.60.56/~jnz1568/getInfo.php?workbook=12_04.xlsx&amp;sheet=A0&amp;row=3199&amp;col=6&amp;number=29200000&amp;sourceID=14","29200000")</f>
        <v>29200000</v>
      </c>
      <c r="G3199" s="4" t="str">
        <f>HYPERLINK("http://141.218.60.56/~jnz1568/getInfo.php?workbook=12_04.xlsx&amp;sheet=A0&amp;row=3199&amp;col=7&amp;number=0&amp;sourceID=14","0")</f>
        <v>0</v>
      </c>
    </row>
    <row r="3200" spans="1:7">
      <c r="A3200" s="3">
        <v>12</v>
      </c>
      <c r="B3200" s="3">
        <v>4</v>
      </c>
      <c r="C3200" s="3">
        <v>68</v>
      </c>
      <c r="D3200" s="3">
        <v>45</v>
      </c>
      <c r="E3200" s="3">
        <v>253.139</v>
      </c>
      <c r="F3200" s="4" t="str">
        <f>HYPERLINK("http://141.218.60.56/~jnz1568/getInfo.php?workbook=12_04.xlsx&amp;sheet=A0&amp;row=3200&amp;col=6&amp;number=473000&amp;sourceID=14","473000")</f>
        <v>473000</v>
      </c>
      <c r="G3200" s="4" t="str">
        <f>HYPERLINK("http://141.218.60.56/~jnz1568/getInfo.php?workbook=12_04.xlsx&amp;sheet=A0&amp;row=3200&amp;col=7&amp;number=0&amp;sourceID=14","0")</f>
        <v>0</v>
      </c>
    </row>
    <row r="3201" spans="1:7">
      <c r="A3201" s="3">
        <v>12</v>
      </c>
      <c r="B3201" s="3">
        <v>4</v>
      </c>
      <c r="C3201" s="3">
        <v>69</v>
      </c>
      <c r="D3201" s="3">
        <v>45</v>
      </c>
      <c r="E3201" s="3">
        <v>-254.516</v>
      </c>
      <c r="F3201" s="4" t="str">
        <f>HYPERLINK("http://141.218.60.56/~jnz1568/getInfo.php?workbook=12_04.xlsx&amp;sheet=A0&amp;row=3201&amp;col=6&amp;number=1.06&amp;sourceID=14","1.06")</f>
        <v>1.06</v>
      </c>
      <c r="G3201" s="4" t="str">
        <f>HYPERLINK("http://141.218.60.56/~jnz1568/getInfo.php?workbook=12_04.xlsx&amp;sheet=A0&amp;row=3201&amp;col=7&amp;number=0&amp;sourceID=14","0")</f>
        <v>0</v>
      </c>
    </row>
    <row r="3202" spans="1:7">
      <c r="A3202" s="3">
        <v>12</v>
      </c>
      <c r="B3202" s="3">
        <v>4</v>
      </c>
      <c r="C3202" s="3">
        <v>70</v>
      </c>
      <c r="D3202" s="3">
        <v>45</v>
      </c>
      <c r="E3202" s="3">
        <v>-254.107</v>
      </c>
      <c r="F3202" s="4" t="str">
        <f>HYPERLINK("http://141.218.60.56/~jnz1568/getInfo.php?workbook=12_04.xlsx&amp;sheet=A0&amp;row=3202&amp;col=6&amp;number=0.0545&amp;sourceID=14","0.0545")</f>
        <v>0.0545</v>
      </c>
      <c r="G3202" s="4" t="str">
        <f>HYPERLINK("http://141.218.60.56/~jnz1568/getInfo.php?workbook=12_04.xlsx&amp;sheet=A0&amp;row=3202&amp;col=7&amp;number=0&amp;sourceID=14","0")</f>
        <v>0</v>
      </c>
    </row>
    <row r="3203" spans="1:7">
      <c r="A3203" s="3">
        <v>12</v>
      </c>
      <c r="B3203" s="3">
        <v>4</v>
      </c>
      <c r="C3203" s="3">
        <v>71</v>
      </c>
      <c r="D3203" s="3">
        <v>45</v>
      </c>
      <c r="E3203" s="3">
        <v>-252.866</v>
      </c>
      <c r="F3203" s="4" t="str">
        <f>HYPERLINK("http://141.218.60.56/~jnz1568/getInfo.php?workbook=12_04.xlsx&amp;sheet=A0&amp;row=3203&amp;col=6&amp;number=0.0289&amp;sourceID=14","0.0289")</f>
        <v>0.0289</v>
      </c>
      <c r="G3203" s="4" t="str">
        <f>HYPERLINK("http://141.218.60.56/~jnz1568/getInfo.php?workbook=12_04.xlsx&amp;sheet=A0&amp;row=3203&amp;col=7&amp;number=0&amp;sourceID=14","0")</f>
        <v>0</v>
      </c>
    </row>
    <row r="3204" spans="1:7">
      <c r="A3204" s="3">
        <v>12</v>
      </c>
      <c r="B3204" s="3">
        <v>4</v>
      </c>
      <c r="C3204" s="3">
        <v>72</v>
      </c>
      <c r="D3204" s="3">
        <v>45</v>
      </c>
      <c r="E3204" s="3">
        <v>249.589</v>
      </c>
      <c r="F3204" s="4" t="str">
        <f>HYPERLINK("http://141.218.60.56/~jnz1568/getInfo.php?workbook=12_04.xlsx&amp;sheet=A0&amp;row=3204&amp;col=6&amp;number=50600000&amp;sourceID=14","50600000")</f>
        <v>50600000</v>
      </c>
      <c r="G3204" s="4" t="str">
        <f>HYPERLINK("http://141.218.60.56/~jnz1568/getInfo.php?workbook=12_04.xlsx&amp;sheet=A0&amp;row=3204&amp;col=7&amp;number=0&amp;sourceID=14","0")</f>
        <v>0</v>
      </c>
    </row>
    <row r="3205" spans="1:7">
      <c r="A3205" s="3">
        <v>12</v>
      </c>
      <c r="B3205" s="3">
        <v>4</v>
      </c>
      <c r="C3205" s="3">
        <v>73</v>
      </c>
      <c r="D3205" s="3">
        <v>45</v>
      </c>
      <c r="E3205" s="3">
        <v>-250.646</v>
      </c>
      <c r="F3205" s="4" t="str">
        <f>HYPERLINK("http://141.218.60.56/~jnz1568/getInfo.php?workbook=12_04.xlsx&amp;sheet=A0&amp;row=3205&amp;col=6&amp;number=71000&amp;sourceID=14","71000")</f>
        <v>71000</v>
      </c>
      <c r="G3205" s="4" t="str">
        <f>HYPERLINK("http://141.218.60.56/~jnz1568/getInfo.php?workbook=12_04.xlsx&amp;sheet=A0&amp;row=3205&amp;col=7&amp;number=0&amp;sourceID=14","0")</f>
        <v>0</v>
      </c>
    </row>
    <row r="3206" spans="1:7">
      <c r="A3206" s="3">
        <v>12</v>
      </c>
      <c r="B3206" s="3">
        <v>4</v>
      </c>
      <c r="C3206" s="3">
        <v>74</v>
      </c>
      <c r="D3206" s="3">
        <v>45</v>
      </c>
      <c r="E3206" s="3">
        <v>-249.452</v>
      </c>
      <c r="F3206" s="4" t="str">
        <f>HYPERLINK("http://141.218.60.56/~jnz1568/getInfo.php?workbook=12_04.xlsx&amp;sheet=A0&amp;row=3206&amp;col=6&amp;number=1350&amp;sourceID=14","1350")</f>
        <v>1350</v>
      </c>
      <c r="G3206" s="4" t="str">
        <f>HYPERLINK("http://141.218.60.56/~jnz1568/getInfo.php?workbook=12_04.xlsx&amp;sheet=A0&amp;row=3206&amp;col=7&amp;number=0&amp;sourceID=14","0")</f>
        <v>0</v>
      </c>
    </row>
    <row r="3207" spans="1:7">
      <c r="A3207" s="3">
        <v>12</v>
      </c>
      <c r="B3207" s="3">
        <v>4</v>
      </c>
      <c r="C3207" s="3">
        <v>75</v>
      </c>
      <c r="D3207" s="3">
        <v>45</v>
      </c>
      <c r="E3207" s="3">
        <v>245.991</v>
      </c>
      <c r="F3207" s="4" t="str">
        <f>HYPERLINK("http://141.218.60.56/~jnz1568/getInfo.php?workbook=12_04.xlsx&amp;sheet=A0&amp;row=3207&amp;col=6&amp;number=178000&amp;sourceID=14","178000")</f>
        <v>178000</v>
      </c>
      <c r="G3207" s="4" t="str">
        <f>HYPERLINK("http://141.218.60.56/~jnz1568/getInfo.php?workbook=12_04.xlsx&amp;sheet=A0&amp;row=3207&amp;col=7&amp;number=0&amp;sourceID=14","0")</f>
        <v>0</v>
      </c>
    </row>
    <row r="3208" spans="1:7">
      <c r="A3208" s="3">
        <v>12</v>
      </c>
      <c r="B3208" s="3">
        <v>4</v>
      </c>
      <c r="C3208" s="3">
        <v>76</v>
      </c>
      <c r="D3208" s="3">
        <v>45</v>
      </c>
      <c r="E3208" s="3">
        <v>246.07</v>
      </c>
      <c r="F3208" s="4" t="str">
        <f>HYPERLINK("http://141.218.60.56/~jnz1568/getInfo.php?workbook=12_04.xlsx&amp;sheet=A0&amp;row=3208&amp;col=6&amp;number=4620000000&amp;sourceID=14","4620000000")</f>
        <v>4620000000</v>
      </c>
      <c r="G3208" s="4" t="str">
        <f>HYPERLINK("http://141.218.60.56/~jnz1568/getInfo.php?workbook=12_04.xlsx&amp;sheet=A0&amp;row=3208&amp;col=7&amp;number=0&amp;sourceID=14","0")</f>
        <v>0</v>
      </c>
    </row>
    <row r="3209" spans="1:7">
      <c r="A3209" s="3">
        <v>12</v>
      </c>
      <c r="B3209" s="3">
        <v>4</v>
      </c>
      <c r="C3209" s="3">
        <v>77</v>
      </c>
      <c r="D3209" s="3">
        <v>45</v>
      </c>
      <c r="E3209" s="3">
        <v>-248.106</v>
      </c>
      <c r="F3209" s="4" t="str">
        <f>HYPERLINK("http://141.218.60.56/~jnz1568/getInfo.php?workbook=12_04.xlsx&amp;sheet=A0&amp;row=3209&amp;col=6&amp;number=49.7&amp;sourceID=14","49.7")</f>
        <v>49.7</v>
      </c>
      <c r="G3209" s="4" t="str">
        <f>HYPERLINK("http://141.218.60.56/~jnz1568/getInfo.php?workbook=12_04.xlsx&amp;sheet=A0&amp;row=3209&amp;col=7&amp;number=0&amp;sourceID=14","0")</f>
        <v>0</v>
      </c>
    </row>
    <row r="3210" spans="1:7">
      <c r="A3210" s="3">
        <v>12</v>
      </c>
      <c r="B3210" s="3">
        <v>4</v>
      </c>
      <c r="C3210" s="3">
        <v>78</v>
      </c>
      <c r="D3210" s="3">
        <v>45</v>
      </c>
      <c r="E3210" s="3">
        <v>-246.27</v>
      </c>
      <c r="F3210" s="4" t="str">
        <f>HYPERLINK("http://141.218.60.56/~jnz1568/getInfo.php?workbook=12_04.xlsx&amp;sheet=A0&amp;row=3210&amp;col=6&amp;number=257&amp;sourceID=14","257")</f>
        <v>257</v>
      </c>
      <c r="G3210" s="4" t="str">
        <f>HYPERLINK("http://141.218.60.56/~jnz1568/getInfo.php?workbook=12_04.xlsx&amp;sheet=A0&amp;row=3210&amp;col=7&amp;number=0&amp;sourceID=14","0")</f>
        <v>0</v>
      </c>
    </row>
    <row r="3211" spans="1:7">
      <c r="A3211" s="3">
        <v>12</v>
      </c>
      <c r="B3211" s="3">
        <v>4</v>
      </c>
      <c r="C3211" s="3">
        <v>79</v>
      </c>
      <c r="D3211" s="3">
        <v>45</v>
      </c>
      <c r="E3211" s="3">
        <v>-245.895</v>
      </c>
      <c r="F3211" s="4" t="str">
        <f>HYPERLINK("http://141.218.60.56/~jnz1568/getInfo.php?workbook=12_04.xlsx&amp;sheet=A0&amp;row=3211&amp;col=6&amp;number=13500&amp;sourceID=14","13500")</f>
        <v>13500</v>
      </c>
      <c r="G3211" s="4" t="str">
        <f>HYPERLINK("http://141.218.60.56/~jnz1568/getInfo.php?workbook=12_04.xlsx&amp;sheet=A0&amp;row=3211&amp;col=7&amp;number=0&amp;sourceID=14","0")</f>
        <v>0</v>
      </c>
    </row>
    <row r="3212" spans="1:7">
      <c r="A3212" s="3">
        <v>12</v>
      </c>
      <c r="B3212" s="3">
        <v>4</v>
      </c>
      <c r="C3212" s="3">
        <v>80</v>
      </c>
      <c r="D3212" s="3">
        <v>45</v>
      </c>
      <c r="E3212" s="3">
        <v>-245.147</v>
      </c>
      <c r="F3212" s="4" t="str">
        <f>HYPERLINK("http://141.218.60.56/~jnz1568/getInfo.php?workbook=12_04.xlsx&amp;sheet=A0&amp;row=3212&amp;col=6&amp;number=8730000000&amp;sourceID=14","8730000000")</f>
        <v>8730000000</v>
      </c>
      <c r="G3212" s="4" t="str">
        <f>HYPERLINK("http://141.218.60.56/~jnz1568/getInfo.php?workbook=12_04.xlsx&amp;sheet=A0&amp;row=3212&amp;col=7&amp;number=0&amp;sourceID=14","0")</f>
        <v>0</v>
      </c>
    </row>
    <row r="3213" spans="1:7">
      <c r="A3213" s="3">
        <v>12</v>
      </c>
      <c r="B3213" s="3">
        <v>4</v>
      </c>
      <c r="C3213" s="3">
        <v>81</v>
      </c>
      <c r="D3213" s="3">
        <v>45</v>
      </c>
      <c r="E3213" s="3">
        <v>241.803</v>
      </c>
      <c r="F3213" s="4" t="str">
        <f>HYPERLINK("http://141.218.60.56/~jnz1568/getInfo.php?workbook=12_04.xlsx&amp;sheet=A0&amp;row=3213&amp;col=6&amp;number=1120&amp;sourceID=14","1120")</f>
        <v>1120</v>
      </c>
      <c r="G3213" s="4" t="str">
        <f>HYPERLINK("http://141.218.60.56/~jnz1568/getInfo.php?workbook=12_04.xlsx&amp;sheet=A0&amp;row=3213&amp;col=7&amp;number=0&amp;sourceID=14","0")</f>
        <v>0</v>
      </c>
    </row>
    <row r="3214" spans="1:7">
      <c r="A3214" s="3">
        <v>12</v>
      </c>
      <c r="B3214" s="3">
        <v>4</v>
      </c>
      <c r="C3214" s="3">
        <v>82</v>
      </c>
      <c r="D3214" s="3">
        <v>45</v>
      </c>
      <c r="E3214" s="3">
        <v>-244.93</v>
      </c>
      <c r="F3214" s="4" t="str">
        <f>HYPERLINK("http://141.218.60.56/~jnz1568/getInfo.php?workbook=12_04.xlsx&amp;sheet=A0&amp;row=3214&amp;col=6&amp;number=2870000&amp;sourceID=14","2870000")</f>
        <v>2870000</v>
      </c>
      <c r="G3214" s="4" t="str">
        <f>HYPERLINK("http://141.218.60.56/~jnz1568/getInfo.php?workbook=12_04.xlsx&amp;sheet=A0&amp;row=3214&amp;col=7&amp;number=0&amp;sourceID=14","0")</f>
        <v>0</v>
      </c>
    </row>
    <row r="3215" spans="1:7">
      <c r="A3215" s="3">
        <v>12</v>
      </c>
      <c r="B3215" s="3">
        <v>4</v>
      </c>
      <c r="C3215" s="3">
        <v>83</v>
      </c>
      <c r="D3215" s="3">
        <v>45</v>
      </c>
      <c r="E3215" s="3">
        <v>-244.927</v>
      </c>
      <c r="F3215" s="4" t="str">
        <f>HYPERLINK("http://141.218.60.56/~jnz1568/getInfo.php?workbook=12_04.xlsx&amp;sheet=A0&amp;row=3215&amp;col=6&amp;number=127000000&amp;sourceID=14","127000000")</f>
        <v>127000000</v>
      </c>
      <c r="G3215" s="4" t="str">
        <f>HYPERLINK("http://141.218.60.56/~jnz1568/getInfo.php?workbook=12_04.xlsx&amp;sheet=A0&amp;row=3215&amp;col=7&amp;number=0&amp;sourceID=14","0")</f>
        <v>0</v>
      </c>
    </row>
    <row r="3216" spans="1:7">
      <c r="A3216" s="3">
        <v>12</v>
      </c>
      <c r="B3216" s="3">
        <v>4</v>
      </c>
      <c r="C3216" s="3">
        <v>84</v>
      </c>
      <c r="D3216" s="3">
        <v>45</v>
      </c>
      <c r="E3216" s="3">
        <v>-244.732</v>
      </c>
      <c r="F3216" s="4" t="str">
        <f>HYPERLINK("http://141.218.60.56/~jnz1568/getInfo.php?workbook=12_04.xlsx&amp;sheet=A0&amp;row=3216&amp;col=6&amp;number=4500000000&amp;sourceID=14","4500000000")</f>
        <v>4500000000</v>
      </c>
      <c r="G3216" s="4" t="str">
        <f>HYPERLINK("http://141.218.60.56/~jnz1568/getInfo.php?workbook=12_04.xlsx&amp;sheet=A0&amp;row=3216&amp;col=7&amp;number=0&amp;sourceID=14","0")</f>
        <v>0</v>
      </c>
    </row>
    <row r="3217" spans="1:7">
      <c r="A3217" s="3">
        <v>12</v>
      </c>
      <c r="B3217" s="3">
        <v>4</v>
      </c>
      <c r="C3217" s="3">
        <v>85</v>
      </c>
      <c r="D3217" s="3">
        <v>45</v>
      </c>
      <c r="E3217" s="3">
        <v>241.104</v>
      </c>
      <c r="F3217" s="4" t="str">
        <f>HYPERLINK("http://141.218.60.56/~jnz1568/getInfo.php?workbook=12_04.xlsx&amp;sheet=A0&amp;row=3217&amp;col=6&amp;number=4330&amp;sourceID=14","4330")</f>
        <v>4330</v>
      </c>
      <c r="G3217" s="4" t="str">
        <f>HYPERLINK("http://141.218.60.56/~jnz1568/getInfo.php?workbook=12_04.xlsx&amp;sheet=A0&amp;row=3217&amp;col=7&amp;number=0&amp;sourceID=14","0")</f>
        <v>0</v>
      </c>
    </row>
    <row r="3218" spans="1:7">
      <c r="A3218" s="3">
        <v>12</v>
      </c>
      <c r="B3218" s="3">
        <v>4</v>
      </c>
      <c r="C3218" s="3">
        <v>86</v>
      </c>
      <c r="D3218" s="3">
        <v>45</v>
      </c>
      <c r="E3218" s="3">
        <v>240.802</v>
      </c>
      <c r="F3218" s="4" t="str">
        <f>HYPERLINK("http://141.218.60.56/~jnz1568/getInfo.php?workbook=12_04.xlsx&amp;sheet=A0&amp;row=3218&amp;col=6&amp;number=11.9&amp;sourceID=14","11.9")</f>
        <v>11.9</v>
      </c>
      <c r="G3218" s="4" t="str">
        <f>HYPERLINK("http://141.218.60.56/~jnz1568/getInfo.php?workbook=12_04.xlsx&amp;sheet=A0&amp;row=3218&amp;col=7&amp;number=0&amp;sourceID=14","0")</f>
        <v>0</v>
      </c>
    </row>
    <row r="3219" spans="1:7">
      <c r="A3219" s="3">
        <v>12</v>
      </c>
      <c r="B3219" s="3">
        <v>4</v>
      </c>
      <c r="C3219" s="3">
        <v>87</v>
      </c>
      <c r="D3219" s="3">
        <v>45</v>
      </c>
      <c r="E3219" s="3">
        <v>-243.285</v>
      </c>
      <c r="F3219" s="4" t="str">
        <f>HYPERLINK("http://141.218.60.56/~jnz1568/getInfo.php?workbook=12_04.xlsx&amp;sheet=A0&amp;row=3219&amp;col=6&amp;number=6.24e-05&amp;sourceID=14","6.24e-05")</f>
        <v>6.24e-05</v>
      </c>
      <c r="G3219" s="4" t="str">
        <f>HYPERLINK("http://141.218.60.56/~jnz1568/getInfo.php?workbook=12_04.xlsx&amp;sheet=A0&amp;row=3219&amp;col=7&amp;number=0&amp;sourceID=14","0")</f>
        <v>0</v>
      </c>
    </row>
    <row r="3220" spans="1:7">
      <c r="A3220" s="3">
        <v>12</v>
      </c>
      <c r="B3220" s="3">
        <v>4</v>
      </c>
      <c r="C3220" s="3">
        <v>88</v>
      </c>
      <c r="D3220" s="3">
        <v>45</v>
      </c>
      <c r="E3220" s="3">
        <v>-242.823</v>
      </c>
      <c r="F3220" s="4" t="str">
        <f>HYPERLINK("http://141.218.60.56/~jnz1568/getInfo.php?workbook=12_04.xlsx&amp;sheet=A0&amp;row=3220&amp;col=6&amp;number=2130000000&amp;sourceID=14","2130000000")</f>
        <v>2130000000</v>
      </c>
      <c r="G3220" s="4" t="str">
        <f>HYPERLINK("http://141.218.60.56/~jnz1568/getInfo.php?workbook=12_04.xlsx&amp;sheet=A0&amp;row=3220&amp;col=7&amp;number=0&amp;sourceID=14","0")</f>
        <v>0</v>
      </c>
    </row>
    <row r="3221" spans="1:7">
      <c r="A3221" s="3">
        <v>12</v>
      </c>
      <c r="B3221" s="3">
        <v>4</v>
      </c>
      <c r="C3221" s="3">
        <v>89</v>
      </c>
      <c r="D3221" s="3">
        <v>45</v>
      </c>
      <c r="E3221" s="3">
        <v>-242.55</v>
      </c>
      <c r="F3221" s="4" t="str">
        <f>HYPERLINK("http://141.218.60.56/~jnz1568/getInfo.php?workbook=12_04.xlsx&amp;sheet=A0&amp;row=3221&amp;col=6&amp;number=6190000000&amp;sourceID=14","6190000000")</f>
        <v>6190000000</v>
      </c>
      <c r="G3221" s="4" t="str">
        <f>HYPERLINK("http://141.218.60.56/~jnz1568/getInfo.php?workbook=12_04.xlsx&amp;sheet=A0&amp;row=3221&amp;col=7&amp;number=0&amp;sourceID=14","0")</f>
        <v>0</v>
      </c>
    </row>
    <row r="3222" spans="1:7">
      <c r="A3222" s="3">
        <v>12</v>
      </c>
      <c r="B3222" s="3">
        <v>4</v>
      </c>
      <c r="C3222" s="3">
        <v>90</v>
      </c>
      <c r="D3222" s="3">
        <v>45</v>
      </c>
      <c r="E3222" s="3">
        <v>-241.744</v>
      </c>
      <c r="F3222" s="4" t="str">
        <f>HYPERLINK("http://141.218.60.56/~jnz1568/getInfo.php?workbook=12_04.xlsx&amp;sheet=A0&amp;row=3222&amp;col=6&amp;number=74.3&amp;sourceID=14","74.3")</f>
        <v>74.3</v>
      </c>
      <c r="G3222" s="4" t="str">
        <f>HYPERLINK("http://141.218.60.56/~jnz1568/getInfo.php?workbook=12_04.xlsx&amp;sheet=A0&amp;row=3222&amp;col=7&amp;number=0&amp;sourceID=14","0")</f>
        <v>0</v>
      </c>
    </row>
    <row r="3223" spans="1:7">
      <c r="A3223" s="3">
        <v>12</v>
      </c>
      <c r="B3223" s="3">
        <v>4</v>
      </c>
      <c r="C3223" s="3">
        <v>91</v>
      </c>
      <c r="D3223" s="3">
        <v>45</v>
      </c>
      <c r="E3223" s="3">
        <v>-241.034</v>
      </c>
      <c r="F3223" s="4" t="str">
        <f>HYPERLINK("http://141.218.60.56/~jnz1568/getInfo.php?workbook=12_04.xlsx&amp;sheet=A0&amp;row=3223&amp;col=6&amp;number=612000000&amp;sourceID=14","612000000")</f>
        <v>612000000</v>
      </c>
      <c r="G3223" s="4" t="str">
        <f>HYPERLINK("http://141.218.60.56/~jnz1568/getInfo.php?workbook=12_04.xlsx&amp;sheet=A0&amp;row=3223&amp;col=7&amp;number=0&amp;sourceID=14","0")</f>
        <v>0</v>
      </c>
    </row>
    <row r="3224" spans="1:7">
      <c r="A3224" s="3">
        <v>12</v>
      </c>
      <c r="B3224" s="3">
        <v>4</v>
      </c>
      <c r="C3224" s="3">
        <v>92</v>
      </c>
      <c r="D3224" s="3">
        <v>45</v>
      </c>
      <c r="E3224" s="3">
        <v>-240.867</v>
      </c>
      <c r="F3224" s="4" t="str">
        <f>HYPERLINK("http://141.218.60.56/~jnz1568/getInfo.php?workbook=12_04.xlsx&amp;sheet=A0&amp;row=3224&amp;col=6&amp;number=72600000000&amp;sourceID=14","72600000000")</f>
        <v>72600000000</v>
      </c>
      <c r="G3224" s="4" t="str">
        <f>HYPERLINK("http://141.218.60.56/~jnz1568/getInfo.php?workbook=12_04.xlsx&amp;sheet=A0&amp;row=3224&amp;col=7&amp;number=0&amp;sourceID=14","0")</f>
        <v>0</v>
      </c>
    </row>
    <row r="3225" spans="1:7">
      <c r="A3225" s="3">
        <v>12</v>
      </c>
      <c r="B3225" s="3">
        <v>4</v>
      </c>
      <c r="C3225" s="3">
        <v>93</v>
      </c>
      <c r="D3225" s="3">
        <v>45</v>
      </c>
      <c r="E3225" s="3">
        <v>-240.715</v>
      </c>
      <c r="F3225" s="4" t="str">
        <f>HYPERLINK("http://141.218.60.56/~jnz1568/getInfo.php?workbook=12_04.xlsx&amp;sheet=A0&amp;row=3225&amp;col=6&amp;number=3960000&amp;sourceID=14","3960000")</f>
        <v>3960000</v>
      </c>
      <c r="G3225" s="4" t="str">
        <f>HYPERLINK("http://141.218.60.56/~jnz1568/getInfo.php?workbook=12_04.xlsx&amp;sheet=A0&amp;row=3225&amp;col=7&amp;number=0&amp;sourceID=14","0")</f>
        <v>0</v>
      </c>
    </row>
    <row r="3226" spans="1:7">
      <c r="A3226" s="3">
        <v>12</v>
      </c>
      <c r="B3226" s="3">
        <v>4</v>
      </c>
      <c r="C3226" s="3">
        <v>94</v>
      </c>
      <c r="D3226" s="3">
        <v>45</v>
      </c>
      <c r="E3226" s="3">
        <v>-240.156</v>
      </c>
      <c r="F3226" s="4" t="str">
        <f>HYPERLINK("http://141.218.60.56/~jnz1568/getInfo.php?workbook=12_04.xlsx&amp;sheet=A0&amp;row=3226&amp;col=6&amp;number=0.492&amp;sourceID=14","0.492")</f>
        <v>0.492</v>
      </c>
      <c r="G3226" s="4" t="str">
        <f>HYPERLINK("http://141.218.60.56/~jnz1568/getInfo.php?workbook=12_04.xlsx&amp;sheet=A0&amp;row=3226&amp;col=7&amp;number=0&amp;sourceID=14","0")</f>
        <v>0</v>
      </c>
    </row>
    <row r="3227" spans="1:7">
      <c r="A3227" s="3">
        <v>12</v>
      </c>
      <c r="B3227" s="3">
        <v>4</v>
      </c>
      <c r="C3227" s="3">
        <v>95</v>
      </c>
      <c r="D3227" s="3">
        <v>45</v>
      </c>
      <c r="E3227" s="3">
        <v>-239.791</v>
      </c>
      <c r="F3227" s="4" t="str">
        <f>HYPERLINK("http://141.218.60.56/~jnz1568/getInfo.php?workbook=12_04.xlsx&amp;sheet=A0&amp;row=3227&amp;col=6&amp;number=23.5&amp;sourceID=14","23.5")</f>
        <v>23.5</v>
      </c>
      <c r="G3227" s="4" t="str">
        <f>HYPERLINK("http://141.218.60.56/~jnz1568/getInfo.php?workbook=12_04.xlsx&amp;sheet=A0&amp;row=3227&amp;col=7&amp;number=0&amp;sourceID=14","0")</f>
        <v>0</v>
      </c>
    </row>
    <row r="3228" spans="1:7">
      <c r="A3228" s="3">
        <v>12</v>
      </c>
      <c r="B3228" s="3">
        <v>4</v>
      </c>
      <c r="C3228" s="3">
        <v>96</v>
      </c>
      <c r="D3228" s="3">
        <v>45</v>
      </c>
      <c r="E3228" s="3">
        <v>-239.454</v>
      </c>
      <c r="F3228" s="4" t="str">
        <f>HYPERLINK("http://141.218.60.56/~jnz1568/getInfo.php?workbook=12_04.xlsx&amp;sheet=A0&amp;row=3228&amp;col=6&amp;number=91500000&amp;sourceID=14","91500000")</f>
        <v>91500000</v>
      </c>
      <c r="G3228" s="4" t="str">
        <f>HYPERLINK("http://141.218.60.56/~jnz1568/getInfo.php?workbook=12_04.xlsx&amp;sheet=A0&amp;row=3228&amp;col=7&amp;number=0&amp;sourceID=14","0")</f>
        <v>0</v>
      </c>
    </row>
    <row r="3229" spans="1:7">
      <c r="A3229" s="3">
        <v>12</v>
      </c>
      <c r="B3229" s="3">
        <v>4</v>
      </c>
      <c r="C3229" s="3">
        <v>97</v>
      </c>
      <c r="D3229" s="3">
        <v>45</v>
      </c>
      <c r="E3229" s="3">
        <v>237.035</v>
      </c>
      <c r="F3229" s="4" t="str">
        <f>HYPERLINK("http://141.218.60.56/~jnz1568/getInfo.php?workbook=12_04.xlsx&amp;sheet=A0&amp;row=3229&amp;col=6&amp;number=492000&amp;sourceID=14","492000")</f>
        <v>492000</v>
      </c>
      <c r="G3229" s="4" t="str">
        <f>HYPERLINK("http://141.218.60.56/~jnz1568/getInfo.php?workbook=12_04.xlsx&amp;sheet=A0&amp;row=3229&amp;col=7&amp;number=0&amp;sourceID=14","0")</f>
        <v>0</v>
      </c>
    </row>
    <row r="3230" spans="1:7">
      <c r="A3230" s="3">
        <v>12</v>
      </c>
      <c r="B3230" s="3">
        <v>4</v>
      </c>
      <c r="C3230" s="3">
        <v>98</v>
      </c>
      <c r="D3230" s="3">
        <v>45</v>
      </c>
      <c r="E3230" s="3">
        <v>236.061</v>
      </c>
      <c r="F3230" s="4" t="str">
        <f>HYPERLINK("http://141.218.60.56/~jnz1568/getInfo.php?workbook=12_04.xlsx&amp;sheet=A0&amp;row=3230&amp;col=6&amp;number=33000&amp;sourceID=14","33000")</f>
        <v>33000</v>
      </c>
      <c r="G3230" s="4" t="str">
        <f>HYPERLINK("http://141.218.60.56/~jnz1568/getInfo.php?workbook=12_04.xlsx&amp;sheet=A0&amp;row=3230&amp;col=7&amp;number=0&amp;sourceID=14","0")</f>
        <v>0</v>
      </c>
    </row>
    <row r="3231" spans="1:7">
      <c r="A3231" s="3">
        <v>12</v>
      </c>
      <c r="B3231" s="3">
        <v>4</v>
      </c>
      <c r="C3231" s="3">
        <v>47</v>
      </c>
      <c r="D3231" s="3">
        <v>46</v>
      </c>
      <c r="E3231" s="3">
        <v>-510.593</v>
      </c>
      <c r="F3231" s="4" t="str">
        <f>HYPERLINK("http://141.218.60.56/~jnz1568/getInfo.php?workbook=12_04.xlsx&amp;sheet=A0&amp;row=3231&amp;col=6&amp;number=30700&amp;sourceID=14","30700")</f>
        <v>30700</v>
      </c>
      <c r="G3231" s="4" t="str">
        <f>HYPERLINK("http://141.218.60.56/~jnz1568/getInfo.php?workbook=12_04.xlsx&amp;sheet=A0&amp;row=3231&amp;col=7&amp;number=0&amp;sourceID=14","0")</f>
        <v>0</v>
      </c>
    </row>
    <row r="3232" spans="1:7">
      <c r="A3232" s="3">
        <v>12</v>
      </c>
      <c r="B3232" s="3">
        <v>4</v>
      </c>
      <c r="C3232" s="3">
        <v>48</v>
      </c>
      <c r="D3232" s="3">
        <v>46</v>
      </c>
      <c r="E3232" s="3">
        <v>-485.624</v>
      </c>
      <c r="F3232" s="4" t="str">
        <f>HYPERLINK("http://141.218.60.56/~jnz1568/getInfo.php?workbook=12_04.xlsx&amp;sheet=A0&amp;row=3232&amp;col=6&amp;number=4360000&amp;sourceID=14","4360000")</f>
        <v>4360000</v>
      </c>
      <c r="G3232" s="4" t="str">
        <f>HYPERLINK("http://141.218.60.56/~jnz1568/getInfo.php?workbook=12_04.xlsx&amp;sheet=A0&amp;row=3232&amp;col=7&amp;number=0&amp;sourceID=14","0")</f>
        <v>0</v>
      </c>
    </row>
    <row r="3233" spans="1:7">
      <c r="A3233" s="3">
        <v>12</v>
      </c>
      <c r="B3233" s="3">
        <v>4</v>
      </c>
      <c r="C3233" s="3">
        <v>49</v>
      </c>
      <c r="D3233" s="3">
        <v>46</v>
      </c>
      <c r="E3233" s="3">
        <v>-453.623</v>
      </c>
      <c r="F3233" s="4" t="str">
        <f>HYPERLINK("http://141.218.60.56/~jnz1568/getInfo.php?workbook=12_04.xlsx&amp;sheet=A0&amp;row=3233&amp;col=6&amp;number=0.00739&amp;sourceID=14","0.00739")</f>
        <v>0.00739</v>
      </c>
      <c r="G3233" s="4" t="str">
        <f>HYPERLINK("http://141.218.60.56/~jnz1568/getInfo.php?workbook=12_04.xlsx&amp;sheet=A0&amp;row=3233&amp;col=7&amp;number=0&amp;sourceID=14","0")</f>
        <v>0</v>
      </c>
    </row>
    <row r="3234" spans="1:7">
      <c r="A3234" s="3">
        <v>12</v>
      </c>
      <c r="B3234" s="3">
        <v>4</v>
      </c>
      <c r="C3234" s="3">
        <v>50</v>
      </c>
      <c r="D3234" s="3">
        <v>46</v>
      </c>
      <c r="E3234" s="3">
        <v>-453.384</v>
      </c>
      <c r="F3234" s="4" t="str">
        <f>HYPERLINK("http://141.218.60.56/~jnz1568/getInfo.php?workbook=12_04.xlsx&amp;sheet=A0&amp;row=3234&amp;col=6&amp;number=7.45&amp;sourceID=14","7.45")</f>
        <v>7.45</v>
      </c>
      <c r="G3234" s="4" t="str">
        <f>HYPERLINK("http://141.218.60.56/~jnz1568/getInfo.php?workbook=12_04.xlsx&amp;sheet=A0&amp;row=3234&amp;col=7&amp;number=0&amp;sourceID=14","0")</f>
        <v>0</v>
      </c>
    </row>
    <row r="3235" spans="1:7">
      <c r="A3235" s="3">
        <v>12</v>
      </c>
      <c r="B3235" s="3">
        <v>4</v>
      </c>
      <c r="C3235" s="3">
        <v>51</v>
      </c>
      <c r="D3235" s="3">
        <v>46</v>
      </c>
      <c r="E3235" s="3">
        <v>-452.846</v>
      </c>
      <c r="F3235" s="4" t="str">
        <f>HYPERLINK("http://141.218.60.56/~jnz1568/getInfo.php?workbook=12_04.xlsx&amp;sheet=A0&amp;row=3235&amp;col=6&amp;number=0.892&amp;sourceID=14","0.892")</f>
        <v>0.892</v>
      </c>
      <c r="G3235" s="4" t="str">
        <f>HYPERLINK("http://141.218.60.56/~jnz1568/getInfo.php?workbook=12_04.xlsx&amp;sheet=A0&amp;row=3235&amp;col=7&amp;number=0&amp;sourceID=14","0")</f>
        <v>0</v>
      </c>
    </row>
    <row r="3236" spans="1:7">
      <c r="A3236" s="3">
        <v>12</v>
      </c>
      <c r="B3236" s="3">
        <v>4</v>
      </c>
      <c r="C3236" s="3">
        <v>52</v>
      </c>
      <c r="D3236" s="3">
        <v>46</v>
      </c>
      <c r="E3236" s="3">
        <v>440.297</v>
      </c>
      <c r="F3236" s="4" t="str">
        <f>HYPERLINK("http://141.218.60.56/~jnz1568/getInfo.php?workbook=12_04.xlsx&amp;sheet=A0&amp;row=3236&amp;col=6&amp;number=873&amp;sourceID=14","873")</f>
        <v>873</v>
      </c>
      <c r="G3236" s="4" t="str">
        <f>HYPERLINK("http://141.218.60.56/~jnz1568/getInfo.php?workbook=12_04.xlsx&amp;sheet=A0&amp;row=3236&amp;col=7&amp;number=0&amp;sourceID=14","0")</f>
        <v>0</v>
      </c>
    </row>
    <row r="3237" spans="1:7">
      <c r="A3237" s="3">
        <v>12</v>
      </c>
      <c r="B3237" s="3">
        <v>4</v>
      </c>
      <c r="C3237" s="3">
        <v>53</v>
      </c>
      <c r="D3237" s="3">
        <v>46</v>
      </c>
      <c r="E3237" s="3">
        <v>419.446</v>
      </c>
      <c r="F3237" s="4" t="str">
        <f>HYPERLINK("http://141.218.60.56/~jnz1568/getInfo.php?workbook=12_04.xlsx&amp;sheet=A0&amp;row=3237&amp;col=6&amp;number=98700&amp;sourceID=14","98700")</f>
        <v>98700</v>
      </c>
      <c r="G3237" s="4" t="str">
        <f>HYPERLINK("http://141.218.60.56/~jnz1568/getInfo.php?workbook=12_04.xlsx&amp;sheet=A0&amp;row=3237&amp;col=7&amp;number=0&amp;sourceID=14","0")</f>
        <v>0</v>
      </c>
    </row>
    <row r="3238" spans="1:7">
      <c r="A3238" s="3">
        <v>12</v>
      </c>
      <c r="B3238" s="3">
        <v>4</v>
      </c>
      <c r="C3238" s="3">
        <v>54</v>
      </c>
      <c r="D3238" s="3">
        <v>46</v>
      </c>
      <c r="E3238" s="3">
        <v>419.446</v>
      </c>
      <c r="F3238" s="4" t="str">
        <f>HYPERLINK("http://141.218.60.56/~jnz1568/getInfo.php?workbook=12_04.xlsx&amp;sheet=A0&amp;row=3238&amp;col=6&amp;number=104000&amp;sourceID=14","104000")</f>
        <v>104000</v>
      </c>
      <c r="G3238" s="4" t="str">
        <f>HYPERLINK("http://141.218.60.56/~jnz1568/getInfo.php?workbook=12_04.xlsx&amp;sheet=A0&amp;row=3238&amp;col=7&amp;number=0&amp;sourceID=14","0")</f>
        <v>0</v>
      </c>
    </row>
    <row r="3239" spans="1:7">
      <c r="A3239" s="3">
        <v>12</v>
      </c>
      <c r="B3239" s="3">
        <v>4</v>
      </c>
      <c r="C3239" s="3">
        <v>55</v>
      </c>
      <c r="D3239" s="3">
        <v>46</v>
      </c>
      <c r="E3239" s="3">
        <v>419.306</v>
      </c>
      <c r="F3239" s="4" t="str">
        <f>HYPERLINK("http://141.218.60.56/~jnz1568/getInfo.php?workbook=12_04.xlsx&amp;sheet=A0&amp;row=3239&amp;col=6&amp;number=0.0354&amp;sourceID=14","0.0354")</f>
        <v>0.0354</v>
      </c>
      <c r="G3239" s="4" t="str">
        <f>HYPERLINK("http://141.218.60.56/~jnz1568/getInfo.php?workbook=12_04.xlsx&amp;sheet=A0&amp;row=3239&amp;col=7&amp;number=0&amp;sourceID=14","0")</f>
        <v>0</v>
      </c>
    </row>
    <row r="3240" spans="1:7">
      <c r="A3240" s="3">
        <v>12</v>
      </c>
      <c r="B3240" s="3">
        <v>4</v>
      </c>
      <c r="C3240" s="3">
        <v>56</v>
      </c>
      <c r="D3240" s="3">
        <v>46</v>
      </c>
      <c r="E3240" s="3">
        <v>405.96</v>
      </c>
      <c r="F3240" s="4" t="str">
        <f>HYPERLINK("http://141.218.60.56/~jnz1568/getInfo.php?workbook=12_04.xlsx&amp;sheet=A0&amp;row=3240&amp;col=6&amp;number=291000000&amp;sourceID=14","291000000")</f>
        <v>291000000</v>
      </c>
      <c r="G3240" s="4" t="str">
        <f>HYPERLINK("http://141.218.60.56/~jnz1568/getInfo.php?workbook=12_04.xlsx&amp;sheet=A0&amp;row=3240&amp;col=7&amp;number=0&amp;sourceID=14","0")</f>
        <v>0</v>
      </c>
    </row>
    <row r="3241" spans="1:7">
      <c r="A3241" s="3">
        <v>12</v>
      </c>
      <c r="B3241" s="3">
        <v>4</v>
      </c>
      <c r="C3241" s="3">
        <v>57</v>
      </c>
      <c r="D3241" s="3">
        <v>46</v>
      </c>
      <c r="E3241" s="3">
        <v>-410.704</v>
      </c>
      <c r="F3241" s="4" t="str">
        <f>HYPERLINK("http://141.218.60.56/~jnz1568/getInfo.php?workbook=12_04.xlsx&amp;sheet=A0&amp;row=3241&amp;col=6&amp;number=3.17&amp;sourceID=14","3.17")</f>
        <v>3.17</v>
      </c>
      <c r="G3241" s="4" t="str">
        <f>HYPERLINK("http://141.218.60.56/~jnz1568/getInfo.php?workbook=12_04.xlsx&amp;sheet=A0&amp;row=3241&amp;col=7&amp;number=0&amp;sourceID=14","0")</f>
        <v>0</v>
      </c>
    </row>
    <row r="3242" spans="1:7">
      <c r="A3242" s="3">
        <v>12</v>
      </c>
      <c r="B3242" s="3">
        <v>4</v>
      </c>
      <c r="C3242" s="3">
        <v>58</v>
      </c>
      <c r="D3242" s="3">
        <v>46</v>
      </c>
      <c r="E3242" s="3">
        <v>-410.655</v>
      </c>
      <c r="F3242" s="4" t="str">
        <f>HYPERLINK("http://141.218.60.56/~jnz1568/getInfo.php?workbook=12_04.xlsx&amp;sheet=A0&amp;row=3242&amp;col=6&amp;number=1.51&amp;sourceID=14","1.51")</f>
        <v>1.51</v>
      </c>
      <c r="G3242" s="4" t="str">
        <f>HYPERLINK("http://141.218.60.56/~jnz1568/getInfo.php?workbook=12_04.xlsx&amp;sheet=A0&amp;row=3242&amp;col=7&amp;number=0&amp;sourceID=14","0")</f>
        <v>0</v>
      </c>
    </row>
    <row r="3243" spans="1:7">
      <c r="A3243" s="3">
        <v>12</v>
      </c>
      <c r="B3243" s="3">
        <v>4</v>
      </c>
      <c r="C3243" s="3">
        <v>59</v>
      </c>
      <c r="D3243" s="3">
        <v>46</v>
      </c>
      <c r="E3243" s="3">
        <v>-410.591</v>
      </c>
      <c r="F3243" s="4" t="str">
        <f>HYPERLINK("http://141.218.60.56/~jnz1568/getInfo.php?workbook=12_04.xlsx&amp;sheet=A0&amp;row=3243&amp;col=6&amp;number=1.6e-06&amp;sourceID=14","1.6e-06")</f>
        <v>1.6e-06</v>
      </c>
      <c r="G3243" s="4" t="str">
        <f>HYPERLINK("http://141.218.60.56/~jnz1568/getInfo.php?workbook=12_04.xlsx&amp;sheet=A0&amp;row=3243&amp;col=7&amp;number=0&amp;sourceID=14","0")</f>
        <v>0</v>
      </c>
    </row>
    <row r="3244" spans="1:7">
      <c r="A3244" s="3">
        <v>12</v>
      </c>
      <c r="B3244" s="3">
        <v>4</v>
      </c>
      <c r="C3244" s="3">
        <v>60</v>
      </c>
      <c r="D3244" s="3">
        <v>46</v>
      </c>
      <c r="E3244" s="3">
        <v>-406.376</v>
      </c>
      <c r="F3244" s="4" t="str">
        <f>HYPERLINK("http://141.218.60.56/~jnz1568/getInfo.php?workbook=12_04.xlsx&amp;sheet=A0&amp;row=3244&amp;col=6&amp;number=5970&amp;sourceID=14","5970")</f>
        <v>5970</v>
      </c>
      <c r="G3244" s="4" t="str">
        <f>HYPERLINK("http://141.218.60.56/~jnz1568/getInfo.php?workbook=12_04.xlsx&amp;sheet=A0&amp;row=3244&amp;col=7&amp;number=0&amp;sourceID=14","0")</f>
        <v>0</v>
      </c>
    </row>
    <row r="3245" spans="1:7">
      <c r="A3245" s="3">
        <v>12</v>
      </c>
      <c r="B3245" s="3">
        <v>4</v>
      </c>
      <c r="C3245" s="3">
        <v>61</v>
      </c>
      <c r="D3245" s="3">
        <v>46</v>
      </c>
      <c r="E3245" s="3">
        <v>-276.406</v>
      </c>
      <c r="F3245" s="4" t="str">
        <f>HYPERLINK("http://141.218.60.56/~jnz1568/getInfo.php?workbook=12_04.xlsx&amp;sheet=A0&amp;row=3245&amp;col=6&amp;number=0.000293&amp;sourceID=14","0.000293")</f>
        <v>0.000293</v>
      </c>
      <c r="G3245" s="4" t="str">
        <f>HYPERLINK("http://141.218.60.56/~jnz1568/getInfo.php?workbook=12_04.xlsx&amp;sheet=A0&amp;row=3245&amp;col=7&amp;number=0&amp;sourceID=14","0")</f>
        <v>0</v>
      </c>
    </row>
    <row r="3246" spans="1:7">
      <c r="A3246" s="3">
        <v>12</v>
      </c>
      <c r="B3246" s="3">
        <v>4</v>
      </c>
      <c r="C3246" s="3">
        <v>62</v>
      </c>
      <c r="D3246" s="3">
        <v>46</v>
      </c>
      <c r="E3246" s="3">
        <v>-275.707</v>
      </c>
      <c r="F3246" s="4" t="str">
        <f>HYPERLINK("http://141.218.60.56/~jnz1568/getInfo.php?workbook=12_04.xlsx&amp;sheet=A0&amp;row=3246&amp;col=6&amp;number=4410&amp;sourceID=14","4410")</f>
        <v>4410</v>
      </c>
      <c r="G3246" s="4" t="str">
        <f>HYPERLINK("http://141.218.60.56/~jnz1568/getInfo.php?workbook=12_04.xlsx&amp;sheet=A0&amp;row=3246&amp;col=7&amp;number=0&amp;sourceID=14","0")</f>
        <v>0</v>
      </c>
    </row>
    <row r="3247" spans="1:7">
      <c r="A3247" s="3">
        <v>12</v>
      </c>
      <c r="B3247" s="3">
        <v>4</v>
      </c>
      <c r="C3247" s="3">
        <v>63</v>
      </c>
      <c r="D3247" s="3">
        <v>46</v>
      </c>
      <c r="E3247" s="3">
        <v>-273.46</v>
      </c>
      <c r="F3247" s="4" t="str">
        <f>HYPERLINK("http://141.218.60.56/~jnz1568/getInfo.php?workbook=12_04.xlsx&amp;sheet=A0&amp;row=3247&amp;col=6&amp;number=4.39&amp;sourceID=14","4.39")</f>
        <v>4.39</v>
      </c>
      <c r="G3247" s="4" t="str">
        <f>HYPERLINK("http://141.218.60.56/~jnz1568/getInfo.php?workbook=12_04.xlsx&amp;sheet=A0&amp;row=3247&amp;col=7&amp;number=0&amp;sourceID=14","0")</f>
        <v>0</v>
      </c>
    </row>
    <row r="3248" spans="1:7">
      <c r="A3248" s="3">
        <v>12</v>
      </c>
      <c r="B3248" s="3">
        <v>4</v>
      </c>
      <c r="C3248" s="3">
        <v>64</v>
      </c>
      <c r="D3248" s="3">
        <v>46</v>
      </c>
      <c r="E3248" s="3">
        <v>-268.873</v>
      </c>
      <c r="F3248" s="4" t="str">
        <f>HYPERLINK("http://141.218.60.56/~jnz1568/getInfo.php?workbook=12_04.xlsx&amp;sheet=A0&amp;row=3248&amp;col=6&amp;number=181000&amp;sourceID=14","181000")</f>
        <v>181000</v>
      </c>
      <c r="G3248" s="4" t="str">
        <f>HYPERLINK("http://141.218.60.56/~jnz1568/getInfo.php?workbook=12_04.xlsx&amp;sheet=A0&amp;row=3248&amp;col=7&amp;number=0&amp;sourceID=14","0")</f>
        <v>0</v>
      </c>
    </row>
    <row r="3249" spans="1:7">
      <c r="A3249" s="3">
        <v>12</v>
      </c>
      <c r="B3249" s="3">
        <v>4</v>
      </c>
      <c r="C3249" s="3">
        <v>65</v>
      </c>
      <c r="D3249" s="3">
        <v>46</v>
      </c>
      <c r="E3249" s="3">
        <v>-263.539</v>
      </c>
      <c r="F3249" s="4" t="str">
        <f>HYPERLINK("http://141.218.60.56/~jnz1568/getInfo.php?workbook=12_04.xlsx&amp;sheet=A0&amp;row=3249&amp;col=6&amp;number=1620000000&amp;sourceID=14","1620000000")</f>
        <v>1620000000</v>
      </c>
      <c r="G3249" s="4" t="str">
        <f>HYPERLINK("http://141.218.60.56/~jnz1568/getInfo.php?workbook=12_04.xlsx&amp;sheet=A0&amp;row=3249&amp;col=7&amp;number=0&amp;sourceID=14","0")</f>
        <v>0</v>
      </c>
    </row>
    <row r="3250" spans="1:7">
      <c r="A3250" s="3">
        <v>12</v>
      </c>
      <c r="B3250" s="3">
        <v>4</v>
      </c>
      <c r="C3250" s="3">
        <v>66</v>
      </c>
      <c r="D3250" s="3">
        <v>46</v>
      </c>
      <c r="E3250" s="3">
        <v>-261.779</v>
      </c>
      <c r="F3250" s="4" t="str">
        <f>HYPERLINK("http://141.218.60.56/~jnz1568/getInfo.php?workbook=12_04.xlsx&amp;sheet=A0&amp;row=3250&amp;col=6&amp;number=772000000&amp;sourceID=14","772000000")</f>
        <v>772000000</v>
      </c>
      <c r="G3250" s="4" t="str">
        <f>HYPERLINK("http://141.218.60.56/~jnz1568/getInfo.php?workbook=12_04.xlsx&amp;sheet=A0&amp;row=3250&amp;col=7&amp;number=0&amp;sourceID=14","0")</f>
        <v>0</v>
      </c>
    </row>
    <row r="3251" spans="1:7">
      <c r="A3251" s="3">
        <v>12</v>
      </c>
      <c r="B3251" s="3">
        <v>4</v>
      </c>
      <c r="C3251" s="3">
        <v>67</v>
      </c>
      <c r="D3251" s="3">
        <v>46</v>
      </c>
      <c r="E3251" s="3">
        <v>-261.47</v>
      </c>
      <c r="F3251" s="4" t="str">
        <f>HYPERLINK("http://141.218.60.56/~jnz1568/getInfo.php?workbook=12_04.xlsx&amp;sheet=A0&amp;row=3251&amp;col=6&amp;number=8360000&amp;sourceID=14","8360000")</f>
        <v>8360000</v>
      </c>
      <c r="G3251" s="4" t="str">
        <f>HYPERLINK("http://141.218.60.56/~jnz1568/getInfo.php?workbook=12_04.xlsx&amp;sheet=A0&amp;row=3251&amp;col=7&amp;number=0&amp;sourceID=14","0")</f>
        <v>0</v>
      </c>
    </row>
    <row r="3252" spans="1:7">
      <c r="A3252" s="3">
        <v>12</v>
      </c>
      <c r="B3252" s="3">
        <v>4</v>
      </c>
      <c r="C3252" s="3">
        <v>68</v>
      </c>
      <c r="D3252" s="3">
        <v>46</v>
      </c>
      <c r="E3252" s="3">
        <v>257.62</v>
      </c>
      <c r="F3252" s="4" t="str">
        <f>HYPERLINK("http://141.218.60.56/~jnz1568/getInfo.php?workbook=12_04.xlsx&amp;sheet=A0&amp;row=3252&amp;col=6&amp;number=0.0394&amp;sourceID=14","0.0394")</f>
        <v>0.0394</v>
      </c>
      <c r="G3252" s="4" t="str">
        <f>HYPERLINK("http://141.218.60.56/~jnz1568/getInfo.php?workbook=12_04.xlsx&amp;sheet=A0&amp;row=3252&amp;col=7&amp;number=0&amp;sourceID=14","0")</f>
        <v>0</v>
      </c>
    </row>
    <row r="3253" spans="1:7">
      <c r="A3253" s="3">
        <v>12</v>
      </c>
      <c r="B3253" s="3">
        <v>4</v>
      </c>
      <c r="C3253" s="3">
        <v>69</v>
      </c>
      <c r="D3253" s="3">
        <v>46</v>
      </c>
      <c r="E3253" s="3">
        <v>-257.872</v>
      </c>
      <c r="F3253" s="4" t="str">
        <f>HYPERLINK("http://141.218.60.56/~jnz1568/getInfo.php?workbook=12_04.xlsx&amp;sheet=A0&amp;row=3253&amp;col=6&amp;number=162000000&amp;sourceID=14","162000000")</f>
        <v>162000000</v>
      </c>
      <c r="G3253" s="4" t="str">
        <f>HYPERLINK("http://141.218.60.56/~jnz1568/getInfo.php?workbook=12_04.xlsx&amp;sheet=A0&amp;row=3253&amp;col=7&amp;number=0&amp;sourceID=14","0")</f>
        <v>0</v>
      </c>
    </row>
    <row r="3254" spans="1:7">
      <c r="A3254" s="3">
        <v>12</v>
      </c>
      <c r="B3254" s="3">
        <v>4</v>
      </c>
      <c r="C3254" s="3">
        <v>70</v>
      </c>
      <c r="D3254" s="3">
        <v>46</v>
      </c>
      <c r="E3254" s="3">
        <v>-257.452</v>
      </c>
      <c r="F3254" s="4" t="str">
        <f>HYPERLINK("http://141.218.60.56/~jnz1568/getInfo.php?workbook=12_04.xlsx&amp;sheet=A0&amp;row=3254&amp;col=6&amp;number=9490000&amp;sourceID=14","9490000")</f>
        <v>9490000</v>
      </c>
      <c r="G3254" s="4" t="str">
        <f>HYPERLINK("http://141.218.60.56/~jnz1568/getInfo.php?workbook=12_04.xlsx&amp;sheet=A0&amp;row=3254&amp;col=7&amp;number=0&amp;sourceID=14","0")</f>
        <v>0</v>
      </c>
    </row>
    <row r="3255" spans="1:7">
      <c r="A3255" s="3">
        <v>12</v>
      </c>
      <c r="B3255" s="3">
        <v>4</v>
      </c>
      <c r="C3255" s="3">
        <v>71</v>
      </c>
      <c r="D3255" s="3">
        <v>46</v>
      </c>
      <c r="E3255" s="3">
        <v>-256.179</v>
      </c>
      <c r="F3255" s="4" t="str">
        <f>HYPERLINK("http://141.218.60.56/~jnz1568/getInfo.php?workbook=12_04.xlsx&amp;sheet=A0&amp;row=3255&amp;col=6&amp;number=290000&amp;sourceID=14","290000")</f>
        <v>290000</v>
      </c>
      <c r="G3255" s="4" t="str">
        <f>HYPERLINK("http://141.218.60.56/~jnz1568/getInfo.php?workbook=12_04.xlsx&amp;sheet=A0&amp;row=3255&amp;col=7&amp;number=0&amp;sourceID=14","0")</f>
        <v>0</v>
      </c>
    </row>
    <row r="3256" spans="1:7">
      <c r="A3256" s="3">
        <v>12</v>
      </c>
      <c r="B3256" s="3">
        <v>4</v>
      </c>
      <c r="C3256" s="3">
        <v>72</v>
      </c>
      <c r="D3256" s="3">
        <v>46</v>
      </c>
      <c r="E3256" s="3">
        <v>253.943</v>
      </c>
      <c r="F3256" s="4" t="str">
        <f>HYPERLINK("http://141.218.60.56/~jnz1568/getInfo.php?workbook=12_04.xlsx&amp;sheet=A0&amp;row=3256&amp;col=6&amp;number=16300000&amp;sourceID=14","16300000")</f>
        <v>16300000</v>
      </c>
      <c r="G3256" s="4" t="str">
        <f>HYPERLINK("http://141.218.60.56/~jnz1568/getInfo.php?workbook=12_04.xlsx&amp;sheet=A0&amp;row=3256&amp;col=7&amp;number=0&amp;sourceID=14","0")</f>
        <v>0</v>
      </c>
    </row>
    <row r="3257" spans="1:7">
      <c r="A3257" s="3">
        <v>12</v>
      </c>
      <c r="B3257" s="3">
        <v>4</v>
      </c>
      <c r="C3257" s="3">
        <v>73</v>
      </c>
      <c r="D3257" s="3">
        <v>46</v>
      </c>
      <c r="E3257" s="3">
        <v>-253.9</v>
      </c>
      <c r="F3257" s="4" t="str">
        <f>HYPERLINK("http://141.218.60.56/~jnz1568/getInfo.php?workbook=12_04.xlsx&amp;sheet=A0&amp;row=3257&amp;col=6&amp;number=62000&amp;sourceID=14","62000")</f>
        <v>62000</v>
      </c>
      <c r="G3257" s="4" t="str">
        <f>HYPERLINK("http://141.218.60.56/~jnz1568/getInfo.php?workbook=12_04.xlsx&amp;sheet=A0&amp;row=3257&amp;col=7&amp;number=0&amp;sourceID=14","0")</f>
        <v>0</v>
      </c>
    </row>
    <row r="3258" spans="1:7">
      <c r="A3258" s="3">
        <v>12</v>
      </c>
      <c r="B3258" s="3">
        <v>4</v>
      </c>
      <c r="C3258" s="3">
        <v>74</v>
      </c>
      <c r="D3258" s="3">
        <v>46</v>
      </c>
      <c r="E3258" s="3">
        <v>-252.675</v>
      </c>
      <c r="F3258" s="4" t="str">
        <f>HYPERLINK("http://141.218.60.56/~jnz1568/getInfo.php?workbook=12_04.xlsx&amp;sheet=A0&amp;row=3258&amp;col=6&amp;number=52.8&amp;sourceID=14","52.8")</f>
        <v>52.8</v>
      </c>
      <c r="G3258" s="4" t="str">
        <f>HYPERLINK("http://141.218.60.56/~jnz1568/getInfo.php?workbook=12_04.xlsx&amp;sheet=A0&amp;row=3258&amp;col=7&amp;number=0&amp;sourceID=14","0")</f>
        <v>0</v>
      </c>
    </row>
    <row r="3259" spans="1:7">
      <c r="A3259" s="3">
        <v>12</v>
      </c>
      <c r="B3259" s="3">
        <v>4</v>
      </c>
      <c r="C3259" s="3">
        <v>75</v>
      </c>
      <c r="D3259" s="3">
        <v>46</v>
      </c>
      <c r="E3259" s="3">
        <v>250.219</v>
      </c>
      <c r="F3259" s="4" t="str">
        <f>HYPERLINK("http://141.218.60.56/~jnz1568/getInfo.php?workbook=12_04.xlsx&amp;sheet=A0&amp;row=3259&amp;col=6&amp;number=166000&amp;sourceID=14","166000")</f>
        <v>166000</v>
      </c>
      <c r="G3259" s="4" t="str">
        <f>HYPERLINK("http://141.218.60.56/~jnz1568/getInfo.php?workbook=12_04.xlsx&amp;sheet=A0&amp;row=3259&amp;col=7&amp;number=0&amp;sourceID=14","0")</f>
        <v>0</v>
      </c>
    </row>
    <row r="3260" spans="1:7">
      <c r="A3260" s="3">
        <v>12</v>
      </c>
      <c r="B3260" s="3">
        <v>4</v>
      </c>
      <c r="C3260" s="3">
        <v>76</v>
      </c>
      <c r="D3260" s="3">
        <v>46</v>
      </c>
      <c r="E3260" s="3">
        <v>250.301</v>
      </c>
      <c r="F3260" s="4" t="str">
        <f>HYPERLINK("http://141.218.60.56/~jnz1568/getInfo.php?workbook=12_04.xlsx&amp;sheet=A0&amp;row=3260&amp;col=6&amp;number=2090000000&amp;sourceID=14","2090000000")</f>
        <v>2090000000</v>
      </c>
      <c r="G3260" s="4" t="str">
        <f>HYPERLINK("http://141.218.60.56/~jnz1568/getInfo.php?workbook=12_04.xlsx&amp;sheet=A0&amp;row=3260&amp;col=7&amp;number=0&amp;sourceID=14","0")</f>
        <v>0</v>
      </c>
    </row>
    <row r="3261" spans="1:7">
      <c r="A3261" s="3">
        <v>12</v>
      </c>
      <c r="B3261" s="3">
        <v>4</v>
      </c>
      <c r="C3261" s="3">
        <v>77</v>
      </c>
      <c r="D3261" s="3">
        <v>46</v>
      </c>
      <c r="E3261" s="3">
        <v>-251.294</v>
      </c>
      <c r="F3261" s="4" t="str">
        <f>HYPERLINK("http://141.218.60.56/~jnz1568/getInfo.php?workbook=12_04.xlsx&amp;sheet=A0&amp;row=3261&amp;col=6&amp;number=1.12e-05&amp;sourceID=14","1.12e-05")</f>
        <v>1.12e-05</v>
      </c>
      <c r="G3261" s="4" t="str">
        <f>HYPERLINK("http://141.218.60.56/~jnz1568/getInfo.php?workbook=12_04.xlsx&amp;sheet=A0&amp;row=3261&amp;col=7&amp;number=0&amp;sourceID=14","0")</f>
        <v>0</v>
      </c>
    </row>
    <row r="3262" spans="1:7">
      <c r="A3262" s="3">
        <v>12</v>
      </c>
      <c r="B3262" s="3">
        <v>4</v>
      </c>
      <c r="C3262" s="3">
        <v>78</v>
      </c>
      <c r="D3262" s="3">
        <v>46</v>
      </c>
      <c r="E3262" s="3">
        <v>-249.411</v>
      </c>
      <c r="F3262" s="4" t="str">
        <f>HYPERLINK("http://141.218.60.56/~jnz1568/getInfo.php?workbook=12_04.xlsx&amp;sheet=A0&amp;row=3262&amp;col=6&amp;number=1200&amp;sourceID=14","1200")</f>
        <v>1200</v>
      </c>
      <c r="G3262" s="4" t="str">
        <f>HYPERLINK("http://141.218.60.56/~jnz1568/getInfo.php?workbook=12_04.xlsx&amp;sheet=A0&amp;row=3262&amp;col=7&amp;number=0&amp;sourceID=14","0")</f>
        <v>0</v>
      </c>
    </row>
    <row r="3263" spans="1:7">
      <c r="A3263" s="3">
        <v>12</v>
      </c>
      <c r="B3263" s="3">
        <v>4</v>
      </c>
      <c r="C3263" s="3">
        <v>79</v>
      </c>
      <c r="D3263" s="3">
        <v>46</v>
      </c>
      <c r="E3263" s="3">
        <v>-249.027</v>
      </c>
      <c r="F3263" s="4" t="str">
        <f>HYPERLINK("http://141.218.60.56/~jnz1568/getInfo.php?workbook=12_04.xlsx&amp;sheet=A0&amp;row=3263&amp;col=6&amp;number=14800&amp;sourceID=14","14800")</f>
        <v>14800</v>
      </c>
      <c r="G3263" s="4" t="str">
        <f>HYPERLINK("http://141.218.60.56/~jnz1568/getInfo.php?workbook=12_04.xlsx&amp;sheet=A0&amp;row=3263&amp;col=7&amp;number=0&amp;sourceID=14","0")</f>
        <v>0</v>
      </c>
    </row>
    <row r="3264" spans="1:7">
      <c r="A3264" s="3">
        <v>12</v>
      </c>
      <c r="B3264" s="3">
        <v>4</v>
      </c>
      <c r="C3264" s="3">
        <v>80</v>
      </c>
      <c r="D3264" s="3">
        <v>46</v>
      </c>
      <c r="E3264" s="3">
        <v>-248.26</v>
      </c>
      <c r="F3264" s="4" t="str">
        <f>HYPERLINK("http://141.218.60.56/~jnz1568/getInfo.php?workbook=12_04.xlsx&amp;sheet=A0&amp;row=3264&amp;col=6&amp;number=11.7&amp;sourceID=14","11.7")</f>
        <v>11.7</v>
      </c>
      <c r="G3264" s="4" t="str">
        <f>HYPERLINK("http://141.218.60.56/~jnz1568/getInfo.php?workbook=12_04.xlsx&amp;sheet=A0&amp;row=3264&amp;col=7&amp;number=0&amp;sourceID=14","0")</f>
        <v>0</v>
      </c>
    </row>
    <row r="3265" spans="1:7">
      <c r="A3265" s="3">
        <v>12</v>
      </c>
      <c r="B3265" s="3">
        <v>4</v>
      </c>
      <c r="C3265" s="3">
        <v>81</v>
      </c>
      <c r="D3265" s="3">
        <v>46</v>
      </c>
      <c r="E3265" s="3">
        <v>245.888</v>
      </c>
      <c r="F3265" s="4" t="str">
        <f>HYPERLINK("http://141.218.60.56/~jnz1568/getInfo.php?workbook=12_04.xlsx&amp;sheet=A0&amp;row=3265&amp;col=6&amp;number=13.7&amp;sourceID=14","13.7")</f>
        <v>13.7</v>
      </c>
      <c r="G3265" s="4" t="str">
        <f>HYPERLINK("http://141.218.60.56/~jnz1568/getInfo.php?workbook=12_04.xlsx&amp;sheet=A0&amp;row=3265&amp;col=7&amp;number=0&amp;sourceID=14","0")</f>
        <v>0</v>
      </c>
    </row>
    <row r="3266" spans="1:7">
      <c r="A3266" s="3">
        <v>12</v>
      </c>
      <c r="B3266" s="3">
        <v>4</v>
      </c>
      <c r="C3266" s="3">
        <v>82</v>
      </c>
      <c r="D3266" s="3">
        <v>46</v>
      </c>
      <c r="E3266" s="3">
        <v>-248.037</v>
      </c>
      <c r="F3266" s="4" t="str">
        <f>HYPERLINK("http://141.218.60.56/~jnz1568/getInfo.php?workbook=12_04.xlsx&amp;sheet=A0&amp;row=3266&amp;col=6&amp;number=1320000000&amp;sourceID=14","1320000000")</f>
        <v>1320000000</v>
      </c>
      <c r="G3266" s="4" t="str">
        <f>HYPERLINK("http://141.218.60.56/~jnz1568/getInfo.php?workbook=12_04.xlsx&amp;sheet=A0&amp;row=3266&amp;col=7&amp;number=0&amp;sourceID=14","0")</f>
        <v>0</v>
      </c>
    </row>
    <row r="3267" spans="1:7">
      <c r="A3267" s="3">
        <v>12</v>
      </c>
      <c r="B3267" s="3">
        <v>4</v>
      </c>
      <c r="C3267" s="3">
        <v>83</v>
      </c>
      <c r="D3267" s="3">
        <v>46</v>
      </c>
      <c r="E3267" s="3">
        <v>-248.034</v>
      </c>
      <c r="F3267" s="4" t="str">
        <f>HYPERLINK("http://141.218.60.56/~jnz1568/getInfo.php?workbook=12_04.xlsx&amp;sheet=A0&amp;row=3267&amp;col=6&amp;number=3.28&amp;sourceID=14","3.28")</f>
        <v>3.28</v>
      </c>
      <c r="G3267" s="4" t="str">
        <f>HYPERLINK("http://141.218.60.56/~jnz1568/getInfo.php?workbook=12_04.xlsx&amp;sheet=A0&amp;row=3267&amp;col=7&amp;number=0&amp;sourceID=14","0")</f>
        <v>0</v>
      </c>
    </row>
    <row r="3268" spans="1:7">
      <c r="A3268" s="3">
        <v>12</v>
      </c>
      <c r="B3268" s="3">
        <v>4</v>
      </c>
      <c r="C3268" s="3">
        <v>84</v>
      </c>
      <c r="D3268" s="3">
        <v>46</v>
      </c>
      <c r="E3268" s="3">
        <v>-247.834</v>
      </c>
      <c r="F3268" s="4" t="str">
        <f>HYPERLINK("http://141.218.60.56/~jnz1568/getInfo.php?workbook=12_04.xlsx&amp;sheet=A0&amp;row=3268&amp;col=6&amp;number=0.0358&amp;sourceID=14","0.0358")</f>
        <v>0.0358</v>
      </c>
      <c r="G3268" s="4" t="str">
        <f>HYPERLINK("http://141.218.60.56/~jnz1568/getInfo.php?workbook=12_04.xlsx&amp;sheet=A0&amp;row=3268&amp;col=7&amp;number=0&amp;sourceID=14","0")</f>
        <v>0</v>
      </c>
    </row>
    <row r="3269" spans="1:7">
      <c r="A3269" s="3">
        <v>12</v>
      </c>
      <c r="B3269" s="3">
        <v>4</v>
      </c>
      <c r="C3269" s="3">
        <v>85</v>
      </c>
      <c r="D3269" s="3">
        <v>46</v>
      </c>
      <c r="E3269" s="3">
        <v>245.165</v>
      </c>
      <c r="F3269" s="4" t="str">
        <f>HYPERLINK("http://141.218.60.56/~jnz1568/getInfo.php?workbook=12_04.xlsx&amp;sheet=A0&amp;row=3269&amp;col=6&amp;number=4140&amp;sourceID=14","4140")</f>
        <v>4140</v>
      </c>
      <c r="G3269" s="4" t="str">
        <f>HYPERLINK("http://141.218.60.56/~jnz1568/getInfo.php?workbook=12_04.xlsx&amp;sheet=A0&amp;row=3269&amp;col=7&amp;number=0&amp;sourceID=14","0")</f>
        <v>0</v>
      </c>
    </row>
    <row r="3270" spans="1:7">
      <c r="A3270" s="3">
        <v>12</v>
      </c>
      <c r="B3270" s="3">
        <v>4</v>
      </c>
      <c r="C3270" s="3">
        <v>86</v>
      </c>
      <c r="D3270" s="3">
        <v>46</v>
      </c>
      <c r="E3270" s="3">
        <v>244.852</v>
      </c>
      <c r="F3270" s="4" t="str">
        <f>HYPERLINK("http://141.218.60.56/~jnz1568/getInfo.php?workbook=12_04.xlsx&amp;sheet=A0&amp;row=3270&amp;col=6&amp;number=544&amp;sourceID=14","544")</f>
        <v>544</v>
      </c>
      <c r="G3270" s="4" t="str">
        <f>HYPERLINK("http://141.218.60.56/~jnz1568/getInfo.php?workbook=12_04.xlsx&amp;sheet=A0&amp;row=3270&amp;col=7&amp;number=0&amp;sourceID=14","0")</f>
        <v>0</v>
      </c>
    </row>
    <row r="3271" spans="1:7">
      <c r="A3271" s="3">
        <v>12</v>
      </c>
      <c r="B3271" s="3">
        <v>4</v>
      </c>
      <c r="C3271" s="3">
        <v>87</v>
      </c>
      <c r="D3271" s="3">
        <v>46</v>
      </c>
      <c r="E3271" s="3">
        <v>-246.35</v>
      </c>
      <c r="F3271" s="4" t="str">
        <f>HYPERLINK("http://141.218.60.56/~jnz1568/getInfo.php?workbook=12_04.xlsx&amp;sheet=A0&amp;row=3271&amp;col=6&amp;number=0.0899&amp;sourceID=14","0.0899")</f>
        <v>0.0899</v>
      </c>
      <c r="G3271" s="4" t="str">
        <f>HYPERLINK("http://141.218.60.56/~jnz1568/getInfo.php?workbook=12_04.xlsx&amp;sheet=A0&amp;row=3271&amp;col=7&amp;number=0&amp;sourceID=14","0")</f>
        <v>0</v>
      </c>
    </row>
    <row r="3272" spans="1:7">
      <c r="A3272" s="3">
        <v>12</v>
      </c>
      <c r="B3272" s="3">
        <v>4</v>
      </c>
      <c r="C3272" s="3">
        <v>88</v>
      </c>
      <c r="D3272" s="3">
        <v>46</v>
      </c>
      <c r="E3272" s="3">
        <v>-245.876</v>
      </c>
      <c r="F3272" s="4" t="str">
        <f>HYPERLINK("http://141.218.60.56/~jnz1568/getInfo.php?workbook=12_04.xlsx&amp;sheet=A0&amp;row=3272&amp;col=6&amp;number=6.71&amp;sourceID=14","6.71")</f>
        <v>6.71</v>
      </c>
      <c r="G3272" s="4" t="str">
        <f>HYPERLINK("http://141.218.60.56/~jnz1568/getInfo.php?workbook=12_04.xlsx&amp;sheet=A0&amp;row=3272&amp;col=7&amp;number=0&amp;sourceID=14","0")</f>
        <v>0</v>
      </c>
    </row>
    <row r="3273" spans="1:7">
      <c r="A3273" s="3">
        <v>12</v>
      </c>
      <c r="B3273" s="3">
        <v>4</v>
      </c>
      <c r="C3273" s="3">
        <v>89</v>
      </c>
      <c r="D3273" s="3">
        <v>46</v>
      </c>
      <c r="E3273" s="3">
        <v>-245.596</v>
      </c>
      <c r="F3273" s="4" t="str">
        <f>HYPERLINK("http://141.218.60.56/~jnz1568/getInfo.php?workbook=12_04.xlsx&amp;sheet=A0&amp;row=3273&amp;col=6&amp;number=0.051&amp;sourceID=14","0.051")</f>
        <v>0.051</v>
      </c>
      <c r="G3273" s="4" t="str">
        <f>HYPERLINK("http://141.218.60.56/~jnz1568/getInfo.php?workbook=12_04.xlsx&amp;sheet=A0&amp;row=3273&amp;col=7&amp;number=0&amp;sourceID=14","0")</f>
        <v>0</v>
      </c>
    </row>
    <row r="3274" spans="1:7">
      <c r="A3274" s="3">
        <v>12</v>
      </c>
      <c r="B3274" s="3">
        <v>4</v>
      </c>
      <c r="C3274" s="3">
        <v>90</v>
      </c>
      <c r="D3274" s="3">
        <v>46</v>
      </c>
      <c r="E3274" s="3">
        <v>-244.77</v>
      </c>
      <c r="F3274" s="4" t="str">
        <f>HYPERLINK("http://141.218.60.56/~jnz1568/getInfo.php?workbook=12_04.xlsx&amp;sheet=A0&amp;row=3274&amp;col=6&amp;number=7.72e-10&amp;sourceID=14","7.72e-10")</f>
        <v>7.72e-10</v>
      </c>
      <c r="G3274" s="4" t="str">
        <f>HYPERLINK("http://141.218.60.56/~jnz1568/getInfo.php?workbook=12_04.xlsx&amp;sheet=A0&amp;row=3274&amp;col=7&amp;number=0&amp;sourceID=14","0")</f>
        <v>0</v>
      </c>
    </row>
    <row r="3275" spans="1:7">
      <c r="A3275" s="3">
        <v>12</v>
      </c>
      <c r="B3275" s="3">
        <v>4</v>
      </c>
      <c r="C3275" s="3">
        <v>91</v>
      </c>
      <c r="D3275" s="3">
        <v>46</v>
      </c>
      <c r="E3275" s="3">
        <v>-244.042</v>
      </c>
      <c r="F3275" s="4" t="str">
        <f>HYPERLINK("http://141.218.60.56/~jnz1568/getInfo.php?workbook=12_04.xlsx&amp;sheet=A0&amp;row=3275&amp;col=6&amp;number=62.5&amp;sourceID=14","62.5")</f>
        <v>62.5</v>
      </c>
      <c r="G3275" s="4" t="str">
        <f>HYPERLINK("http://141.218.60.56/~jnz1568/getInfo.php?workbook=12_04.xlsx&amp;sheet=A0&amp;row=3275&amp;col=7&amp;number=0&amp;sourceID=14","0")</f>
        <v>0</v>
      </c>
    </row>
    <row r="3276" spans="1:7">
      <c r="A3276" s="3">
        <v>12</v>
      </c>
      <c r="B3276" s="3">
        <v>4</v>
      </c>
      <c r="C3276" s="3">
        <v>92</v>
      </c>
      <c r="D3276" s="3">
        <v>46</v>
      </c>
      <c r="E3276" s="3">
        <v>-243.871</v>
      </c>
      <c r="F3276" s="4" t="str">
        <f>HYPERLINK("http://141.218.60.56/~jnz1568/getInfo.php?workbook=12_04.xlsx&amp;sheet=A0&amp;row=3276&amp;col=6&amp;number=0.585&amp;sourceID=14","0.585")</f>
        <v>0.585</v>
      </c>
      <c r="G3276" s="4" t="str">
        <f>HYPERLINK("http://141.218.60.56/~jnz1568/getInfo.php?workbook=12_04.xlsx&amp;sheet=A0&amp;row=3276&amp;col=7&amp;number=0&amp;sourceID=14","0")</f>
        <v>0</v>
      </c>
    </row>
    <row r="3277" spans="1:7">
      <c r="A3277" s="3">
        <v>12</v>
      </c>
      <c r="B3277" s="3">
        <v>4</v>
      </c>
      <c r="C3277" s="3">
        <v>93</v>
      </c>
      <c r="D3277" s="3">
        <v>46</v>
      </c>
      <c r="E3277" s="3">
        <v>-243.715</v>
      </c>
      <c r="F3277" s="4" t="str">
        <f>HYPERLINK("http://141.218.60.56/~jnz1568/getInfo.php?workbook=12_04.xlsx&amp;sheet=A0&amp;row=3277&amp;col=6&amp;number=9160000000&amp;sourceID=14","9160000000")</f>
        <v>9160000000</v>
      </c>
      <c r="G3277" s="4" t="str">
        <f>HYPERLINK("http://141.218.60.56/~jnz1568/getInfo.php?workbook=12_04.xlsx&amp;sheet=A0&amp;row=3277&amp;col=7&amp;number=0&amp;sourceID=14","0")</f>
        <v>0</v>
      </c>
    </row>
    <row r="3278" spans="1:7">
      <c r="A3278" s="3">
        <v>12</v>
      </c>
      <c r="B3278" s="3">
        <v>4</v>
      </c>
      <c r="C3278" s="3">
        <v>94</v>
      </c>
      <c r="D3278" s="3">
        <v>46</v>
      </c>
      <c r="E3278" s="3">
        <v>-243.142</v>
      </c>
      <c r="F3278" s="4" t="str">
        <f>HYPERLINK("http://141.218.60.56/~jnz1568/getInfo.php?workbook=12_04.xlsx&amp;sheet=A0&amp;row=3278&amp;col=6&amp;number=2170000&amp;sourceID=14","2170000")</f>
        <v>2170000</v>
      </c>
      <c r="G3278" s="4" t="str">
        <f>HYPERLINK("http://141.218.60.56/~jnz1568/getInfo.php?workbook=12_04.xlsx&amp;sheet=A0&amp;row=3278&amp;col=7&amp;number=0&amp;sourceID=14","0")</f>
        <v>0</v>
      </c>
    </row>
    <row r="3279" spans="1:7">
      <c r="A3279" s="3">
        <v>12</v>
      </c>
      <c r="B3279" s="3">
        <v>4</v>
      </c>
      <c r="C3279" s="3">
        <v>95</v>
      </c>
      <c r="D3279" s="3">
        <v>46</v>
      </c>
      <c r="E3279" s="3">
        <v>-242.768</v>
      </c>
      <c r="F3279" s="4" t="str">
        <f>HYPERLINK("http://141.218.60.56/~jnz1568/getInfo.php?workbook=12_04.xlsx&amp;sheet=A0&amp;row=3279&amp;col=6&amp;number=4530000000&amp;sourceID=14","4530000000")</f>
        <v>4530000000</v>
      </c>
      <c r="G3279" s="4" t="str">
        <f>HYPERLINK("http://141.218.60.56/~jnz1568/getInfo.php?workbook=12_04.xlsx&amp;sheet=A0&amp;row=3279&amp;col=7&amp;number=0&amp;sourceID=14","0")</f>
        <v>0</v>
      </c>
    </row>
    <row r="3280" spans="1:7">
      <c r="A3280" s="3">
        <v>12</v>
      </c>
      <c r="B3280" s="3">
        <v>4</v>
      </c>
      <c r="C3280" s="3">
        <v>96</v>
      </c>
      <c r="D3280" s="3">
        <v>46</v>
      </c>
      <c r="E3280" s="3">
        <v>-242.422</v>
      </c>
      <c r="F3280" s="4" t="str">
        <f>HYPERLINK("http://141.218.60.56/~jnz1568/getInfo.php?workbook=12_04.xlsx&amp;sheet=A0&amp;row=3280&amp;col=6&amp;number=62300000000&amp;sourceID=14","62300000000")</f>
        <v>62300000000</v>
      </c>
      <c r="G3280" s="4" t="str">
        <f>HYPERLINK("http://141.218.60.56/~jnz1568/getInfo.php?workbook=12_04.xlsx&amp;sheet=A0&amp;row=3280&amp;col=7&amp;number=0&amp;sourceID=14","0")</f>
        <v>0</v>
      </c>
    </row>
    <row r="3281" spans="1:7">
      <c r="A3281" s="3">
        <v>12</v>
      </c>
      <c r="B3281" s="3">
        <v>4</v>
      </c>
      <c r="C3281" s="3">
        <v>97</v>
      </c>
      <c r="D3281" s="3">
        <v>46</v>
      </c>
      <c r="E3281" s="3">
        <v>240.958</v>
      </c>
      <c r="F3281" s="4" t="str">
        <f>HYPERLINK("http://141.218.60.56/~jnz1568/getInfo.php?workbook=12_04.xlsx&amp;sheet=A0&amp;row=3281&amp;col=6&amp;number=11200&amp;sourceID=14","11200")</f>
        <v>11200</v>
      </c>
      <c r="G3281" s="4" t="str">
        <f>HYPERLINK("http://141.218.60.56/~jnz1568/getInfo.php?workbook=12_04.xlsx&amp;sheet=A0&amp;row=3281&amp;col=7&amp;number=0&amp;sourceID=14","0")</f>
        <v>0</v>
      </c>
    </row>
    <row r="3282" spans="1:7">
      <c r="A3282" s="3">
        <v>12</v>
      </c>
      <c r="B3282" s="3">
        <v>4</v>
      </c>
      <c r="C3282" s="3">
        <v>98</v>
      </c>
      <c r="D3282" s="3">
        <v>46</v>
      </c>
      <c r="E3282" s="3">
        <v>239.952</v>
      </c>
      <c r="F3282" s="4" t="str">
        <f>HYPERLINK("http://141.218.60.56/~jnz1568/getInfo.php?workbook=12_04.xlsx&amp;sheet=A0&amp;row=3282&amp;col=6&amp;number=207000&amp;sourceID=14","207000")</f>
        <v>207000</v>
      </c>
      <c r="G3282" s="4" t="str">
        <f>HYPERLINK("http://141.218.60.56/~jnz1568/getInfo.php?workbook=12_04.xlsx&amp;sheet=A0&amp;row=3282&amp;col=7&amp;number=0&amp;sourceID=14","0")</f>
        <v>0</v>
      </c>
    </row>
    <row r="3283" spans="1:7">
      <c r="A3283" s="3">
        <v>12</v>
      </c>
      <c r="B3283" s="3">
        <v>4</v>
      </c>
      <c r="C3283" s="3">
        <v>48</v>
      </c>
      <c r="D3283" s="3">
        <v>47</v>
      </c>
      <c r="E3283" s="3">
        <v>-9930.505</v>
      </c>
      <c r="F3283" s="4" t="str">
        <f>HYPERLINK("http://141.218.60.56/~jnz1568/getInfo.php?workbook=12_04.xlsx&amp;sheet=A0&amp;row=3283&amp;col=6&amp;number=1.29e-05&amp;sourceID=14","1.29e-05")</f>
        <v>1.29e-05</v>
      </c>
      <c r="G3283" s="4" t="str">
        <f>HYPERLINK("http://141.218.60.56/~jnz1568/getInfo.php?workbook=12_04.xlsx&amp;sheet=A0&amp;row=3283&amp;col=7&amp;number=0&amp;sourceID=14","0")</f>
        <v>0</v>
      </c>
    </row>
    <row r="3284" spans="1:7">
      <c r="A3284" s="3">
        <v>12</v>
      </c>
      <c r="B3284" s="3">
        <v>4</v>
      </c>
      <c r="C3284" s="3">
        <v>49</v>
      </c>
      <c r="D3284" s="3">
        <v>47</v>
      </c>
      <c r="E3284" s="3">
        <v>-4065.544</v>
      </c>
      <c r="F3284" s="4" t="str">
        <f>HYPERLINK("http://141.218.60.56/~jnz1568/getInfo.php?workbook=12_04.xlsx&amp;sheet=A0&amp;row=3284&amp;col=6&amp;number=60100000&amp;sourceID=14","60100000")</f>
        <v>60100000</v>
      </c>
      <c r="G3284" s="4" t="str">
        <f>HYPERLINK("http://141.218.60.56/~jnz1568/getInfo.php?workbook=12_04.xlsx&amp;sheet=A0&amp;row=3284&amp;col=7&amp;number=0&amp;sourceID=14","0")</f>
        <v>0</v>
      </c>
    </row>
    <row r="3285" spans="1:7">
      <c r="A3285" s="3">
        <v>12</v>
      </c>
      <c r="B3285" s="3">
        <v>4</v>
      </c>
      <c r="C3285" s="3">
        <v>50</v>
      </c>
      <c r="D3285" s="3">
        <v>47</v>
      </c>
      <c r="E3285" s="3">
        <v>-4046.461</v>
      </c>
      <c r="F3285" s="4" t="str">
        <f>HYPERLINK("http://141.218.60.56/~jnz1568/getInfo.php?workbook=12_04.xlsx&amp;sheet=A0&amp;row=3285&amp;col=6&amp;number=60800000&amp;sourceID=14","60800000")</f>
        <v>60800000</v>
      </c>
      <c r="G3285" s="4" t="str">
        <f>HYPERLINK("http://141.218.60.56/~jnz1568/getInfo.php?workbook=12_04.xlsx&amp;sheet=A0&amp;row=3285&amp;col=7&amp;number=0&amp;sourceID=14","0")</f>
        <v>0</v>
      </c>
    </row>
    <row r="3286" spans="1:7">
      <c r="A3286" s="3">
        <v>12</v>
      </c>
      <c r="B3286" s="3">
        <v>4</v>
      </c>
      <c r="C3286" s="3">
        <v>51</v>
      </c>
      <c r="D3286" s="3">
        <v>47</v>
      </c>
      <c r="E3286" s="3">
        <v>-4004.012</v>
      </c>
      <c r="F3286" s="4" t="str">
        <f>HYPERLINK("http://141.218.60.56/~jnz1568/getInfo.php?workbook=12_04.xlsx&amp;sheet=A0&amp;row=3286&amp;col=6&amp;number=62900000&amp;sourceID=14","62900000")</f>
        <v>62900000</v>
      </c>
      <c r="G3286" s="4" t="str">
        <f>HYPERLINK("http://141.218.60.56/~jnz1568/getInfo.php?workbook=12_04.xlsx&amp;sheet=A0&amp;row=3286&amp;col=7&amp;number=0&amp;sourceID=14","0")</f>
        <v>0</v>
      </c>
    </row>
    <row r="3287" spans="1:7">
      <c r="A3287" s="3">
        <v>12</v>
      </c>
      <c r="B3287" s="3">
        <v>4</v>
      </c>
      <c r="C3287" s="3">
        <v>52</v>
      </c>
      <c r="D3287" s="3">
        <v>47</v>
      </c>
      <c r="E3287" s="3">
        <v>-3605.949</v>
      </c>
      <c r="F3287" s="4" t="str">
        <f>HYPERLINK("http://141.218.60.56/~jnz1568/getInfo.php?workbook=12_04.xlsx&amp;sheet=A0&amp;row=3287&amp;col=6&amp;number=318000&amp;sourceID=14","318000")</f>
        <v>318000</v>
      </c>
      <c r="G3287" s="4" t="str">
        <f>HYPERLINK("http://141.218.60.56/~jnz1568/getInfo.php?workbook=12_04.xlsx&amp;sheet=A0&amp;row=3287&amp;col=7&amp;number=0&amp;sourceID=14","0")</f>
        <v>0</v>
      </c>
    </row>
    <row r="3288" spans="1:7">
      <c r="A3288" s="3">
        <v>12</v>
      </c>
      <c r="B3288" s="3">
        <v>4</v>
      </c>
      <c r="C3288" s="3">
        <v>53</v>
      </c>
      <c r="D3288" s="3">
        <v>47</v>
      </c>
      <c r="E3288" s="3">
        <v>-2588.867</v>
      </c>
      <c r="F3288" s="4" t="str">
        <f>HYPERLINK("http://141.218.60.56/~jnz1568/getInfo.php?workbook=12_04.xlsx&amp;sheet=A0&amp;row=3288&amp;col=6&amp;number=92.3&amp;sourceID=14","92.3")</f>
        <v>92.3</v>
      </c>
      <c r="G3288" s="4" t="str">
        <f>HYPERLINK("http://141.218.60.56/~jnz1568/getInfo.php?workbook=12_04.xlsx&amp;sheet=A0&amp;row=3288&amp;col=7&amp;number=0&amp;sourceID=14","0")</f>
        <v>0</v>
      </c>
    </row>
    <row r="3289" spans="1:7">
      <c r="A3289" s="3">
        <v>12</v>
      </c>
      <c r="B3289" s="3">
        <v>4</v>
      </c>
      <c r="C3289" s="3">
        <v>54</v>
      </c>
      <c r="D3289" s="3">
        <v>47</v>
      </c>
      <c r="E3289" s="3">
        <v>-2585.721</v>
      </c>
      <c r="F3289" s="4" t="str">
        <f>HYPERLINK("http://141.218.60.56/~jnz1568/getInfo.php?workbook=12_04.xlsx&amp;sheet=A0&amp;row=3289&amp;col=6&amp;number=92.3&amp;sourceID=14","92.3")</f>
        <v>92.3</v>
      </c>
      <c r="G3289" s="4" t="str">
        <f>HYPERLINK("http://141.218.60.56/~jnz1568/getInfo.php?workbook=12_04.xlsx&amp;sheet=A0&amp;row=3289&amp;col=7&amp;number=0&amp;sourceID=14","0")</f>
        <v>0</v>
      </c>
    </row>
    <row r="3290" spans="1:7">
      <c r="A3290" s="3">
        <v>12</v>
      </c>
      <c r="B3290" s="3">
        <v>4</v>
      </c>
      <c r="C3290" s="3">
        <v>55</v>
      </c>
      <c r="D3290" s="3">
        <v>47</v>
      </c>
      <c r="E3290" s="3">
        <v>-2580.916</v>
      </c>
      <c r="F3290" s="4" t="str">
        <f>HYPERLINK("http://141.218.60.56/~jnz1568/getInfo.php?workbook=12_04.xlsx&amp;sheet=A0&amp;row=3290&amp;col=6&amp;number=93.2&amp;sourceID=14","93.2")</f>
        <v>93.2</v>
      </c>
      <c r="G3290" s="4" t="str">
        <f>HYPERLINK("http://141.218.60.56/~jnz1568/getInfo.php?workbook=12_04.xlsx&amp;sheet=A0&amp;row=3290&amp;col=7&amp;number=0&amp;sourceID=14","0")</f>
        <v>0</v>
      </c>
    </row>
    <row r="3291" spans="1:7">
      <c r="A3291" s="3">
        <v>12</v>
      </c>
      <c r="B3291" s="3">
        <v>4</v>
      </c>
      <c r="C3291" s="3">
        <v>56</v>
      </c>
      <c r="D3291" s="3">
        <v>47</v>
      </c>
      <c r="E3291" s="3">
        <v>-2112.382</v>
      </c>
      <c r="F3291" s="4" t="str">
        <f>HYPERLINK("http://141.218.60.56/~jnz1568/getInfo.php?workbook=12_04.xlsx&amp;sheet=A0&amp;row=3291&amp;col=6&amp;number=0.00889&amp;sourceID=14","0.00889")</f>
        <v>0.00889</v>
      </c>
      <c r="G3291" s="4" t="str">
        <f>HYPERLINK("http://141.218.60.56/~jnz1568/getInfo.php?workbook=12_04.xlsx&amp;sheet=A0&amp;row=3291&amp;col=7&amp;number=0&amp;sourceID=14","0")</f>
        <v>0</v>
      </c>
    </row>
    <row r="3292" spans="1:7">
      <c r="A3292" s="3">
        <v>12</v>
      </c>
      <c r="B3292" s="3">
        <v>4</v>
      </c>
      <c r="C3292" s="3">
        <v>57</v>
      </c>
      <c r="D3292" s="3">
        <v>47</v>
      </c>
      <c r="E3292" s="3">
        <v>-2099.345</v>
      </c>
      <c r="F3292" s="4" t="str">
        <f>HYPERLINK("http://141.218.60.56/~jnz1568/getInfo.php?workbook=12_04.xlsx&amp;sheet=A0&amp;row=3292&amp;col=6&amp;number=4.44e-05&amp;sourceID=14","4.44e-05")</f>
        <v>4.44e-05</v>
      </c>
      <c r="G3292" s="4" t="str">
        <f>HYPERLINK("http://141.218.60.56/~jnz1568/getInfo.php?workbook=12_04.xlsx&amp;sheet=A0&amp;row=3292&amp;col=7&amp;number=0&amp;sourceID=14","0")</f>
        <v>0</v>
      </c>
    </row>
    <row r="3293" spans="1:7">
      <c r="A3293" s="3">
        <v>12</v>
      </c>
      <c r="B3293" s="3">
        <v>4</v>
      </c>
      <c r="C3293" s="3">
        <v>58</v>
      </c>
      <c r="D3293" s="3">
        <v>47</v>
      </c>
      <c r="E3293" s="3">
        <v>-2098.067</v>
      </c>
      <c r="F3293" s="4" t="str">
        <f>HYPERLINK("http://141.218.60.56/~jnz1568/getInfo.php?workbook=12_04.xlsx&amp;sheet=A0&amp;row=3293&amp;col=6&amp;number=4.46e-05&amp;sourceID=14","4.46e-05")</f>
        <v>4.46e-05</v>
      </c>
      <c r="G3293" s="4" t="str">
        <f>HYPERLINK("http://141.218.60.56/~jnz1568/getInfo.php?workbook=12_04.xlsx&amp;sheet=A0&amp;row=3293&amp;col=7&amp;number=0&amp;sourceID=14","0")</f>
        <v>0</v>
      </c>
    </row>
    <row r="3294" spans="1:7">
      <c r="A3294" s="3">
        <v>12</v>
      </c>
      <c r="B3294" s="3">
        <v>4</v>
      </c>
      <c r="C3294" s="3">
        <v>59</v>
      </c>
      <c r="D3294" s="3">
        <v>47</v>
      </c>
      <c r="E3294" s="3">
        <v>-2096.396</v>
      </c>
      <c r="F3294" s="4" t="str">
        <f>HYPERLINK("http://141.218.60.56/~jnz1568/getInfo.php?workbook=12_04.xlsx&amp;sheet=A0&amp;row=3294&amp;col=6&amp;number=4.49e-05&amp;sourceID=14","4.49e-05")</f>
        <v>4.49e-05</v>
      </c>
      <c r="G3294" s="4" t="str">
        <f>HYPERLINK("http://141.218.60.56/~jnz1568/getInfo.php?workbook=12_04.xlsx&amp;sheet=A0&amp;row=3294&amp;col=7&amp;number=0&amp;sourceID=14","0")</f>
        <v>0</v>
      </c>
    </row>
    <row r="3295" spans="1:7">
      <c r="A3295" s="3">
        <v>12</v>
      </c>
      <c r="B3295" s="3">
        <v>4</v>
      </c>
      <c r="C3295" s="3">
        <v>60</v>
      </c>
      <c r="D3295" s="3">
        <v>47</v>
      </c>
      <c r="E3295" s="3">
        <v>-1990.965</v>
      </c>
      <c r="F3295" s="4" t="str">
        <f>HYPERLINK("http://141.218.60.56/~jnz1568/getInfo.php?workbook=12_04.xlsx&amp;sheet=A0&amp;row=3295&amp;col=6&amp;number=4.56e-09&amp;sourceID=14","4.56e-09")</f>
        <v>4.56e-09</v>
      </c>
      <c r="G3295" s="4" t="str">
        <f>HYPERLINK("http://141.218.60.56/~jnz1568/getInfo.php?workbook=12_04.xlsx&amp;sheet=A0&amp;row=3295&amp;col=7&amp;number=0&amp;sourceID=14","0")</f>
        <v>0</v>
      </c>
    </row>
    <row r="3296" spans="1:7">
      <c r="A3296" s="3">
        <v>12</v>
      </c>
      <c r="B3296" s="3">
        <v>4</v>
      </c>
      <c r="C3296" s="3">
        <v>61</v>
      </c>
      <c r="D3296" s="3">
        <v>47</v>
      </c>
      <c r="E3296" s="3">
        <v>-602.643</v>
      </c>
      <c r="F3296" s="4" t="str">
        <f>HYPERLINK("http://141.218.60.56/~jnz1568/getInfo.php?workbook=12_04.xlsx&amp;sheet=A0&amp;row=3296&amp;col=6&amp;number=721000000&amp;sourceID=14","721000000")</f>
        <v>721000000</v>
      </c>
      <c r="G3296" s="4" t="str">
        <f>HYPERLINK("http://141.218.60.56/~jnz1568/getInfo.php?workbook=12_04.xlsx&amp;sheet=A0&amp;row=3296&amp;col=7&amp;number=0&amp;sourceID=14","0")</f>
        <v>0</v>
      </c>
    </row>
    <row r="3297" spans="1:7">
      <c r="A3297" s="3">
        <v>12</v>
      </c>
      <c r="B3297" s="3">
        <v>4</v>
      </c>
      <c r="C3297" s="3">
        <v>62</v>
      </c>
      <c r="D3297" s="3">
        <v>47</v>
      </c>
      <c r="E3297" s="3">
        <v>-599.327</v>
      </c>
      <c r="F3297" s="4" t="str">
        <f>HYPERLINK("http://141.218.60.56/~jnz1568/getInfo.php?workbook=12_04.xlsx&amp;sheet=A0&amp;row=3297&amp;col=6&amp;number=702000000&amp;sourceID=14","702000000")</f>
        <v>702000000</v>
      </c>
      <c r="G3297" s="4" t="str">
        <f>HYPERLINK("http://141.218.60.56/~jnz1568/getInfo.php?workbook=12_04.xlsx&amp;sheet=A0&amp;row=3297&amp;col=7&amp;number=0&amp;sourceID=14","0")</f>
        <v>0</v>
      </c>
    </row>
    <row r="3298" spans="1:7">
      <c r="A3298" s="3">
        <v>12</v>
      </c>
      <c r="B3298" s="3">
        <v>4</v>
      </c>
      <c r="C3298" s="3">
        <v>63</v>
      </c>
      <c r="D3298" s="3">
        <v>47</v>
      </c>
      <c r="E3298" s="3">
        <v>-588.811</v>
      </c>
      <c r="F3298" s="4" t="str">
        <f>HYPERLINK("http://141.218.60.56/~jnz1568/getInfo.php?workbook=12_04.xlsx&amp;sheet=A0&amp;row=3298&amp;col=6&amp;number=771000000&amp;sourceID=14","771000000")</f>
        <v>771000000</v>
      </c>
      <c r="G3298" s="4" t="str">
        <f>HYPERLINK("http://141.218.60.56/~jnz1568/getInfo.php?workbook=12_04.xlsx&amp;sheet=A0&amp;row=3298&amp;col=7&amp;number=0&amp;sourceID=14","0")</f>
        <v>0</v>
      </c>
    </row>
    <row r="3299" spans="1:7">
      <c r="A3299" s="3">
        <v>12</v>
      </c>
      <c r="B3299" s="3">
        <v>4</v>
      </c>
      <c r="C3299" s="3">
        <v>64</v>
      </c>
      <c r="D3299" s="3">
        <v>47</v>
      </c>
      <c r="E3299" s="3">
        <v>-567.947</v>
      </c>
      <c r="F3299" s="4" t="str">
        <f>HYPERLINK("http://141.218.60.56/~jnz1568/getInfo.php?workbook=12_04.xlsx&amp;sheet=A0&amp;row=3299&amp;col=6&amp;number=35400000&amp;sourceID=14","35400000")</f>
        <v>35400000</v>
      </c>
      <c r="G3299" s="4" t="str">
        <f>HYPERLINK("http://141.218.60.56/~jnz1568/getInfo.php?workbook=12_04.xlsx&amp;sheet=A0&amp;row=3299&amp;col=7&amp;number=0&amp;sourceID=14","0")</f>
        <v>0</v>
      </c>
    </row>
    <row r="3300" spans="1:7">
      <c r="A3300" s="3">
        <v>12</v>
      </c>
      <c r="B3300" s="3">
        <v>4</v>
      </c>
      <c r="C3300" s="3">
        <v>65</v>
      </c>
      <c r="D3300" s="3">
        <v>47</v>
      </c>
      <c r="E3300" s="3">
        <v>-544.663</v>
      </c>
      <c r="F3300" s="4" t="str">
        <f>HYPERLINK("http://141.218.60.56/~jnz1568/getInfo.php?workbook=12_04.xlsx&amp;sheet=A0&amp;row=3300&amp;col=6&amp;number=17.9&amp;sourceID=14","17.9")</f>
        <v>17.9</v>
      </c>
      <c r="G3300" s="4" t="str">
        <f>HYPERLINK("http://141.218.60.56/~jnz1568/getInfo.php?workbook=12_04.xlsx&amp;sheet=A0&amp;row=3300&amp;col=7&amp;number=0&amp;sourceID=14","0")</f>
        <v>0</v>
      </c>
    </row>
    <row r="3301" spans="1:7">
      <c r="A3301" s="3">
        <v>12</v>
      </c>
      <c r="B3301" s="3">
        <v>4</v>
      </c>
      <c r="C3301" s="3">
        <v>66</v>
      </c>
      <c r="D3301" s="3">
        <v>47</v>
      </c>
      <c r="E3301" s="3">
        <v>-537.196</v>
      </c>
      <c r="F3301" s="4" t="str">
        <f>HYPERLINK("http://141.218.60.56/~jnz1568/getInfo.php?workbook=12_04.xlsx&amp;sheet=A0&amp;row=3301&amp;col=6&amp;number=41.8&amp;sourceID=14","41.8")</f>
        <v>41.8</v>
      </c>
      <c r="G3301" s="4" t="str">
        <f>HYPERLINK("http://141.218.60.56/~jnz1568/getInfo.php?workbook=12_04.xlsx&amp;sheet=A0&amp;row=3301&amp;col=7&amp;number=0&amp;sourceID=14","0")</f>
        <v>0</v>
      </c>
    </row>
    <row r="3302" spans="1:7">
      <c r="A3302" s="3">
        <v>12</v>
      </c>
      <c r="B3302" s="3">
        <v>4</v>
      </c>
      <c r="C3302" s="3">
        <v>67</v>
      </c>
      <c r="D3302" s="3">
        <v>47</v>
      </c>
      <c r="E3302" s="3">
        <v>-535.898</v>
      </c>
      <c r="F3302" s="4" t="str">
        <f>HYPERLINK("http://141.218.60.56/~jnz1568/getInfo.php?workbook=12_04.xlsx&amp;sheet=A0&amp;row=3302&amp;col=6&amp;number=62.1&amp;sourceID=14","62.1")</f>
        <v>62.1</v>
      </c>
      <c r="G3302" s="4" t="str">
        <f>HYPERLINK("http://141.218.60.56/~jnz1568/getInfo.php?workbook=12_04.xlsx&amp;sheet=A0&amp;row=3302&amp;col=7&amp;number=0&amp;sourceID=14","0")</f>
        <v>0</v>
      </c>
    </row>
    <row r="3303" spans="1:7">
      <c r="A3303" s="3">
        <v>12</v>
      </c>
      <c r="B3303" s="3">
        <v>4</v>
      </c>
      <c r="C3303" s="3">
        <v>68</v>
      </c>
      <c r="D3303" s="3">
        <v>47</v>
      </c>
      <c r="E3303" s="3">
        <v>-528.981</v>
      </c>
      <c r="F3303" s="4" t="str">
        <f>HYPERLINK("http://141.218.60.56/~jnz1568/getInfo.php?workbook=12_04.xlsx&amp;sheet=A0&amp;row=3303&amp;col=6&amp;number=71.7&amp;sourceID=14","71.7")</f>
        <v>71.7</v>
      </c>
      <c r="G3303" s="4" t="str">
        <f>HYPERLINK("http://141.218.60.56/~jnz1568/getInfo.php?workbook=12_04.xlsx&amp;sheet=A0&amp;row=3303&amp;col=7&amp;number=0&amp;sourceID=14","0")</f>
        <v>0</v>
      </c>
    </row>
    <row r="3304" spans="1:7">
      <c r="A3304" s="3">
        <v>12</v>
      </c>
      <c r="B3304" s="3">
        <v>4</v>
      </c>
      <c r="C3304" s="3">
        <v>69</v>
      </c>
      <c r="D3304" s="3">
        <v>47</v>
      </c>
      <c r="E3304" s="3">
        <v>-521</v>
      </c>
      <c r="F3304" s="4" t="str">
        <f>HYPERLINK("http://141.218.60.56/~jnz1568/getInfo.php?workbook=12_04.xlsx&amp;sheet=A0&amp;row=3304&amp;col=6&amp;number=0.859&amp;sourceID=14","0.859")</f>
        <v>0.859</v>
      </c>
      <c r="G3304" s="4" t="str">
        <f>HYPERLINK("http://141.218.60.56/~jnz1568/getInfo.php?workbook=12_04.xlsx&amp;sheet=A0&amp;row=3304&amp;col=7&amp;number=0&amp;sourceID=14","0")</f>
        <v>0</v>
      </c>
    </row>
    <row r="3305" spans="1:7">
      <c r="A3305" s="3">
        <v>12</v>
      </c>
      <c r="B3305" s="3">
        <v>4</v>
      </c>
      <c r="C3305" s="3">
        <v>70</v>
      </c>
      <c r="D3305" s="3">
        <v>47</v>
      </c>
      <c r="E3305" s="3">
        <v>-519.29</v>
      </c>
      <c r="F3305" s="4" t="str">
        <f>HYPERLINK("http://141.218.60.56/~jnz1568/getInfo.php?workbook=12_04.xlsx&amp;sheet=A0&amp;row=3305&amp;col=6&amp;number=0.142&amp;sourceID=14","0.142")</f>
        <v>0.142</v>
      </c>
      <c r="G3305" s="4" t="str">
        <f>HYPERLINK("http://141.218.60.56/~jnz1568/getInfo.php?workbook=12_04.xlsx&amp;sheet=A0&amp;row=3305&amp;col=7&amp;number=0&amp;sourceID=14","0")</f>
        <v>0</v>
      </c>
    </row>
    <row r="3306" spans="1:7">
      <c r="A3306" s="3">
        <v>12</v>
      </c>
      <c r="B3306" s="3">
        <v>4</v>
      </c>
      <c r="C3306" s="3">
        <v>71</v>
      </c>
      <c r="D3306" s="3">
        <v>47</v>
      </c>
      <c r="E3306" s="3">
        <v>-514.135</v>
      </c>
      <c r="F3306" s="4" t="str">
        <f>HYPERLINK("http://141.218.60.56/~jnz1568/getInfo.php?workbook=12_04.xlsx&amp;sheet=A0&amp;row=3306&amp;col=6&amp;number=0.434&amp;sourceID=14","0.434")</f>
        <v>0.434</v>
      </c>
      <c r="G3306" s="4" t="str">
        <f>HYPERLINK("http://141.218.60.56/~jnz1568/getInfo.php?workbook=12_04.xlsx&amp;sheet=A0&amp;row=3306&amp;col=7&amp;number=0&amp;sourceID=14","0")</f>
        <v>0</v>
      </c>
    </row>
    <row r="3307" spans="1:7">
      <c r="A3307" s="3">
        <v>12</v>
      </c>
      <c r="B3307" s="3">
        <v>4</v>
      </c>
      <c r="C3307" s="3">
        <v>72</v>
      </c>
      <c r="D3307" s="3">
        <v>47</v>
      </c>
      <c r="E3307" s="3">
        <v>-512.903</v>
      </c>
      <c r="F3307" s="4" t="str">
        <f>HYPERLINK("http://141.218.60.56/~jnz1568/getInfo.php?workbook=12_04.xlsx&amp;sheet=A0&amp;row=3307&amp;col=6&amp;number=1.9&amp;sourceID=14","1.9")</f>
        <v>1.9</v>
      </c>
      <c r="G3307" s="4" t="str">
        <f>HYPERLINK("http://141.218.60.56/~jnz1568/getInfo.php?workbook=12_04.xlsx&amp;sheet=A0&amp;row=3307&amp;col=7&amp;number=0&amp;sourceID=14","0")</f>
        <v>0</v>
      </c>
    </row>
    <row r="3308" spans="1:7">
      <c r="A3308" s="3">
        <v>12</v>
      </c>
      <c r="B3308" s="3">
        <v>4</v>
      </c>
      <c r="C3308" s="3">
        <v>73</v>
      </c>
      <c r="D3308" s="3">
        <v>47</v>
      </c>
      <c r="E3308" s="3">
        <v>-505.039</v>
      </c>
      <c r="F3308" s="4" t="str">
        <f>HYPERLINK("http://141.218.60.56/~jnz1568/getInfo.php?workbook=12_04.xlsx&amp;sheet=A0&amp;row=3308&amp;col=6&amp;number=5240&amp;sourceID=14","5240")</f>
        <v>5240</v>
      </c>
      <c r="G3308" s="4" t="str">
        <f>HYPERLINK("http://141.218.60.56/~jnz1568/getInfo.php?workbook=12_04.xlsx&amp;sheet=A0&amp;row=3308&amp;col=7&amp;number=0&amp;sourceID=14","0")</f>
        <v>0</v>
      </c>
    </row>
    <row r="3309" spans="1:7">
      <c r="A3309" s="3">
        <v>12</v>
      </c>
      <c r="B3309" s="3">
        <v>4</v>
      </c>
      <c r="C3309" s="3">
        <v>74</v>
      </c>
      <c r="D3309" s="3">
        <v>47</v>
      </c>
      <c r="E3309" s="3">
        <v>-500.214</v>
      </c>
      <c r="F3309" s="4" t="str">
        <f>HYPERLINK("http://141.218.60.56/~jnz1568/getInfo.php?workbook=12_04.xlsx&amp;sheet=A0&amp;row=3309&amp;col=6&amp;number=0.00449&amp;sourceID=14","0.00449")</f>
        <v>0.00449</v>
      </c>
      <c r="G3309" s="4" t="str">
        <f>HYPERLINK("http://141.218.60.56/~jnz1568/getInfo.php?workbook=12_04.xlsx&amp;sheet=A0&amp;row=3309&amp;col=7&amp;number=0&amp;sourceID=14","0")</f>
        <v>0</v>
      </c>
    </row>
    <row r="3310" spans="1:7">
      <c r="A3310" s="3">
        <v>12</v>
      </c>
      <c r="B3310" s="3">
        <v>4</v>
      </c>
      <c r="C3310" s="3">
        <v>75</v>
      </c>
      <c r="D3310" s="3">
        <v>47</v>
      </c>
      <c r="E3310" s="3">
        <v>-498.712</v>
      </c>
      <c r="F3310" s="4" t="str">
        <f>HYPERLINK("http://141.218.60.56/~jnz1568/getInfo.php?workbook=12_04.xlsx&amp;sheet=A0&amp;row=3310&amp;col=6&amp;number=26200&amp;sourceID=14","26200")</f>
        <v>26200</v>
      </c>
      <c r="G3310" s="4" t="str">
        <f>HYPERLINK("http://141.218.60.56/~jnz1568/getInfo.php?workbook=12_04.xlsx&amp;sheet=A0&amp;row=3310&amp;col=7&amp;number=0&amp;sourceID=14","0")</f>
        <v>0</v>
      </c>
    </row>
    <row r="3311" spans="1:7">
      <c r="A3311" s="3">
        <v>12</v>
      </c>
      <c r="B3311" s="3">
        <v>4</v>
      </c>
      <c r="C3311" s="3">
        <v>76</v>
      </c>
      <c r="D3311" s="3">
        <v>47</v>
      </c>
      <c r="E3311" s="3">
        <v>-496.05</v>
      </c>
      <c r="F3311" s="4" t="str">
        <f>HYPERLINK("http://141.218.60.56/~jnz1568/getInfo.php?workbook=12_04.xlsx&amp;sheet=A0&amp;row=3311&amp;col=6&amp;number=1.44&amp;sourceID=14","1.44")</f>
        <v>1.44</v>
      </c>
      <c r="G3311" s="4" t="str">
        <f>HYPERLINK("http://141.218.60.56/~jnz1568/getInfo.php?workbook=12_04.xlsx&amp;sheet=A0&amp;row=3311&amp;col=7&amp;number=0&amp;sourceID=14","0")</f>
        <v>0</v>
      </c>
    </row>
    <row r="3312" spans="1:7">
      <c r="A3312" s="3">
        <v>12</v>
      </c>
      <c r="B3312" s="3">
        <v>4</v>
      </c>
      <c r="C3312" s="3">
        <v>77</v>
      </c>
      <c r="D3312" s="3">
        <v>47</v>
      </c>
      <c r="E3312" s="3">
        <v>-494.83</v>
      </c>
      <c r="F3312" s="4" t="str">
        <f>HYPERLINK("http://141.218.60.56/~jnz1568/getInfo.php?workbook=12_04.xlsx&amp;sheet=A0&amp;row=3312&amp;col=6&amp;number=0.00448&amp;sourceID=14","0.00448")</f>
        <v>0.00448</v>
      </c>
      <c r="G3312" s="4" t="str">
        <f>HYPERLINK("http://141.218.60.56/~jnz1568/getInfo.php?workbook=12_04.xlsx&amp;sheet=A0&amp;row=3312&amp;col=7&amp;number=0&amp;sourceID=14","0")</f>
        <v>0</v>
      </c>
    </row>
    <row r="3313" spans="1:7">
      <c r="A3313" s="3">
        <v>12</v>
      </c>
      <c r="B3313" s="3">
        <v>4</v>
      </c>
      <c r="C3313" s="3">
        <v>78</v>
      </c>
      <c r="D3313" s="3">
        <v>47</v>
      </c>
      <c r="E3313" s="3">
        <v>-487.582</v>
      </c>
      <c r="F3313" s="4" t="str">
        <f>HYPERLINK("http://141.218.60.56/~jnz1568/getInfo.php?workbook=12_04.xlsx&amp;sheet=A0&amp;row=3313&amp;col=6&amp;number=581&amp;sourceID=14","581")</f>
        <v>581</v>
      </c>
      <c r="G3313" s="4" t="str">
        <f>HYPERLINK("http://141.218.60.56/~jnz1568/getInfo.php?workbook=12_04.xlsx&amp;sheet=A0&amp;row=3313&amp;col=7&amp;number=0&amp;sourceID=14","0")</f>
        <v>0</v>
      </c>
    </row>
    <row r="3314" spans="1:7">
      <c r="A3314" s="3">
        <v>12</v>
      </c>
      <c r="B3314" s="3">
        <v>4</v>
      </c>
      <c r="C3314" s="3">
        <v>79</v>
      </c>
      <c r="D3314" s="3">
        <v>47</v>
      </c>
      <c r="E3314" s="3">
        <v>-486.115</v>
      </c>
      <c r="F3314" s="4" t="str">
        <f>HYPERLINK("http://141.218.60.56/~jnz1568/getInfo.php?workbook=12_04.xlsx&amp;sheet=A0&amp;row=3314&amp;col=6&amp;number=18900&amp;sourceID=14","18900")</f>
        <v>18900</v>
      </c>
      <c r="G3314" s="4" t="str">
        <f>HYPERLINK("http://141.218.60.56/~jnz1568/getInfo.php?workbook=12_04.xlsx&amp;sheet=A0&amp;row=3314&amp;col=7&amp;number=0&amp;sourceID=14","0")</f>
        <v>0</v>
      </c>
    </row>
    <row r="3315" spans="1:7">
      <c r="A3315" s="3">
        <v>12</v>
      </c>
      <c r="B3315" s="3">
        <v>4</v>
      </c>
      <c r="C3315" s="3">
        <v>80</v>
      </c>
      <c r="D3315" s="3">
        <v>47</v>
      </c>
      <c r="E3315" s="3">
        <v>-483.2</v>
      </c>
      <c r="F3315" s="4" t="str">
        <f>HYPERLINK("http://141.218.60.56/~jnz1568/getInfo.php?workbook=12_04.xlsx&amp;sheet=A0&amp;row=3315&amp;col=6&amp;number=27.2&amp;sourceID=14","27.2")</f>
        <v>27.2</v>
      </c>
      <c r="G3315" s="4" t="str">
        <f>HYPERLINK("http://141.218.60.56/~jnz1568/getInfo.php?workbook=12_04.xlsx&amp;sheet=A0&amp;row=3315&amp;col=7&amp;number=0&amp;sourceID=14","0")</f>
        <v>0</v>
      </c>
    </row>
    <row r="3316" spans="1:7">
      <c r="A3316" s="3">
        <v>12</v>
      </c>
      <c r="B3316" s="3">
        <v>4</v>
      </c>
      <c r="C3316" s="3">
        <v>81</v>
      </c>
      <c r="D3316" s="3">
        <v>47</v>
      </c>
      <c r="E3316" s="3">
        <v>-483.137</v>
      </c>
      <c r="F3316" s="4" t="str">
        <f>HYPERLINK("http://141.218.60.56/~jnz1568/getInfo.php?workbook=12_04.xlsx&amp;sheet=A0&amp;row=3316&amp;col=6&amp;number=0.0147&amp;sourceID=14","0.0147")</f>
        <v>0.0147</v>
      </c>
      <c r="G3316" s="4" t="str">
        <f>HYPERLINK("http://141.218.60.56/~jnz1568/getInfo.php?workbook=12_04.xlsx&amp;sheet=A0&amp;row=3316&amp;col=7&amp;number=0&amp;sourceID=14","0")</f>
        <v>0</v>
      </c>
    </row>
    <row r="3317" spans="1:7">
      <c r="A3317" s="3">
        <v>12</v>
      </c>
      <c r="B3317" s="3">
        <v>4</v>
      </c>
      <c r="C3317" s="3">
        <v>82</v>
      </c>
      <c r="D3317" s="3">
        <v>47</v>
      </c>
      <c r="E3317" s="3">
        <v>-482.356</v>
      </c>
      <c r="F3317" s="4" t="str">
        <f>HYPERLINK("http://141.218.60.56/~jnz1568/getInfo.php?workbook=12_04.xlsx&amp;sheet=A0&amp;row=3317&amp;col=6&amp;number=17.4&amp;sourceID=14","17.4")</f>
        <v>17.4</v>
      </c>
      <c r="G3317" s="4" t="str">
        <f>HYPERLINK("http://141.218.60.56/~jnz1568/getInfo.php?workbook=12_04.xlsx&amp;sheet=A0&amp;row=3317&amp;col=7&amp;number=0&amp;sourceID=14","0")</f>
        <v>0</v>
      </c>
    </row>
    <row r="3318" spans="1:7">
      <c r="A3318" s="3">
        <v>12</v>
      </c>
      <c r="B3318" s="3">
        <v>4</v>
      </c>
      <c r="C3318" s="3">
        <v>83</v>
      </c>
      <c r="D3318" s="3">
        <v>47</v>
      </c>
      <c r="E3318" s="3">
        <v>-482.345</v>
      </c>
      <c r="F3318" s="4" t="str">
        <f>HYPERLINK("http://141.218.60.56/~jnz1568/getInfo.php?workbook=12_04.xlsx&amp;sheet=A0&amp;row=3318&amp;col=6&amp;number=17&amp;sourceID=14","17")</f>
        <v>17</v>
      </c>
      <c r="G3318" s="4" t="str">
        <f>HYPERLINK("http://141.218.60.56/~jnz1568/getInfo.php?workbook=12_04.xlsx&amp;sheet=A0&amp;row=3318&amp;col=7&amp;number=0&amp;sourceID=14","0")</f>
        <v>0</v>
      </c>
    </row>
    <row r="3319" spans="1:7">
      <c r="A3319" s="3">
        <v>12</v>
      </c>
      <c r="B3319" s="3">
        <v>4</v>
      </c>
      <c r="C3319" s="3">
        <v>84</v>
      </c>
      <c r="D3319" s="3">
        <v>47</v>
      </c>
      <c r="E3319" s="3">
        <v>-481.59</v>
      </c>
      <c r="F3319" s="4" t="str">
        <f>HYPERLINK("http://141.218.60.56/~jnz1568/getInfo.php?workbook=12_04.xlsx&amp;sheet=A0&amp;row=3319&amp;col=6&amp;number=5.54e-08&amp;sourceID=14","5.54e-08")</f>
        <v>5.54e-08</v>
      </c>
      <c r="G3319" s="4" t="str">
        <f>HYPERLINK("http://141.218.60.56/~jnz1568/getInfo.php?workbook=12_04.xlsx&amp;sheet=A0&amp;row=3319&amp;col=7&amp;number=0&amp;sourceID=14","0")</f>
        <v>0</v>
      </c>
    </row>
    <row r="3320" spans="1:7">
      <c r="A3320" s="3">
        <v>12</v>
      </c>
      <c r="B3320" s="3">
        <v>4</v>
      </c>
      <c r="C3320" s="3">
        <v>85</v>
      </c>
      <c r="D3320" s="3">
        <v>47</v>
      </c>
      <c r="E3320" s="3">
        <v>-478.186</v>
      </c>
      <c r="F3320" s="4" t="str">
        <f>HYPERLINK("http://141.218.60.56/~jnz1568/getInfo.php?workbook=12_04.xlsx&amp;sheet=A0&amp;row=3320&amp;col=6&amp;number=446&amp;sourceID=14","446")</f>
        <v>446</v>
      </c>
      <c r="G3320" s="4" t="str">
        <f>HYPERLINK("http://141.218.60.56/~jnz1568/getInfo.php?workbook=12_04.xlsx&amp;sheet=A0&amp;row=3320&amp;col=7&amp;number=0&amp;sourceID=14","0")</f>
        <v>0</v>
      </c>
    </row>
    <row r="3321" spans="1:7">
      <c r="A3321" s="3">
        <v>12</v>
      </c>
      <c r="B3321" s="3">
        <v>4</v>
      </c>
      <c r="C3321" s="3">
        <v>86</v>
      </c>
      <c r="D3321" s="3">
        <v>47</v>
      </c>
      <c r="E3321" s="3">
        <v>-476.773</v>
      </c>
      <c r="F3321" s="4" t="str">
        <f>HYPERLINK("http://141.218.60.56/~jnz1568/getInfo.php?workbook=12_04.xlsx&amp;sheet=A0&amp;row=3321&amp;col=6&amp;number=85600&amp;sourceID=14","85600")</f>
        <v>85600</v>
      </c>
      <c r="G3321" s="4" t="str">
        <f>HYPERLINK("http://141.218.60.56/~jnz1568/getInfo.php?workbook=12_04.xlsx&amp;sheet=A0&amp;row=3321&amp;col=7&amp;number=0&amp;sourceID=14","0")</f>
        <v>0</v>
      </c>
    </row>
    <row r="3322" spans="1:7">
      <c r="A3322" s="3">
        <v>12</v>
      </c>
      <c r="B3322" s="3">
        <v>4</v>
      </c>
      <c r="C3322" s="3">
        <v>87</v>
      </c>
      <c r="D3322" s="3">
        <v>47</v>
      </c>
      <c r="E3322" s="3">
        <v>-476.019</v>
      </c>
      <c r="F3322" s="4" t="str">
        <f>HYPERLINK("http://141.218.60.56/~jnz1568/getInfo.php?workbook=12_04.xlsx&amp;sheet=A0&amp;row=3322&amp;col=6&amp;number=191000&amp;sourceID=14","191000")</f>
        <v>191000</v>
      </c>
      <c r="G3322" s="4" t="str">
        <f>HYPERLINK("http://141.218.60.56/~jnz1568/getInfo.php?workbook=12_04.xlsx&amp;sheet=A0&amp;row=3322&amp;col=7&amp;number=0&amp;sourceID=14","0")</f>
        <v>0</v>
      </c>
    </row>
    <row r="3323" spans="1:7">
      <c r="A3323" s="3">
        <v>12</v>
      </c>
      <c r="B3323" s="3">
        <v>4</v>
      </c>
      <c r="C3323" s="3">
        <v>88</v>
      </c>
      <c r="D3323" s="3">
        <v>47</v>
      </c>
      <c r="E3323" s="3">
        <v>-474.251</v>
      </c>
      <c r="F3323" s="4" t="str">
        <f>HYPERLINK("http://141.218.60.56/~jnz1568/getInfo.php?workbook=12_04.xlsx&amp;sheet=A0&amp;row=3323&amp;col=6&amp;number=0.147&amp;sourceID=14","0.147")</f>
        <v>0.147</v>
      </c>
      <c r="G3323" s="4" t="str">
        <f>HYPERLINK("http://141.218.60.56/~jnz1568/getInfo.php?workbook=12_04.xlsx&amp;sheet=A0&amp;row=3323&amp;col=7&amp;number=0&amp;sourceID=14","0")</f>
        <v>0</v>
      </c>
    </row>
    <row r="3324" spans="1:7">
      <c r="A3324" s="3">
        <v>12</v>
      </c>
      <c r="B3324" s="3">
        <v>4</v>
      </c>
      <c r="C3324" s="3">
        <v>89</v>
      </c>
      <c r="D3324" s="3">
        <v>47</v>
      </c>
      <c r="E3324" s="3">
        <v>-473.212</v>
      </c>
      <c r="F3324" s="4" t="str">
        <f>HYPERLINK("http://141.218.60.56/~jnz1568/getInfo.php?workbook=12_04.xlsx&amp;sheet=A0&amp;row=3324&amp;col=6&amp;number=4.07e-08&amp;sourceID=14","4.07e-08")</f>
        <v>4.07e-08</v>
      </c>
      <c r="G3324" s="4" t="str">
        <f>HYPERLINK("http://141.218.60.56/~jnz1568/getInfo.php?workbook=12_04.xlsx&amp;sheet=A0&amp;row=3324&amp;col=7&amp;number=0&amp;sourceID=14","0")</f>
        <v>0</v>
      </c>
    </row>
    <row r="3325" spans="1:7">
      <c r="A3325" s="3">
        <v>12</v>
      </c>
      <c r="B3325" s="3">
        <v>4</v>
      </c>
      <c r="C3325" s="3">
        <v>90</v>
      </c>
      <c r="D3325" s="3">
        <v>47</v>
      </c>
      <c r="E3325" s="3">
        <v>-470.156</v>
      </c>
      <c r="F3325" s="4" t="str">
        <f>HYPERLINK("http://141.218.60.56/~jnz1568/getInfo.php?workbook=12_04.xlsx&amp;sheet=A0&amp;row=3325&amp;col=6&amp;number=3.32e-08&amp;sourceID=14","3.32e-08")</f>
        <v>3.32e-08</v>
      </c>
      <c r="G3325" s="4" t="str">
        <f>HYPERLINK("http://141.218.60.56/~jnz1568/getInfo.php?workbook=12_04.xlsx&amp;sheet=A0&amp;row=3325&amp;col=7&amp;number=0&amp;sourceID=14","0")</f>
        <v>0</v>
      </c>
    </row>
    <row r="3326" spans="1:7">
      <c r="A3326" s="3">
        <v>12</v>
      </c>
      <c r="B3326" s="3">
        <v>4</v>
      </c>
      <c r="C3326" s="3">
        <v>91</v>
      </c>
      <c r="D3326" s="3">
        <v>47</v>
      </c>
      <c r="E3326" s="3">
        <v>-467.476</v>
      </c>
      <c r="F3326" s="4" t="str">
        <f>HYPERLINK("http://141.218.60.56/~jnz1568/getInfo.php?workbook=12_04.xlsx&amp;sheet=A0&amp;row=3326&amp;col=6&amp;number=508&amp;sourceID=14","508")</f>
        <v>508</v>
      </c>
      <c r="G3326" s="4" t="str">
        <f>HYPERLINK("http://141.218.60.56/~jnz1568/getInfo.php?workbook=12_04.xlsx&amp;sheet=A0&amp;row=3326&amp;col=7&amp;number=0&amp;sourceID=14","0")</f>
        <v>0</v>
      </c>
    </row>
    <row r="3327" spans="1:7">
      <c r="A3327" s="3">
        <v>12</v>
      </c>
      <c r="B3327" s="3">
        <v>4</v>
      </c>
      <c r="C3327" s="3">
        <v>92</v>
      </c>
      <c r="D3327" s="3">
        <v>47</v>
      </c>
      <c r="E3327" s="3">
        <v>-466.85</v>
      </c>
      <c r="F3327" s="4" t="str">
        <f>HYPERLINK("http://141.218.60.56/~jnz1568/getInfo.php?workbook=12_04.xlsx&amp;sheet=A0&amp;row=3327&amp;col=6&amp;number=5.81e-09&amp;sourceID=14","5.81e-09")</f>
        <v>5.81e-09</v>
      </c>
      <c r="G3327" s="4" t="str">
        <f>HYPERLINK("http://141.218.60.56/~jnz1568/getInfo.php?workbook=12_04.xlsx&amp;sheet=A0&amp;row=3327&amp;col=7&amp;number=0&amp;sourceID=14","0")</f>
        <v>0</v>
      </c>
    </row>
    <row r="3328" spans="1:7">
      <c r="A3328" s="3">
        <v>12</v>
      </c>
      <c r="B3328" s="3">
        <v>4</v>
      </c>
      <c r="C3328" s="3">
        <v>93</v>
      </c>
      <c r="D3328" s="3">
        <v>47</v>
      </c>
      <c r="E3328" s="3">
        <v>-466.277</v>
      </c>
      <c r="F3328" s="4" t="str">
        <f>HYPERLINK("http://141.218.60.56/~jnz1568/getInfo.php?workbook=12_04.xlsx&amp;sheet=A0&amp;row=3328&amp;col=6&amp;number=446&amp;sourceID=14","446")</f>
        <v>446</v>
      </c>
      <c r="G3328" s="4" t="str">
        <f>HYPERLINK("http://141.218.60.56/~jnz1568/getInfo.php?workbook=12_04.xlsx&amp;sheet=A0&amp;row=3328&amp;col=7&amp;number=0&amp;sourceID=14","0")</f>
        <v>0</v>
      </c>
    </row>
    <row r="3329" spans="1:7">
      <c r="A3329" s="3">
        <v>12</v>
      </c>
      <c r="B3329" s="3">
        <v>4</v>
      </c>
      <c r="C3329" s="3">
        <v>94</v>
      </c>
      <c r="D3329" s="3">
        <v>47</v>
      </c>
      <c r="E3329" s="3">
        <v>-464.184</v>
      </c>
      <c r="F3329" s="4" t="str">
        <f>HYPERLINK("http://141.218.60.56/~jnz1568/getInfo.php?workbook=12_04.xlsx&amp;sheet=A0&amp;row=3329&amp;col=6&amp;number=577&amp;sourceID=14","577")</f>
        <v>577</v>
      </c>
      <c r="G3329" s="4" t="str">
        <f>HYPERLINK("http://141.218.60.56/~jnz1568/getInfo.php?workbook=12_04.xlsx&amp;sheet=A0&amp;row=3329&amp;col=7&amp;number=0&amp;sourceID=14","0")</f>
        <v>0</v>
      </c>
    </row>
    <row r="3330" spans="1:7">
      <c r="A3330" s="3">
        <v>12</v>
      </c>
      <c r="B3330" s="3">
        <v>4</v>
      </c>
      <c r="C3330" s="3">
        <v>95</v>
      </c>
      <c r="D3330" s="3">
        <v>47</v>
      </c>
      <c r="E3330" s="3">
        <v>-462.822</v>
      </c>
      <c r="F3330" s="4" t="str">
        <f>HYPERLINK("http://141.218.60.56/~jnz1568/getInfo.php?workbook=12_04.xlsx&amp;sheet=A0&amp;row=3330&amp;col=6&amp;number=0.00226&amp;sourceID=14","0.00226")</f>
        <v>0.00226</v>
      </c>
      <c r="G3330" s="4" t="str">
        <f>HYPERLINK("http://141.218.60.56/~jnz1568/getInfo.php?workbook=12_04.xlsx&amp;sheet=A0&amp;row=3330&amp;col=7&amp;number=0&amp;sourceID=14","0")</f>
        <v>0</v>
      </c>
    </row>
    <row r="3331" spans="1:7">
      <c r="A3331" s="3">
        <v>12</v>
      </c>
      <c r="B3331" s="3">
        <v>4</v>
      </c>
      <c r="C3331" s="3">
        <v>96</v>
      </c>
      <c r="D3331" s="3">
        <v>47</v>
      </c>
      <c r="E3331" s="3">
        <v>-461.568</v>
      </c>
      <c r="F3331" s="4" t="str">
        <f>HYPERLINK("http://141.218.60.56/~jnz1568/getInfo.php?workbook=12_04.xlsx&amp;sheet=A0&amp;row=3331&amp;col=6&amp;number=103&amp;sourceID=14","103")</f>
        <v>103</v>
      </c>
      <c r="G3331" s="4" t="str">
        <f>HYPERLINK("http://141.218.60.56/~jnz1568/getInfo.php?workbook=12_04.xlsx&amp;sheet=A0&amp;row=3331&amp;col=7&amp;number=0&amp;sourceID=14","0")</f>
        <v>0</v>
      </c>
    </row>
    <row r="3332" spans="1:7">
      <c r="A3332" s="3">
        <v>12</v>
      </c>
      <c r="B3332" s="3">
        <v>4</v>
      </c>
      <c r="C3332" s="3">
        <v>97</v>
      </c>
      <c r="D3332" s="3">
        <v>47</v>
      </c>
      <c r="E3332" s="3">
        <v>-456.309</v>
      </c>
      <c r="F3332" s="4" t="str">
        <f>HYPERLINK("http://141.218.60.56/~jnz1568/getInfo.php?workbook=12_04.xlsx&amp;sheet=A0&amp;row=3332&amp;col=6&amp;number=0.000139&amp;sourceID=14","0.000139")</f>
        <v>0.000139</v>
      </c>
      <c r="G3332" s="4" t="str">
        <f>HYPERLINK("http://141.218.60.56/~jnz1568/getInfo.php?workbook=12_04.xlsx&amp;sheet=A0&amp;row=3332&amp;col=7&amp;number=0&amp;sourceID=14","0")</f>
        <v>0</v>
      </c>
    </row>
    <row r="3333" spans="1:7">
      <c r="A3333" s="3">
        <v>12</v>
      </c>
      <c r="B3333" s="3">
        <v>4</v>
      </c>
      <c r="C3333" s="3">
        <v>98</v>
      </c>
      <c r="D3333" s="3">
        <v>47</v>
      </c>
      <c r="E3333" s="3">
        <v>-453.833</v>
      </c>
      <c r="F3333" s="4" t="str">
        <f>HYPERLINK("http://141.218.60.56/~jnz1568/getInfo.php?workbook=12_04.xlsx&amp;sheet=A0&amp;row=3333&amp;col=6&amp;number=606&amp;sourceID=14","606")</f>
        <v>606</v>
      </c>
      <c r="G3333" s="4" t="str">
        <f>HYPERLINK("http://141.218.60.56/~jnz1568/getInfo.php?workbook=12_04.xlsx&amp;sheet=A0&amp;row=3333&amp;col=7&amp;number=0&amp;sourceID=14","0")</f>
        <v>0</v>
      </c>
    </row>
    <row r="3334" spans="1:7">
      <c r="A3334" s="3">
        <v>12</v>
      </c>
      <c r="B3334" s="3">
        <v>4</v>
      </c>
      <c r="C3334" s="3">
        <v>50</v>
      </c>
      <c r="D3334" s="3">
        <v>48</v>
      </c>
      <c r="E3334" s="3">
        <v>-6829.214</v>
      </c>
      <c r="F3334" s="4" t="str">
        <f>HYPERLINK("http://141.218.60.56/~jnz1568/getInfo.php?workbook=12_04.xlsx&amp;sheet=A0&amp;row=3334&amp;col=6&amp;number=41100&amp;sourceID=14","41100")</f>
        <v>41100</v>
      </c>
      <c r="G3334" s="4" t="str">
        <f>HYPERLINK("http://141.218.60.56/~jnz1568/getInfo.php?workbook=12_04.xlsx&amp;sheet=A0&amp;row=3334&amp;col=7&amp;number=0&amp;sourceID=14","0")</f>
        <v>0</v>
      </c>
    </row>
    <row r="3335" spans="1:7">
      <c r="A3335" s="3">
        <v>12</v>
      </c>
      <c r="B3335" s="3">
        <v>4</v>
      </c>
      <c r="C3335" s="3">
        <v>51</v>
      </c>
      <c r="D3335" s="3">
        <v>48</v>
      </c>
      <c r="E3335" s="3">
        <v>-6709.17</v>
      </c>
      <c r="F3335" s="4" t="str">
        <f>HYPERLINK("http://141.218.60.56/~jnz1568/getInfo.php?workbook=12_04.xlsx&amp;sheet=A0&amp;row=3335&amp;col=6&amp;number=1.39e-05&amp;sourceID=14","1.39e-05")</f>
        <v>1.39e-05</v>
      </c>
      <c r="G3335" s="4" t="str">
        <f>HYPERLINK("http://141.218.60.56/~jnz1568/getInfo.php?workbook=12_04.xlsx&amp;sheet=A0&amp;row=3335&amp;col=7&amp;number=0&amp;sourceID=14","0")</f>
        <v>0</v>
      </c>
    </row>
    <row r="3336" spans="1:7">
      <c r="A3336" s="3">
        <v>12</v>
      </c>
      <c r="B3336" s="3">
        <v>4</v>
      </c>
      <c r="C3336" s="3">
        <v>52</v>
      </c>
      <c r="D3336" s="3">
        <v>48</v>
      </c>
      <c r="E3336" s="3">
        <v>-5661.883</v>
      </c>
      <c r="F3336" s="4" t="str">
        <f>HYPERLINK("http://141.218.60.56/~jnz1568/getInfo.php?workbook=12_04.xlsx&amp;sheet=A0&amp;row=3336&amp;col=6&amp;number=23500000&amp;sourceID=14","23500000")</f>
        <v>23500000</v>
      </c>
      <c r="G3336" s="4" t="str">
        <f>HYPERLINK("http://141.218.60.56/~jnz1568/getInfo.php?workbook=12_04.xlsx&amp;sheet=A0&amp;row=3336&amp;col=7&amp;number=0&amp;sourceID=14","0")</f>
        <v>0</v>
      </c>
    </row>
    <row r="3337" spans="1:7">
      <c r="A3337" s="3">
        <v>12</v>
      </c>
      <c r="B3337" s="3">
        <v>4</v>
      </c>
      <c r="C3337" s="3">
        <v>53</v>
      </c>
      <c r="D3337" s="3">
        <v>48</v>
      </c>
      <c r="E3337" s="3">
        <v>-3501.775</v>
      </c>
      <c r="F3337" s="4" t="str">
        <f>HYPERLINK("http://141.218.60.56/~jnz1568/getInfo.php?workbook=12_04.xlsx&amp;sheet=A0&amp;row=3337&amp;col=6&amp;number=3.4e-07&amp;sourceID=14","3.4e-07")</f>
        <v>3.4e-07</v>
      </c>
      <c r="G3337" s="4" t="str">
        <f>HYPERLINK("http://141.218.60.56/~jnz1568/getInfo.php?workbook=12_04.xlsx&amp;sheet=A0&amp;row=3337&amp;col=7&amp;number=0&amp;sourceID=14","0")</f>
        <v>0</v>
      </c>
    </row>
    <row r="3338" spans="1:7">
      <c r="A3338" s="3">
        <v>12</v>
      </c>
      <c r="B3338" s="3">
        <v>4</v>
      </c>
      <c r="C3338" s="3">
        <v>54</v>
      </c>
      <c r="D3338" s="3">
        <v>48</v>
      </c>
      <c r="E3338" s="3">
        <v>-3496.021</v>
      </c>
      <c r="F3338" s="4" t="str">
        <f>HYPERLINK("http://141.218.60.56/~jnz1568/getInfo.php?workbook=12_04.xlsx&amp;sheet=A0&amp;row=3338&amp;col=6&amp;number=0.00079&amp;sourceID=14","0.00079")</f>
        <v>0.00079</v>
      </c>
      <c r="G3338" s="4" t="str">
        <f>HYPERLINK("http://141.218.60.56/~jnz1568/getInfo.php?workbook=12_04.xlsx&amp;sheet=A0&amp;row=3338&amp;col=7&amp;number=0&amp;sourceID=14","0")</f>
        <v>0</v>
      </c>
    </row>
    <row r="3339" spans="1:7">
      <c r="A3339" s="3">
        <v>12</v>
      </c>
      <c r="B3339" s="3">
        <v>4</v>
      </c>
      <c r="C3339" s="3">
        <v>56</v>
      </c>
      <c r="D3339" s="3">
        <v>48</v>
      </c>
      <c r="E3339" s="3">
        <v>-2683.128</v>
      </c>
      <c r="F3339" s="4" t="str">
        <f>HYPERLINK("http://141.218.60.56/~jnz1568/getInfo.php?workbook=12_04.xlsx&amp;sheet=A0&amp;row=3339&amp;col=6&amp;number=66.9&amp;sourceID=14","66.9")</f>
        <v>66.9</v>
      </c>
      <c r="G3339" s="4" t="str">
        <f>HYPERLINK("http://141.218.60.56/~jnz1568/getInfo.php?workbook=12_04.xlsx&amp;sheet=A0&amp;row=3339&amp;col=7&amp;number=0&amp;sourceID=14","0")</f>
        <v>0</v>
      </c>
    </row>
    <row r="3340" spans="1:7">
      <c r="A3340" s="3">
        <v>12</v>
      </c>
      <c r="B3340" s="3">
        <v>4</v>
      </c>
      <c r="C3340" s="3">
        <v>58</v>
      </c>
      <c r="D3340" s="3">
        <v>48</v>
      </c>
      <c r="E3340" s="3">
        <v>-2660.075</v>
      </c>
      <c r="F3340" s="4" t="str">
        <f>HYPERLINK("http://141.218.60.56/~jnz1568/getInfo.php?workbook=12_04.xlsx&amp;sheet=A0&amp;row=3340&amp;col=6&amp;number=5.53e-10&amp;sourceID=14","5.53e-10")</f>
        <v>5.53e-10</v>
      </c>
      <c r="G3340" s="4" t="str">
        <f>HYPERLINK("http://141.218.60.56/~jnz1568/getInfo.php?workbook=12_04.xlsx&amp;sheet=A0&amp;row=3340&amp;col=7&amp;number=0&amp;sourceID=14","0")</f>
        <v>0</v>
      </c>
    </row>
    <row r="3341" spans="1:7">
      <c r="A3341" s="3">
        <v>12</v>
      </c>
      <c r="B3341" s="3">
        <v>4</v>
      </c>
      <c r="C3341" s="3">
        <v>60</v>
      </c>
      <c r="D3341" s="3">
        <v>48</v>
      </c>
      <c r="E3341" s="3">
        <v>-2490.231</v>
      </c>
      <c r="F3341" s="4" t="str">
        <f>HYPERLINK("http://141.218.60.56/~jnz1568/getInfo.php?workbook=12_04.xlsx&amp;sheet=A0&amp;row=3341&amp;col=6&amp;number=1.27e-05&amp;sourceID=14","1.27e-05")</f>
        <v>1.27e-05</v>
      </c>
      <c r="G3341" s="4" t="str">
        <f>HYPERLINK("http://141.218.60.56/~jnz1568/getInfo.php?workbook=12_04.xlsx&amp;sheet=A0&amp;row=3341&amp;col=7&amp;number=0&amp;sourceID=14","0")</f>
        <v>0</v>
      </c>
    </row>
    <row r="3342" spans="1:7">
      <c r="A3342" s="3">
        <v>12</v>
      </c>
      <c r="B3342" s="3">
        <v>4</v>
      </c>
      <c r="C3342" s="3">
        <v>62</v>
      </c>
      <c r="D3342" s="3">
        <v>48</v>
      </c>
      <c r="E3342" s="3">
        <v>-637.821</v>
      </c>
      <c r="F3342" s="4" t="str">
        <f>HYPERLINK("http://141.218.60.56/~jnz1568/getInfo.php?workbook=12_04.xlsx&amp;sheet=A0&amp;row=3342&amp;col=6&amp;number=35900000&amp;sourceID=14","35900000")</f>
        <v>35900000</v>
      </c>
      <c r="G3342" s="4" t="str">
        <f>HYPERLINK("http://141.218.60.56/~jnz1568/getInfo.php?workbook=12_04.xlsx&amp;sheet=A0&amp;row=3342&amp;col=7&amp;number=0&amp;sourceID=14","0")</f>
        <v>0</v>
      </c>
    </row>
    <row r="3343" spans="1:7">
      <c r="A3343" s="3">
        <v>12</v>
      </c>
      <c r="B3343" s="3">
        <v>4</v>
      </c>
      <c r="C3343" s="3">
        <v>63</v>
      </c>
      <c r="D3343" s="3">
        <v>48</v>
      </c>
      <c r="E3343" s="3">
        <v>-625.924</v>
      </c>
      <c r="F3343" s="4" t="str">
        <f>HYPERLINK("http://141.218.60.56/~jnz1568/getInfo.php?workbook=12_04.xlsx&amp;sheet=A0&amp;row=3343&amp;col=6&amp;number=0.107&amp;sourceID=14","0.107")</f>
        <v>0.107</v>
      </c>
      <c r="G3343" s="4" t="str">
        <f>HYPERLINK("http://141.218.60.56/~jnz1568/getInfo.php?workbook=12_04.xlsx&amp;sheet=A0&amp;row=3343&amp;col=7&amp;number=0&amp;sourceID=14","0")</f>
        <v>0</v>
      </c>
    </row>
    <row r="3344" spans="1:7">
      <c r="A3344" s="3">
        <v>12</v>
      </c>
      <c r="B3344" s="3">
        <v>4</v>
      </c>
      <c r="C3344" s="3">
        <v>64</v>
      </c>
      <c r="D3344" s="3">
        <v>48</v>
      </c>
      <c r="E3344" s="3">
        <v>-602.4</v>
      </c>
      <c r="F3344" s="4" t="str">
        <f>HYPERLINK("http://141.218.60.56/~jnz1568/getInfo.php?workbook=12_04.xlsx&amp;sheet=A0&amp;row=3344&amp;col=6&amp;number=947000000&amp;sourceID=14","947000000")</f>
        <v>947000000</v>
      </c>
      <c r="G3344" s="4" t="str">
        <f>HYPERLINK("http://141.218.60.56/~jnz1568/getInfo.php?workbook=12_04.xlsx&amp;sheet=A0&amp;row=3344&amp;col=7&amp;number=0&amp;sourceID=14","0")</f>
        <v>0</v>
      </c>
    </row>
    <row r="3345" spans="1:7">
      <c r="A3345" s="3">
        <v>12</v>
      </c>
      <c r="B3345" s="3">
        <v>4</v>
      </c>
      <c r="C3345" s="3">
        <v>65</v>
      </c>
      <c r="D3345" s="3">
        <v>48</v>
      </c>
      <c r="E3345" s="3">
        <v>-576.27</v>
      </c>
      <c r="F3345" s="4" t="str">
        <f>HYPERLINK("http://141.218.60.56/~jnz1568/getInfo.php?workbook=12_04.xlsx&amp;sheet=A0&amp;row=3345&amp;col=6&amp;number=0.000545&amp;sourceID=14","0.000545")</f>
        <v>0.000545</v>
      </c>
      <c r="G3345" s="4" t="str">
        <f>HYPERLINK("http://141.218.60.56/~jnz1568/getInfo.php?workbook=12_04.xlsx&amp;sheet=A0&amp;row=3345&amp;col=7&amp;number=0&amp;sourceID=14","0")</f>
        <v>0</v>
      </c>
    </row>
    <row r="3346" spans="1:7">
      <c r="A3346" s="3">
        <v>12</v>
      </c>
      <c r="B3346" s="3">
        <v>4</v>
      </c>
      <c r="C3346" s="3">
        <v>66</v>
      </c>
      <c r="D3346" s="3">
        <v>48</v>
      </c>
      <c r="E3346" s="3">
        <v>-567.918</v>
      </c>
      <c r="F3346" s="4" t="str">
        <f>HYPERLINK("http://141.218.60.56/~jnz1568/getInfo.php?workbook=12_04.xlsx&amp;sheet=A0&amp;row=3346&amp;col=6&amp;number=0.00199&amp;sourceID=14","0.00199")</f>
        <v>0.00199</v>
      </c>
      <c r="G3346" s="4" t="str">
        <f>HYPERLINK("http://141.218.60.56/~jnz1568/getInfo.php?workbook=12_04.xlsx&amp;sheet=A0&amp;row=3346&amp;col=7&amp;number=0&amp;sourceID=14","0")</f>
        <v>0</v>
      </c>
    </row>
    <row r="3347" spans="1:7">
      <c r="A3347" s="3">
        <v>12</v>
      </c>
      <c r="B3347" s="3">
        <v>4</v>
      </c>
      <c r="C3347" s="3">
        <v>67</v>
      </c>
      <c r="D3347" s="3">
        <v>48</v>
      </c>
      <c r="E3347" s="3">
        <v>-566.467</v>
      </c>
      <c r="F3347" s="4" t="str">
        <f>HYPERLINK("http://141.218.60.56/~jnz1568/getInfo.php?workbook=12_04.xlsx&amp;sheet=A0&amp;row=3347&amp;col=6&amp;number=5.59&amp;sourceID=14","5.59")</f>
        <v>5.59</v>
      </c>
      <c r="G3347" s="4" t="str">
        <f>HYPERLINK("http://141.218.60.56/~jnz1568/getInfo.php?workbook=12_04.xlsx&amp;sheet=A0&amp;row=3347&amp;col=7&amp;number=0&amp;sourceID=14","0")</f>
        <v>0</v>
      </c>
    </row>
    <row r="3348" spans="1:7">
      <c r="A3348" s="3">
        <v>12</v>
      </c>
      <c r="B3348" s="3">
        <v>4</v>
      </c>
      <c r="C3348" s="3">
        <v>69</v>
      </c>
      <c r="D3348" s="3">
        <v>48</v>
      </c>
      <c r="E3348" s="3">
        <v>-549.847</v>
      </c>
      <c r="F3348" s="4" t="str">
        <f>HYPERLINK("http://141.218.60.56/~jnz1568/getInfo.php?workbook=12_04.xlsx&amp;sheet=A0&amp;row=3348&amp;col=6&amp;number=0.0535&amp;sourceID=14","0.0535")</f>
        <v>0.0535</v>
      </c>
      <c r="G3348" s="4" t="str">
        <f>HYPERLINK("http://141.218.60.56/~jnz1568/getInfo.php?workbook=12_04.xlsx&amp;sheet=A0&amp;row=3348&amp;col=7&amp;number=0&amp;sourceID=14","0")</f>
        <v>0</v>
      </c>
    </row>
    <row r="3349" spans="1:7">
      <c r="A3349" s="3">
        <v>12</v>
      </c>
      <c r="B3349" s="3">
        <v>4</v>
      </c>
      <c r="C3349" s="3">
        <v>71</v>
      </c>
      <c r="D3349" s="3">
        <v>48</v>
      </c>
      <c r="E3349" s="3">
        <v>-542.206</v>
      </c>
      <c r="F3349" s="4" t="str">
        <f>HYPERLINK("http://141.218.60.56/~jnz1568/getInfo.php?workbook=12_04.xlsx&amp;sheet=A0&amp;row=3349&amp;col=6&amp;number=0.103&amp;sourceID=14","0.103")</f>
        <v>0.103</v>
      </c>
      <c r="G3349" s="4" t="str">
        <f>HYPERLINK("http://141.218.60.56/~jnz1568/getInfo.php?workbook=12_04.xlsx&amp;sheet=A0&amp;row=3349&amp;col=7&amp;number=0&amp;sourceID=14","0")</f>
        <v>0</v>
      </c>
    </row>
    <row r="3350" spans="1:7">
      <c r="A3350" s="3">
        <v>12</v>
      </c>
      <c r="B3350" s="3">
        <v>4</v>
      </c>
      <c r="C3350" s="3">
        <v>72</v>
      </c>
      <c r="D3350" s="3">
        <v>48</v>
      </c>
      <c r="E3350" s="3">
        <v>-540.837</v>
      </c>
      <c r="F3350" s="4" t="str">
        <f>HYPERLINK("http://141.218.60.56/~jnz1568/getInfo.php?workbook=12_04.xlsx&amp;sheet=A0&amp;row=3350&amp;col=6&amp;number=10.9&amp;sourceID=14","10.9")</f>
        <v>10.9</v>
      </c>
      <c r="G3350" s="4" t="str">
        <f>HYPERLINK("http://141.218.60.56/~jnz1568/getInfo.php?workbook=12_04.xlsx&amp;sheet=A0&amp;row=3350&amp;col=7&amp;number=0&amp;sourceID=14","0")</f>
        <v>0</v>
      </c>
    </row>
    <row r="3351" spans="1:7">
      <c r="A3351" s="3">
        <v>12</v>
      </c>
      <c r="B3351" s="3">
        <v>4</v>
      </c>
      <c r="C3351" s="3">
        <v>73</v>
      </c>
      <c r="D3351" s="3">
        <v>48</v>
      </c>
      <c r="E3351" s="3">
        <v>-532.1</v>
      </c>
      <c r="F3351" s="4" t="str">
        <f>HYPERLINK("http://141.218.60.56/~jnz1568/getInfo.php?workbook=12_04.xlsx&amp;sheet=A0&amp;row=3351&amp;col=6&amp;number=0.00541&amp;sourceID=14","0.00541")</f>
        <v>0.00541</v>
      </c>
      <c r="G3351" s="4" t="str">
        <f>HYPERLINK("http://141.218.60.56/~jnz1568/getInfo.php?workbook=12_04.xlsx&amp;sheet=A0&amp;row=3351&amp;col=7&amp;number=0&amp;sourceID=14","0")</f>
        <v>0</v>
      </c>
    </row>
    <row r="3352" spans="1:7">
      <c r="A3352" s="3">
        <v>12</v>
      </c>
      <c r="B3352" s="3">
        <v>4</v>
      </c>
      <c r="C3352" s="3">
        <v>74</v>
      </c>
      <c r="D3352" s="3">
        <v>48</v>
      </c>
      <c r="E3352" s="3">
        <v>-526.746</v>
      </c>
      <c r="F3352" s="4" t="str">
        <f>HYPERLINK("http://141.218.60.56/~jnz1568/getInfo.php?workbook=12_04.xlsx&amp;sheet=A0&amp;row=3352&amp;col=6&amp;number=0.000124&amp;sourceID=14","0.000124")</f>
        <v>0.000124</v>
      </c>
      <c r="G3352" s="4" t="str">
        <f>HYPERLINK("http://141.218.60.56/~jnz1568/getInfo.php?workbook=12_04.xlsx&amp;sheet=A0&amp;row=3352&amp;col=7&amp;number=0&amp;sourceID=14","0")</f>
        <v>0</v>
      </c>
    </row>
    <row r="3353" spans="1:7">
      <c r="A3353" s="3">
        <v>12</v>
      </c>
      <c r="B3353" s="3">
        <v>4</v>
      </c>
      <c r="C3353" s="3">
        <v>75</v>
      </c>
      <c r="D3353" s="3">
        <v>48</v>
      </c>
      <c r="E3353" s="3">
        <v>-525.081</v>
      </c>
      <c r="F3353" s="4" t="str">
        <f>HYPERLINK("http://141.218.60.56/~jnz1568/getInfo.php?workbook=12_04.xlsx&amp;sheet=A0&amp;row=3353&amp;col=6&amp;number=0.00952&amp;sourceID=14","0.00952")</f>
        <v>0.00952</v>
      </c>
      <c r="G3353" s="4" t="str">
        <f>HYPERLINK("http://141.218.60.56/~jnz1568/getInfo.php?workbook=12_04.xlsx&amp;sheet=A0&amp;row=3353&amp;col=7&amp;number=0&amp;sourceID=14","0")</f>
        <v>0</v>
      </c>
    </row>
    <row r="3354" spans="1:7">
      <c r="A3354" s="3">
        <v>12</v>
      </c>
      <c r="B3354" s="3">
        <v>4</v>
      </c>
      <c r="C3354" s="3">
        <v>76</v>
      </c>
      <c r="D3354" s="3">
        <v>48</v>
      </c>
      <c r="E3354" s="3">
        <v>-522.131</v>
      </c>
      <c r="F3354" s="4" t="str">
        <f>HYPERLINK("http://141.218.60.56/~jnz1568/getInfo.php?workbook=12_04.xlsx&amp;sheet=A0&amp;row=3354&amp;col=6&amp;number=905&amp;sourceID=14","905")</f>
        <v>905</v>
      </c>
      <c r="G3354" s="4" t="str">
        <f>HYPERLINK("http://141.218.60.56/~jnz1568/getInfo.php?workbook=12_04.xlsx&amp;sheet=A0&amp;row=3354&amp;col=7&amp;number=0&amp;sourceID=14","0")</f>
        <v>0</v>
      </c>
    </row>
    <row r="3355" spans="1:7">
      <c r="A3355" s="3">
        <v>12</v>
      </c>
      <c r="B3355" s="3">
        <v>4</v>
      </c>
      <c r="C3355" s="3">
        <v>78</v>
      </c>
      <c r="D3355" s="3">
        <v>48</v>
      </c>
      <c r="E3355" s="3">
        <v>-512.758</v>
      </c>
      <c r="F3355" s="4" t="str">
        <f>HYPERLINK("http://141.218.60.56/~jnz1568/getInfo.php?workbook=12_04.xlsx&amp;sheet=A0&amp;row=3355&amp;col=6&amp;number=2450000&amp;sourceID=14","2450000")</f>
        <v>2450000</v>
      </c>
      <c r="G3355" s="4" t="str">
        <f>HYPERLINK("http://141.218.60.56/~jnz1568/getInfo.php?workbook=12_04.xlsx&amp;sheet=A0&amp;row=3355&amp;col=7&amp;number=0&amp;sourceID=14","0")</f>
        <v>0</v>
      </c>
    </row>
    <row r="3356" spans="1:7">
      <c r="A3356" s="3">
        <v>12</v>
      </c>
      <c r="B3356" s="3">
        <v>4</v>
      </c>
      <c r="C3356" s="3">
        <v>79</v>
      </c>
      <c r="D3356" s="3">
        <v>48</v>
      </c>
      <c r="E3356" s="3">
        <v>-511.136</v>
      </c>
      <c r="F3356" s="4" t="str">
        <f>HYPERLINK("http://141.218.60.56/~jnz1568/getInfo.php?workbook=12_04.xlsx&amp;sheet=A0&amp;row=3356&amp;col=6&amp;number=0.0131&amp;sourceID=14","0.0131")</f>
        <v>0.0131</v>
      </c>
      <c r="G3356" s="4" t="str">
        <f>HYPERLINK("http://141.218.60.56/~jnz1568/getInfo.php?workbook=12_04.xlsx&amp;sheet=A0&amp;row=3356&amp;col=7&amp;number=0&amp;sourceID=14","0")</f>
        <v>0</v>
      </c>
    </row>
    <row r="3357" spans="1:7">
      <c r="A3357" s="3">
        <v>12</v>
      </c>
      <c r="B3357" s="3">
        <v>4</v>
      </c>
      <c r="C3357" s="3">
        <v>81</v>
      </c>
      <c r="D3357" s="3">
        <v>48</v>
      </c>
      <c r="E3357" s="3">
        <v>-507.845</v>
      </c>
      <c r="F3357" s="4" t="str">
        <f>HYPERLINK("http://141.218.60.56/~jnz1568/getInfo.php?workbook=12_04.xlsx&amp;sheet=A0&amp;row=3357&amp;col=6&amp;number=9.18e-05&amp;sourceID=14","9.18e-05")</f>
        <v>9.18e-05</v>
      </c>
      <c r="G3357" s="4" t="str">
        <f>HYPERLINK("http://141.218.60.56/~jnz1568/getInfo.php?workbook=12_04.xlsx&amp;sheet=A0&amp;row=3357&amp;col=7&amp;number=0&amp;sourceID=14","0")</f>
        <v>0</v>
      </c>
    </row>
    <row r="3358" spans="1:7">
      <c r="A3358" s="3">
        <v>12</v>
      </c>
      <c r="B3358" s="3">
        <v>4</v>
      </c>
      <c r="C3358" s="3">
        <v>82</v>
      </c>
      <c r="D3358" s="3">
        <v>48</v>
      </c>
      <c r="E3358" s="3">
        <v>-506.982</v>
      </c>
      <c r="F3358" s="4" t="str">
        <f>HYPERLINK("http://141.218.60.56/~jnz1568/getInfo.php?workbook=12_04.xlsx&amp;sheet=A0&amp;row=3358&amp;col=6&amp;number=49.2&amp;sourceID=14","49.2")</f>
        <v>49.2</v>
      </c>
      <c r="G3358" s="4" t="str">
        <f>HYPERLINK("http://141.218.60.56/~jnz1568/getInfo.php?workbook=12_04.xlsx&amp;sheet=A0&amp;row=3358&amp;col=7&amp;number=0&amp;sourceID=14","0")</f>
        <v>0</v>
      </c>
    </row>
    <row r="3359" spans="1:7">
      <c r="A3359" s="3">
        <v>12</v>
      </c>
      <c r="B3359" s="3">
        <v>4</v>
      </c>
      <c r="C3359" s="3">
        <v>84</v>
      </c>
      <c r="D3359" s="3">
        <v>48</v>
      </c>
      <c r="E3359" s="3">
        <v>-506.135</v>
      </c>
      <c r="F3359" s="4" t="str">
        <f>HYPERLINK("http://141.218.60.56/~jnz1568/getInfo.php?workbook=12_04.xlsx&amp;sheet=A0&amp;row=3359&amp;col=6&amp;number=3.41e-09&amp;sourceID=14","3.41e-09")</f>
        <v>3.41e-09</v>
      </c>
      <c r="G3359" s="4" t="str">
        <f>HYPERLINK("http://141.218.60.56/~jnz1568/getInfo.php?workbook=12_04.xlsx&amp;sheet=A0&amp;row=3359&amp;col=7&amp;number=0&amp;sourceID=14","0")</f>
        <v>0</v>
      </c>
    </row>
    <row r="3360" spans="1:7">
      <c r="A3360" s="3">
        <v>12</v>
      </c>
      <c r="B3360" s="3">
        <v>4</v>
      </c>
      <c r="C3360" s="3">
        <v>85</v>
      </c>
      <c r="D3360" s="3">
        <v>48</v>
      </c>
      <c r="E3360" s="3">
        <v>-502.377</v>
      </c>
      <c r="F3360" s="4" t="str">
        <f>HYPERLINK("http://141.218.60.56/~jnz1568/getInfo.php?workbook=12_04.xlsx&amp;sheet=A0&amp;row=3360&amp;col=6&amp;number=0.0395&amp;sourceID=14","0.0395")</f>
        <v>0.0395</v>
      </c>
      <c r="G3360" s="4" t="str">
        <f>HYPERLINK("http://141.218.60.56/~jnz1568/getInfo.php?workbook=12_04.xlsx&amp;sheet=A0&amp;row=3360&amp;col=7&amp;number=0&amp;sourceID=14","0")</f>
        <v>0</v>
      </c>
    </row>
    <row r="3361" spans="1:7">
      <c r="A3361" s="3">
        <v>12</v>
      </c>
      <c r="B3361" s="3">
        <v>4</v>
      </c>
      <c r="C3361" s="3">
        <v>86</v>
      </c>
      <c r="D3361" s="3">
        <v>48</v>
      </c>
      <c r="E3361" s="3">
        <v>-500.817</v>
      </c>
      <c r="F3361" s="4" t="str">
        <f>HYPERLINK("http://141.218.60.56/~jnz1568/getInfo.php?workbook=12_04.xlsx&amp;sheet=A0&amp;row=3361&amp;col=6&amp;number=212000&amp;sourceID=14","212000")</f>
        <v>212000</v>
      </c>
      <c r="G3361" s="4" t="str">
        <f>HYPERLINK("http://141.218.60.56/~jnz1568/getInfo.php?workbook=12_04.xlsx&amp;sheet=A0&amp;row=3361&amp;col=7&amp;number=0&amp;sourceID=14","0")</f>
        <v>0</v>
      </c>
    </row>
    <row r="3362" spans="1:7">
      <c r="A3362" s="3">
        <v>12</v>
      </c>
      <c r="B3362" s="3">
        <v>4</v>
      </c>
      <c r="C3362" s="3">
        <v>89</v>
      </c>
      <c r="D3362" s="3">
        <v>48</v>
      </c>
      <c r="E3362" s="3">
        <v>-496.89</v>
      </c>
      <c r="F3362" s="4" t="str">
        <f>HYPERLINK("http://141.218.60.56/~jnz1568/getInfo.php?workbook=12_04.xlsx&amp;sheet=A0&amp;row=3362&amp;col=6&amp;number=3.88e-09&amp;sourceID=14","3.88e-09")</f>
        <v>3.88e-09</v>
      </c>
      <c r="G3362" s="4" t="str">
        <f>HYPERLINK("http://141.218.60.56/~jnz1568/getInfo.php?workbook=12_04.xlsx&amp;sheet=A0&amp;row=3362&amp;col=7&amp;number=0&amp;sourceID=14","0")</f>
        <v>0</v>
      </c>
    </row>
    <row r="3363" spans="1:7">
      <c r="A3363" s="3">
        <v>12</v>
      </c>
      <c r="B3363" s="3">
        <v>4</v>
      </c>
      <c r="C3363" s="3">
        <v>91</v>
      </c>
      <c r="D3363" s="3">
        <v>48</v>
      </c>
      <c r="E3363" s="3">
        <v>-490.57</v>
      </c>
      <c r="F3363" s="4" t="str">
        <f>HYPERLINK("http://141.218.60.56/~jnz1568/getInfo.php?workbook=12_04.xlsx&amp;sheet=A0&amp;row=3363&amp;col=6&amp;number=4.73e-07&amp;sourceID=14","4.73e-07")</f>
        <v>4.73e-07</v>
      </c>
      <c r="G3363" s="4" t="str">
        <f>HYPERLINK("http://141.218.60.56/~jnz1568/getInfo.php?workbook=12_04.xlsx&amp;sheet=A0&amp;row=3363&amp;col=7&amp;number=0&amp;sourceID=14","0")</f>
        <v>0</v>
      </c>
    </row>
    <row r="3364" spans="1:7">
      <c r="A3364" s="3">
        <v>12</v>
      </c>
      <c r="B3364" s="3">
        <v>4</v>
      </c>
      <c r="C3364" s="3">
        <v>92</v>
      </c>
      <c r="D3364" s="3">
        <v>48</v>
      </c>
      <c r="E3364" s="3">
        <v>-489.88</v>
      </c>
      <c r="F3364" s="4" t="str">
        <f>HYPERLINK("http://141.218.60.56/~jnz1568/getInfo.php?workbook=12_04.xlsx&amp;sheet=A0&amp;row=3364&amp;col=6&amp;number=4.81e-08&amp;sourceID=14","4.81e-08")</f>
        <v>4.81e-08</v>
      </c>
      <c r="G3364" s="4" t="str">
        <f>HYPERLINK("http://141.218.60.56/~jnz1568/getInfo.php?workbook=12_04.xlsx&amp;sheet=A0&amp;row=3364&amp;col=7&amp;number=0&amp;sourceID=14","0")</f>
        <v>0</v>
      </c>
    </row>
    <row r="3365" spans="1:7">
      <c r="A3365" s="3">
        <v>12</v>
      </c>
      <c r="B3365" s="3">
        <v>4</v>
      </c>
      <c r="C3365" s="3">
        <v>93</v>
      </c>
      <c r="D3365" s="3">
        <v>48</v>
      </c>
      <c r="E3365" s="3">
        <v>-489.25</v>
      </c>
      <c r="F3365" s="4" t="str">
        <f>HYPERLINK("http://141.218.60.56/~jnz1568/getInfo.php?workbook=12_04.xlsx&amp;sheet=A0&amp;row=3365&amp;col=6&amp;number=313&amp;sourceID=14","313")</f>
        <v>313</v>
      </c>
      <c r="G3365" s="4" t="str">
        <f>HYPERLINK("http://141.218.60.56/~jnz1568/getInfo.php?workbook=12_04.xlsx&amp;sheet=A0&amp;row=3365&amp;col=7&amp;number=0&amp;sourceID=14","0")</f>
        <v>0</v>
      </c>
    </row>
    <row r="3366" spans="1:7">
      <c r="A3366" s="3">
        <v>12</v>
      </c>
      <c r="B3366" s="3">
        <v>4</v>
      </c>
      <c r="C3366" s="3">
        <v>94</v>
      </c>
      <c r="D3366" s="3">
        <v>48</v>
      </c>
      <c r="E3366" s="3">
        <v>-486.946</v>
      </c>
      <c r="F3366" s="4" t="str">
        <f>HYPERLINK("http://141.218.60.56/~jnz1568/getInfo.php?workbook=12_04.xlsx&amp;sheet=A0&amp;row=3366&amp;col=6&amp;number=2.72e-06&amp;sourceID=14","2.72e-06")</f>
        <v>2.72e-06</v>
      </c>
      <c r="G3366" s="4" t="str">
        <f>HYPERLINK("http://141.218.60.56/~jnz1568/getInfo.php?workbook=12_04.xlsx&amp;sheet=A0&amp;row=3366&amp;col=7&amp;number=0&amp;sourceID=14","0")</f>
        <v>0</v>
      </c>
    </row>
    <row r="3367" spans="1:7">
      <c r="A3367" s="3">
        <v>12</v>
      </c>
      <c r="B3367" s="3">
        <v>4</v>
      </c>
      <c r="C3367" s="3">
        <v>96</v>
      </c>
      <c r="D3367" s="3">
        <v>48</v>
      </c>
      <c r="E3367" s="3">
        <v>-484.068</v>
      </c>
      <c r="F3367" s="4" t="str">
        <f>HYPERLINK("http://141.218.60.56/~jnz1568/getInfo.php?workbook=12_04.xlsx&amp;sheet=A0&amp;row=3367&amp;col=6&amp;number=1930&amp;sourceID=14","1930")</f>
        <v>1930</v>
      </c>
      <c r="G3367" s="4" t="str">
        <f>HYPERLINK("http://141.218.60.56/~jnz1568/getInfo.php?workbook=12_04.xlsx&amp;sheet=A0&amp;row=3367&amp;col=7&amp;number=0&amp;sourceID=14","0")</f>
        <v>0</v>
      </c>
    </row>
    <row r="3368" spans="1:7">
      <c r="A3368" s="3">
        <v>12</v>
      </c>
      <c r="B3368" s="3">
        <v>4</v>
      </c>
      <c r="C3368" s="3">
        <v>97</v>
      </c>
      <c r="D3368" s="3">
        <v>48</v>
      </c>
      <c r="E3368" s="3">
        <v>-478.287</v>
      </c>
      <c r="F3368" s="4" t="str">
        <f>HYPERLINK("http://141.218.60.56/~jnz1568/getInfo.php?workbook=12_04.xlsx&amp;sheet=A0&amp;row=3368&amp;col=6&amp;number=0.0254&amp;sourceID=14","0.0254")</f>
        <v>0.0254</v>
      </c>
      <c r="G3368" s="4" t="str">
        <f>HYPERLINK("http://141.218.60.56/~jnz1568/getInfo.php?workbook=12_04.xlsx&amp;sheet=A0&amp;row=3368&amp;col=7&amp;number=0&amp;sourceID=14","0")</f>
        <v>0</v>
      </c>
    </row>
    <row r="3369" spans="1:7">
      <c r="A3369" s="3">
        <v>12</v>
      </c>
      <c r="B3369" s="3">
        <v>4</v>
      </c>
      <c r="C3369" s="3">
        <v>98</v>
      </c>
      <c r="D3369" s="3">
        <v>48</v>
      </c>
      <c r="E3369" s="3">
        <v>-475.566</v>
      </c>
      <c r="F3369" s="4" t="str">
        <f>HYPERLINK("http://141.218.60.56/~jnz1568/getInfo.php?workbook=12_04.xlsx&amp;sheet=A0&amp;row=3369&amp;col=6&amp;number=186000000&amp;sourceID=14","186000000")</f>
        <v>186000000</v>
      </c>
      <c r="G3369" s="4" t="str">
        <f>HYPERLINK("http://141.218.60.56/~jnz1568/getInfo.php?workbook=12_04.xlsx&amp;sheet=A0&amp;row=3369&amp;col=7&amp;number=0&amp;sourceID=14","0")</f>
        <v>0</v>
      </c>
    </row>
    <row r="3370" spans="1:7">
      <c r="A3370" s="3">
        <v>12</v>
      </c>
      <c r="B3370" s="3">
        <v>4</v>
      </c>
      <c r="C3370" s="3">
        <v>50</v>
      </c>
      <c r="D3370" s="3">
        <v>49</v>
      </c>
      <c r="E3370" s="3">
        <v>-862070.562</v>
      </c>
      <c r="F3370" s="4" t="str">
        <f>HYPERLINK("http://141.218.60.56/~jnz1568/getInfo.php?workbook=12_04.xlsx&amp;sheet=A0&amp;row=3370&amp;col=6&amp;number=2.77e-05&amp;sourceID=14","2.77e-05")</f>
        <v>2.77e-05</v>
      </c>
      <c r="G3370" s="4" t="str">
        <f>HYPERLINK("http://141.218.60.56/~jnz1568/getInfo.php?workbook=12_04.xlsx&amp;sheet=A0&amp;row=3370&amp;col=7&amp;number=0&amp;sourceID=14","0")</f>
        <v>0</v>
      </c>
    </row>
    <row r="3371" spans="1:7">
      <c r="A3371" s="3">
        <v>12</v>
      </c>
      <c r="B3371" s="3">
        <v>4</v>
      </c>
      <c r="C3371" s="3">
        <v>51</v>
      </c>
      <c r="D3371" s="3">
        <v>49</v>
      </c>
      <c r="E3371" s="3">
        <v>-264550.75</v>
      </c>
      <c r="F3371" s="4" t="str">
        <f>HYPERLINK("http://141.218.60.56/~jnz1568/getInfo.php?workbook=12_04.xlsx&amp;sheet=A0&amp;row=3371&amp;col=6&amp;number=3.38e-09&amp;sourceID=14","3.38e-09")</f>
        <v>3.38e-09</v>
      </c>
      <c r="G3371" s="4" t="str">
        <f>HYPERLINK("http://141.218.60.56/~jnz1568/getInfo.php?workbook=12_04.xlsx&amp;sheet=A0&amp;row=3371&amp;col=7&amp;number=0&amp;sourceID=14","0")</f>
        <v>0</v>
      </c>
    </row>
    <row r="3372" spans="1:7">
      <c r="A3372" s="3">
        <v>12</v>
      </c>
      <c r="B3372" s="3">
        <v>4</v>
      </c>
      <c r="C3372" s="3">
        <v>52</v>
      </c>
      <c r="D3372" s="3">
        <v>49</v>
      </c>
      <c r="E3372" s="3">
        <v>-31897.984</v>
      </c>
      <c r="F3372" s="4" t="str">
        <f>HYPERLINK("http://141.218.60.56/~jnz1568/getInfo.php?workbook=12_04.xlsx&amp;sheet=A0&amp;row=3372&amp;col=6&amp;number=0.00362&amp;sourceID=14","0.00362")</f>
        <v>0.00362</v>
      </c>
      <c r="G3372" s="4" t="str">
        <f>HYPERLINK("http://141.218.60.56/~jnz1568/getInfo.php?workbook=12_04.xlsx&amp;sheet=A0&amp;row=3372&amp;col=7&amp;number=0&amp;sourceID=14","0")</f>
        <v>0</v>
      </c>
    </row>
    <row r="3373" spans="1:7">
      <c r="A3373" s="3">
        <v>12</v>
      </c>
      <c r="B3373" s="3">
        <v>4</v>
      </c>
      <c r="C3373" s="3">
        <v>53</v>
      </c>
      <c r="D3373" s="3">
        <v>49</v>
      </c>
      <c r="E3373" s="3">
        <v>-7127.597</v>
      </c>
      <c r="F3373" s="4" t="str">
        <f>HYPERLINK("http://141.218.60.56/~jnz1568/getInfo.php?workbook=12_04.xlsx&amp;sheet=A0&amp;row=3373&amp;col=6&amp;number=8150000&amp;sourceID=14","8150000")</f>
        <v>8150000</v>
      </c>
      <c r="G3373" s="4" t="str">
        <f>HYPERLINK("http://141.218.60.56/~jnz1568/getInfo.php?workbook=12_04.xlsx&amp;sheet=A0&amp;row=3373&amp;col=7&amp;number=0&amp;sourceID=14","0")</f>
        <v>0</v>
      </c>
    </row>
    <row r="3374" spans="1:7">
      <c r="A3374" s="3">
        <v>12</v>
      </c>
      <c r="B3374" s="3">
        <v>4</v>
      </c>
      <c r="C3374" s="3">
        <v>54</v>
      </c>
      <c r="D3374" s="3">
        <v>49</v>
      </c>
      <c r="E3374" s="3">
        <v>-7103.799</v>
      </c>
      <c r="F3374" s="4" t="str">
        <f>HYPERLINK("http://141.218.60.56/~jnz1568/getInfo.php?workbook=12_04.xlsx&amp;sheet=A0&amp;row=3374&amp;col=6&amp;number=7.93e-07&amp;sourceID=14","7.93e-07")</f>
        <v>7.93e-07</v>
      </c>
      <c r="G3374" s="4" t="str">
        <f>HYPERLINK("http://141.218.60.56/~jnz1568/getInfo.php?workbook=12_04.xlsx&amp;sheet=A0&amp;row=3374&amp;col=7&amp;number=0&amp;sourceID=14","0")</f>
        <v>0</v>
      </c>
    </row>
    <row r="3375" spans="1:7">
      <c r="A3375" s="3">
        <v>12</v>
      </c>
      <c r="B3375" s="3">
        <v>4</v>
      </c>
      <c r="C3375" s="3">
        <v>55</v>
      </c>
      <c r="D3375" s="3">
        <v>49</v>
      </c>
      <c r="E3375" s="3">
        <v>-7067.65</v>
      </c>
      <c r="F3375" s="4" t="str">
        <f>HYPERLINK("http://141.218.60.56/~jnz1568/getInfo.php?workbook=12_04.xlsx&amp;sheet=A0&amp;row=3375&amp;col=6&amp;number=1.34e-08&amp;sourceID=14","1.34e-08")</f>
        <v>1.34e-08</v>
      </c>
      <c r="G3375" s="4" t="str">
        <f>HYPERLINK("http://141.218.60.56/~jnz1568/getInfo.php?workbook=12_04.xlsx&amp;sheet=A0&amp;row=3375&amp;col=7&amp;number=0&amp;sourceID=14","0")</f>
        <v>0</v>
      </c>
    </row>
    <row r="3376" spans="1:7">
      <c r="A3376" s="3">
        <v>12</v>
      </c>
      <c r="B3376" s="3">
        <v>4</v>
      </c>
      <c r="C3376" s="3">
        <v>56</v>
      </c>
      <c r="D3376" s="3">
        <v>49</v>
      </c>
      <c r="E3376" s="3">
        <v>-4396.965</v>
      </c>
      <c r="F3376" s="4" t="str">
        <f>HYPERLINK("http://141.218.60.56/~jnz1568/getInfo.php?workbook=12_04.xlsx&amp;sheet=A0&amp;row=3376&amp;col=6&amp;number=4.32e-05&amp;sourceID=14","4.32e-05")</f>
        <v>4.32e-05</v>
      </c>
      <c r="G3376" s="4" t="str">
        <f>HYPERLINK("http://141.218.60.56/~jnz1568/getInfo.php?workbook=12_04.xlsx&amp;sheet=A0&amp;row=3376&amp;col=7&amp;number=0&amp;sourceID=14","0")</f>
        <v>0</v>
      </c>
    </row>
    <row r="3377" spans="1:7">
      <c r="A3377" s="3">
        <v>12</v>
      </c>
      <c r="B3377" s="3">
        <v>4</v>
      </c>
      <c r="C3377" s="3">
        <v>57</v>
      </c>
      <c r="D3377" s="3">
        <v>49</v>
      </c>
      <c r="E3377" s="3">
        <v>-4340.851</v>
      </c>
      <c r="F3377" s="4" t="str">
        <f>HYPERLINK("http://141.218.60.56/~jnz1568/getInfo.php?workbook=12_04.xlsx&amp;sheet=A0&amp;row=3377&amp;col=6&amp;number=1.85&amp;sourceID=14","1.85")</f>
        <v>1.85</v>
      </c>
      <c r="G3377" s="4" t="str">
        <f>HYPERLINK("http://141.218.60.56/~jnz1568/getInfo.php?workbook=12_04.xlsx&amp;sheet=A0&amp;row=3377&amp;col=7&amp;number=0&amp;sourceID=14","0")</f>
        <v>0</v>
      </c>
    </row>
    <row r="3378" spans="1:7">
      <c r="A3378" s="3">
        <v>12</v>
      </c>
      <c r="B3378" s="3">
        <v>4</v>
      </c>
      <c r="C3378" s="3">
        <v>59</v>
      </c>
      <c r="D3378" s="3">
        <v>49</v>
      </c>
      <c r="E3378" s="3">
        <v>-4328.263</v>
      </c>
      <c r="F3378" s="4" t="str">
        <f>HYPERLINK("http://141.218.60.56/~jnz1568/getInfo.php?workbook=12_04.xlsx&amp;sheet=A0&amp;row=3378&amp;col=6&amp;number=7.92e-15&amp;sourceID=14","7.92e-15")</f>
        <v>7.92e-15</v>
      </c>
      <c r="G3378" s="4" t="str">
        <f>HYPERLINK("http://141.218.60.56/~jnz1568/getInfo.php?workbook=12_04.xlsx&amp;sheet=A0&amp;row=3378&amp;col=7&amp;number=0&amp;sourceID=14","0")</f>
        <v>0</v>
      </c>
    </row>
    <row r="3379" spans="1:7">
      <c r="A3379" s="3">
        <v>12</v>
      </c>
      <c r="B3379" s="3">
        <v>4</v>
      </c>
      <c r="C3379" s="3">
        <v>62</v>
      </c>
      <c r="D3379" s="3">
        <v>49</v>
      </c>
      <c r="E3379" s="3">
        <v>-702.954</v>
      </c>
      <c r="F3379" s="4" t="str">
        <f>HYPERLINK("http://141.218.60.56/~jnz1568/getInfo.php?workbook=12_04.xlsx&amp;sheet=A0&amp;row=3379&amp;col=6&amp;number=0.00181&amp;sourceID=14","0.00181")</f>
        <v>0.00181</v>
      </c>
      <c r="G3379" s="4" t="str">
        <f>HYPERLINK("http://141.218.60.56/~jnz1568/getInfo.php?workbook=12_04.xlsx&amp;sheet=A0&amp;row=3379&amp;col=7&amp;number=0&amp;sourceID=14","0")</f>
        <v>0</v>
      </c>
    </row>
    <row r="3380" spans="1:7">
      <c r="A3380" s="3">
        <v>12</v>
      </c>
      <c r="B3380" s="3">
        <v>4</v>
      </c>
      <c r="C3380" s="3">
        <v>63</v>
      </c>
      <c r="D3380" s="3">
        <v>49</v>
      </c>
      <c r="E3380" s="3">
        <v>-688.531</v>
      </c>
      <c r="F3380" s="4" t="str">
        <f>HYPERLINK("http://141.218.60.56/~jnz1568/getInfo.php?workbook=12_04.xlsx&amp;sheet=A0&amp;row=3380&amp;col=6&amp;number=0.000734&amp;sourceID=14","0.000734")</f>
        <v>0.000734</v>
      </c>
      <c r="G3380" s="4" t="str">
        <f>HYPERLINK("http://141.218.60.56/~jnz1568/getInfo.php?workbook=12_04.xlsx&amp;sheet=A0&amp;row=3380&amp;col=7&amp;number=0&amp;sourceID=14","0")</f>
        <v>0</v>
      </c>
    </row>
    <row r="3381" spans="1:7">
      <c r="A3381" s="3">
        <v>12</v>
      </c>
      <c r="B3381" s="3">
        <v>4</v>
      </c>
      <c r="C3381" s="3">
        <v>64</v>
      </c>
      <c r="D3381" s="3">
        <v>49</v>
      </c>
      <c r="E3381" s="3">
        <v>-660.172</v>
      </c>
      <c r="F3381" s="4" t="str">
        <f>HYPERLINK("http://141.218.60.56/~jnz1568/getInfo.php?workbook=12_04.xlsx&amp;sheet=A0&amp;row=3381&amp;col=6&amp;number=0.0389&amp;sourceID=14","0.0389")</f>
        <v>0.0389</v>
      </c>
      <c r="G3381" s="4" t="str">
        <f>HYPERLINK("http://141.218.60.56/~jnz1568/getInfo.php?workbook=12_04.xlsx&amp;sheet=A0&amp;row=3381&amp;col=7&amp;number=0&amp;sourceID=14","0")</f>
        <v>0</v>
      </c>
    </row>
    <row r="3382" spans="1:7">
      <c r="A3382" s="3">
        <v>12</v>
      </c>
      <c r="B3382" s="3">
        <v>4</v>
      </c>
      <c r="C3382" s="3">
        <v>65</v>
      </c>
      <c r="D3382" s="3">
        <v>49</v>
      </c>
      <c r="E3382" s="3">
        <v>-628.92</v>
      </c>
      <c r="F3382" s="4" t="str">
        <f>HYPERLINK("http://141.218.60.56/~jnz1568/getInfo.php?workbook=12_04.xlsx&amp;sheet=A0&amp;row=3382&amp;col=6&amp;number=114000000&amp;sourceID=14","114000000")</f>
        <v>114000000</v>
      </c>
      <c r="G3382" s="4" t="str">
        <f>HYPERLINK("http://141.218.60.56/~jnz1568/getInfo.php?workbook=12_04.xlsx&amp;sheet=A0&amp;row=3382&amp;col=7&amp;number=0&amp;sourceID=14","0")</f>
        <v>0</v>
      </c>
    </row>
    <row r="3383" spans="1:7">
      <c r="A3383" s="3">
        <v>12</v>
      </c>
      <c r="B3383" s="3">
        <v>4</v>
      </c>
      <c r="C3383" s="3">
        <v>66</v>
      </c>
      <c r="D3383" s="3">
        <v>49</v>
      </c>
      <c r="E3383" s="3">
        <v>-618.985</v>
      </c>
      <c r="F3383" s="4" t="str">
        <f>HYPERLINK("http://141.218.60.56/~jnz1568/getInfo.php?workbook=12_04.xlsx&amp;sheet=A0&amp;row=3383&amp;col=6&amp;number=236000000&amp;sourceID=14","236000000")</f>
        <v>236000000</v>
      </c>
      <c r="G3383" s="4" t="str">
        <f>HYPERLINK("http://141.218.60.56/~jnz1568/getInfo.php?workbook=12_04.xlsx&amp;sheet=A0&amp;row=3383&amp;col=7&amp;number=0&amp;sourceID=14","0")</f>
        <v>0</v>
      </c>
    </row>
    <row r="3384" spans="1:7">
      <c r="A3384" s="3">
        <v>12</v>
      </c>
      <c r="B3384" s="3">
        <v>4</v>
      </c>
      <c r="C3384" s="3">
        <v>67</v>
      </c>
      <c r="D3384" s="3">
        <v>49</v>
      </c>
      <c r="E3384" s="3">
        <v>-617.262</v>
      </c>
      <c r="F3384" s="4" t="str">
        <f>HYPERLINK("http://141.218.60.56/~jnz1568/getInfo.php?workbook=12_04.xlsx&amp;sheet=A0&amp;row=3384&amp;col=6&amp;number=0.0509&amp;sourceID=14","0.0509")</f>
        <v>0.0509</v>
      </c>
      <c r="G3384" s="4" t="str">
        <f>HYPERLINK("http://141.218.60.56/~jnz1568/getInfo.php?workbook=12_04.xlsx&amp;sheet=A0&amp;row=3384&amp;col=7&amp;number=0&amp;sourceID=14","0")</f>
        <v>0</v>
      </c>
    </row>
    <row r="3385" spans="1:7">
      <c r="A3385" s="3">
        <v>12</v>
      </c>
      <c r="B3385" s="3">
        <v>4</v>
      </c>
      <c r="C3385" s="3">
        <v>68</v>
      </c>
      <c r="D3385" s="3">
        <v>49</v>
      </c>
      <c r="E3385" s="3">
        <v>-608.104</v>
      </c>
      <c r="F3385" s="4" t="str">
        <f>HYPERLINK("http://141.218.60.56/~jnz1568/getInfo.php?workbook=12_04.xlsx&amp;sheet=A0&amp;row=3385&amp;col=6&amp;number=1.18e-06&amp;sourceID=14","1.18e-06")</f>
        <v>1.18e-06</v>
      </c>
      <c r="G3385" s="4" t="str">
        <f>HYPERLINK("http://141.218.60.56/~jnz1568/getInfo.php?workbook=12_04.xlsx&amp;sheet=A0&amp;row=3385&amp;col=7&amp;number=0&amp;sourceID=14","0")</f>
        <v>0</v>
      </c>
    </row>
    <row r="3386" spans="1:7">
      <c r="A3386" s="3">
        <v>12</v>
      </c>
      <c r="B3386" s="3">
        <v>4</v>
      </c>
      <c r="C3386" s="3">
        <v>69</v>
      </c>
      <c r="D3386" s="3">
        <v>49</v>
      </c>
      <c r="E3386" s="3">
        <v>-597.58</v>
      </c>
      <c r="F3386" s="4" t="str">
        <f>HYPERLINK("http://141.218.60.56/~jnz1568/getInfo.php?workbook=12_04.xlsx&amp;sheet=A0&amp;row=3386&amp;col=6&amp;number=7590000&amp;sourceID=14","7590000")</f>
        <v>7590000</v>
      </c>
      <c r="G3386" s="4" t="str">
        <f>HYPERLINK("http://141.218.60.56/~jnz1568/getInfo.php?workbook=12_04.xlsx&amp;sheet=A0&amp;row=3386&amp;col=7&amp;number=0&amp;sourceID=14","0")</f>
        <v>0</v>
      </c>
    </row>
    <row r="3387" spans="1:7">
      <c r="A3387" s="3">
        <v>12</v>
      </c>
      <c r="B3387" s="3">
        <v>4</v>
      </c>
      <c r="C3387" s="3">
        <v>71</v>
      </c>
      <c r="D3387" s="3">
        <v>49</v>
      </c>
      <c r="E3387" s="3">
        <v>-588.565</v>
      </c>
      <c r="F3387" s="4" t="str">
        <f>HYPERLINK("http://141.218.60.56/~jnz1568/getInfo.php?workbook=12_04.xlsx&amp;sheet=A0&amp;row=3387&amp;col=6&amp;number=479000000&amp;sourceID=14","479000000")</f>
        <v>479000000</v>
      </c>
      <c r="G3387" s="4" t="str">
        <f>HYPERLINK("http://141.218.60.56/~jnz1568/getInfo.php?workbook=12_04.xlsx&amp;sheet=A0&amp;row=3387&amp;col=7&amp;number=0&amp;sourceID=14","0")</f>
        <v>0</v>
      </c>
    </row>
    <row r="3388" spans="1:7">
      <c r="A3388" s="3">
        <v>12</v>
      </c>
      <c r="B3388" s="3">
        <v>4</v>
      </c>
      <c r="C3388" s="3">
        <v>72</v>
      </c>
      <c r="D3388" s="3">
        <v>49</v>
      </c>
      <c r="E3388" s="3">
        <v>-586.952</v>
      </c>
      <c r="F3388" s="4" t="str">
        <f>HYPERLINK("http://141.218.60.56/~jnz1568/getInfo.php?workbook=12_04.xlsx&amp;sheet=A0&amp;row=3388&amp;col=6&amp;number=0.0249&amp;sourceID=14","0.0249")</f>
        <v>0.0249</v>
      </c>
      <c r="G3388" s="4" t="str">
        <f>HYPERLINK("http://141.218.60.56/~jnz1568/getInfo.php?workbook=12_04.xlsx&amp;sheet=A0&amp;row=3388&amp;col=7&amp;number=0&amp;sourceID=14","0")</f>
        <v>0</v>
      </c>
    </row>
    <row r="3389" spans="1:7">
      <c r="A3389" s="3">
        <v>12</v>
      </c>
      <c r="B3389" s="3">
        <v>4</v>
      </c>
      <c r="C3389" s="3">
        <v>73</v>
      </c>
      <c r="D3389" s="3">
        <v>49</v>
      </c>
      <c r="E3389" s="3">
        <v>-576.676</v>
      </c>
      <c r="F3389" s="4" t="str">
        <f>HYPERLINK("http://141.218.60.56/~jnz1568/getInfo.php?workbook=12_04.xlsx&amp;sheet=A0&amp;row=3389&amp;col=6&amp;number=61&amp;sourceID=14","61")</f>
        <v>61</v>
      </c>
      <c r="G3389" s="4" t="str">
        <f>HYPERLINK("http://141.218.60.56/~jnz1568/getInfo.php?workbook=12_04.xlsx&amp;sheet=A0&amp;row=3389&amp;col=7&amp;number=0&amp;sourceID=14","0")</f>
        <v>0</v>
      </c>
    </row>
    <row r="3390" spans="1:7">
      <c r="A3390" s="3">
        <v>12</v>
      </c>
      <c r="B3390" s="3">
        <v>4</v>
      </c>
      <c r="C3390" s="3">
        <v>75</v>
      </c>
      <c r="D3390" s="3">
        <v>49</v>
      </c>
      <c r="E3390" s="3">
        <v>-568.441</v>
      </c>
      <c r="F3390" s="4" t="str">
        <f>HYPERLINK("http://141.218.60.56/~jnz1568/getInfo.php?workbook=12_04.xlsx&amp;sheet=A0&amp;row=3390&amp;col=6&amp;number=22.5&amp;sourceID=14","22.5")</f>
        <v>22.5</v>
      </c>
      <c r="G3390" s="4" t="str">
        <f>HYPERLINK("http://141.218.60.56/~jnz1568/getInfo.php?workbook=12_04.xlsx&amp;sheet=A0&amp;row=3390&amp;col=7&amp;number=0&amp;sourceID=14","0")</f>
        <v>0</v>
      </c>
    </row>
    <row r="3391" spans="1:7">
      <c r="A3391" s="3">
        <v>12</v>
      </c>
      <c r="B3391" s="3">
        <v>4</v>
      </c>
      <c r="C3391" s="3">
        <v>76</v>
      </c>
      <c r="D3391" s="3">
        <v>49</v>
      </c>
      <c r="E3391" s="3">
        <v>-564.986</v>
      </c>
      <c r="F3391" s="4" t="str">
        <f>HYPERLINK("http://141.218.60.56/~jnz1568/getInfo.php?workbook=12_04.xlsx&amp;sheet=A0&amp;row=3391&amp;col=6&amp;number=0.0256&amp;sourceID=14","0.0256")</f>
        <v>0.0256</v>
      </c>
      <c r="G3391" s="4" t="str">
        <f>HYPERLINK("http://141.218.60.56/~jnz1568/getInfo.php?workbook=12_04.xlsx&amp;sheet=A0&amp;row=3391&amp;col=7&amp;number=0&amp;sourceID=14","0")</f>
        <v>0</v>
      </c>
    </row>
    <row r="3392" spans="1:7">
      <c r="A3392" s="3">
        <v>12</v>
      </c>
      <c r="B3392" s="3">
        <v>4</v>
      </c>
      <c r="C3392" s="3">
        <v>77</v>
      </c>
      <c r="D3392" s="3">
        <v>49</v>
      </c>
      <c r="E3392" s="3">
        <v>-563.404</v>
      </c>
      <c r="F3392" s="4" t="str">
        <f>HYPERLINK("http://141.218.60.56/~jnz1568/getInfo.php?workbook=12_04.xlsx&amp;sheet=A0&amp;row=3392&amp;col=6&amp;number=1.18e-09&amp;sourceID=14","1.18e-09")</f>
        <v>1.18e-09</v>
      </c>
      <c r="G3392" s="4" t="str">
        <f>HYPERLINK("http://141.218.60.56/~jnz1568/getInfo.php?workbook=12_04.xlsx&amp;sheet=A0&amp;row=3392&amp;col=7&amp;number=0&amp;sourceID=14","0")</f>
        <v>0</v>
      </c>
    </row>
    <row r="3393" spans="1:7">
      <c r="A3393" s="3">
        <v>12</v>
      </c>
      <c r="B3393" s="3">
        <v>4</v>
      </c>
      <c r="C3393" s="3">
        <v>78</v>
      </c>
      <c r="D3393" s="3">
        <v>49</v>
      </c>
      <c r="E3393" s="3">
        <v>-554.027</v>
      </c>
      <c r="F3393" s="4" t="str">
        <f>HYPERLINK("http://141.218.60.56/~jnz1568/getInfo.php?workbook=12_04.xlsx&amp;sheet=A0&amp;row=3393&amp;col=6&amp;number=0.0193&amp;sourceID=14","0.0193")</f>
        <v>0.0193</v>
      </c>
      <c r="G3393" s="4" t="str">
        <f>HYPERLINK("http://141.218.60.56/~jnz1568/getInfo.php?workbook=12_04.xlsx&amp;sheet=A0&amp;row=3393&amp;col=7&amp;number=0&amp;sourceID=14","0")</f>
        <v>0</v>
      </c>
    </row>
    <row r="3394" spans="1:7">
      <c r="A3394" s="3">
        <v>12</v>
      </c>
      <c r="B3394" s="3">
        <v>4</v>
      </c>
      <c r="C3394" s="3">
        <v>79</v>
      </c>
      <c r="D3394" s="3">
        <v>49</v>
      </c>
      <c r="E3394" s="3">
        <v>-552.133</v>
      </c>
      <c r="F3394" s="4" t="str">
        <f>HYPERLINK("http://141.218.60.56/~jnz1568/getInfo.php?workbook=12_04.xlsx&amp;sheet=A0&amp;row=3394&amp;col=6&amp;number=6.36&amp;sourceID=14","6.36")</f>
        <v>6.36</v>
      </c>
      <c r="G3394" s="4" t="str">
        <f>HYPERLINK("http://141.218.60.56/~jnz1568/getInfo.php?workbook=12_04.xlsx&amp;sheet=A0&amp;row=3394&amp;col=7&amp;number=0&amp;sourceID=14","0")</f>
        <v>0</v>
      </c>
    </row>
    <row r="3395" spans="1:7">
      <c r="A3395" s="3">
        <v>12</v>
      </c>
      <c r="B3395" s="3">
        <v>4</v>
      </c>
      <c r="C3395" s="3">
        <v>80</v>
      </c>
      <c r="D3395" s="3">
        <v>49</v>
      </c>
      <c r="E3395" s="3">
        <v>-548.376</v>
      </c>
      <c r="F3395" s="4" t="str">
        <f>HYPERLINK("http://141.218.60.56/~jnz1568/getInfo.php?workbook=12_04.xlsx&amp;sheet=A0&amp;row=3395&amp;col=6&amp;number=3.75e-05&amp;sourceID=14","3.75e-05")</f>
        <v>3.75e-05</v>
      </c>
      <c r="G3395" s="4" t="str">
        <f>HYPERLINK("http://141.218.60.56/~jnz1568/getInfo.php?workbook=12_04.xlsx&amp;sheet=A0&amp;row=3395&amp;col=7&amp;number=0&amp;sourceID=14","0")</f>
        <v>0</v>
      </c>
    </row>
    <row r="3396" spans="1:7">
      <c r="A3396" s="3">
        <v>12</v>
      </c>
      <c r="B3396" s="3">
        <v>4</v>
      </c>
      <c r="C3396" s="3">
        <v>82</v>
      </c>
      <c r="D3396" s="3">
        <v>49</v>
      </c>
      <c r="E3396" s="3">
        <v>-547.289</v>
      </c>
      <c r="F3396" s="4" t="str">
        <f>HYPERLINK("http://141.218.60.56/~jnz1568/getInfo.php?workbook=12_04.xlsx&amp;sheet=A0&amp;row=3396&amp;col=6&amp;number=0.00231&amp;sourceID=14","0.00231")</f>
        <v>0.00231</v>
      </c>
      <c r="G3396" s="4" t="str">
        <f>HYPERLINK("http://141.218.60.56/~jnz1568/getInfo.php?workbook=12_04.xlsx&amp;sheet=A0&amp;row=3396&amp;col=7&amp;number=0&amp;sourceID=14","0")</f>
        <v>0</v>
      </c>
    </row>
    <row r="3397" spans="1:7">
      <c r="A3397" s="3">
        <v>12</v>
      </c>
      <c r="B3397" s="3">
        <v>4</v>
      </c>
      <c r="C3397" s="3">
        <v>83</v>
      </c>
      <c r="D3397" s="3">
        <v>49</v>
      </c>
      <c r="E3397" s="3">
        <v>-547.274</v>
      </c>
      <c r="F3397" s="4" t="str">
        <f>HYPERLINK("http://141.218.60.56/~jnz1568/getInfo.php?workbook=12_04.xlsx&amp;sheet=A0&amp;row=3397&amp;col=6&amp;number=0.000184&amp;sourceID=14","0.000184")</f>
        <v>0.000184</v>
      </c>
      <c r="G3397" s="4" t="str">
        <f>HYPERLINK("http://141.218.60.56/~jnz1568/getInfo.php?workbook=12_04.xlsx&amp;sheet=A0&amp;row=3397&amp;col=7&amp;number=0&amp;sourceID=14","0")</f>
        <v>0</v>
      </c>
    </row>
    <row r="3398" spans="1:7">
      <c r="A3398" s="3">
        <v>12</v>
      </c>
      <c r="B3398" s="3">
        <v>4</v>
      </c>
      <c r="C3398" s="3">
        <v>85</v>
      </c>
      <c r="D3398" s="3">
        <v>49</v>
      </c>
      <c r="E3398" s="3">
        <v>-541.927</v>
      </c>
      <c r="F3398" s="4" t="str">
        <f>HYPERLINK("http://141.218.60.56/~jnz1568/getInfo.php?workbook=12_04.xlsx&amp;sheet=A0&amp;row=3398&amp;col=6&amp;number=0.0285&amp;sourceID=14","0.0285")</f>
        <v>0.0285</v>
      </c>
      <c r="G3398" s="4" t="str">
        <f>HYPERLINK("http://141.218.60.56/~jnz1568/getInfo.php?workbook=12_04.xlsx&amp;sheet=A0&amp;row=3398&amp;col=7&amp;number=0&amp;sourceID=14","0")</f>
        <v>0</v>
      </c>
    </row>
    <row r="3399" spans="1:7">
      <c r="A3399" s="3">
        <v>12</v>
      </c>
      <c r="B3399" s="3">
        <v>4</v>
      </c>
      <c r="C3399" s="3">
        <v>86</v>
      </c>
      <c r="D3399" s="3">
        <v>49</v>
      </c>
      <c r="E3399" s="3">
        <v>-540.112</v>
      </c>
      <c r="F3399" s="4" t="str">
        <f>HYPERLINK("http://141.218.60.56/~jnz1568/getInfo.php?workbook=12_04.xlsx&amp;sheet=A0&amp;row=3399&amp;col=6&amp;number=0.000883&amp;sourceID=14","0.000883")</f>
        <v>0.000883</v>
      </c>
      <c r="G3399" s="4" t="str">
        <f>HYPERLINK("http://141.218.60.56/~jnz1568/getInfo.php?workbook=12_04.xlsx&amp;sheet=A0&amp;row=3399&amp;col=7&amp;number=0&amp;sourceID=14","0")</f>
        <v>0</v>
      </c>
    </row>
    <row r="3400" spans="1:7">
      <c r="A3400" s="3">
        <v>12</v>
      </c>
      <c r="B3400" s="3">
        <v>4</v>
      </c>
      <c r="C3400" s="3">
        <v>88</v>
      </c>
      <c r="D3400" s="3">
        <v>49</v>
      </c>
      <c r="E3400" s="3">
        <v>-536.879</v>
      </c>
      <c r="F3400" s="4" t="str">
        <f>HYPERLINK("http://141.218.60.56/~jnz1568/getInfo.php?workbook=12_04.xlsx&amp;sheet=A0&amp;row=3400&amp;col=6&amp;number=0.000566&amp;sourceID=14","0.000566")</f>
        <v>0.000566</v>
      </c>
      <c r="G3400" s="4" t="str">
        <f>HYPERLINK("http://141.218.60.56/~jnz1568/getInfo.php?workbook=12_04.xlsx&amp;sheet=A0&amp;row=3400&amp;col=7&amp;number=0&amp;sourceID=14","0")</f>
        <v>0</v>
      </c>
    </row>
    <row r="3401" spans="1:7">
      <c r="A3401" s="3">
        <v>12</v>
      </c>
      <c r="B3401" s="3">
        <v>4</v>
      </c>
      <c r="C3401" s="3">
        <v>90</v>
      </c>
      <c r="D3401" s="3">
        <v>49</v>
      </c>
      <c r="E3401" s="3">
        <v>-531.636</v>
      </c>
      <c r="F3401" s="4" t="str">
        <f>HYPERLINK("http://141.218.60.56/~jnz1568/getInfo.php?workbook=12_04.xlsx&amp;sheet=A0&amp;row=3401&amp;col=6&amp;number=5.33e-12&amp;sourceID=14","5.33e-12")</f>
        <v>5.33e-12</v>
      </c>
      <c r="G3401" s="4" t="str">
        <f>HYPERLINK("http://141.218.60.56/~jnz1568/getInfo.php?workbook=12_04.xlsx&amp;sheet=A0&amp;row=3401&amp;col=7&amp;number=0&amp;sourceID=14","0")</f>
        <v>0</v>
      </c>
    </row>
    <row r="3402" spans="1:7">
      <c r="A3402" s="3">
        <v>12</v>
      </c>
      <c r="B3402" s="3">
        <v>4</v>
      </c>
      <c r="C3402" s="3">
        <v>91</v>
      </c>
      <c r="D3402" s="3">
        <v>49</v>
      </c>
      <c r="E3402" s="3">
        <v>-528.213</v>
      </c>
      <c r="F3402" s="4" t="str">
        <f>HYPERLINK("http://141.218.60.56/~jnz1568/getInfo.php?workbook=12_04.xlsx&amp;sheet=A0&amp;row=3402&amp;col=6&amp;number=0.00019&amp;sourceID=14","0.00019")</f>
        <v>0.00019</v>
      </c>
      <c r="G3402" s="4" t="str">
        <f>HYPERLINK("http://141.218.60.56/~jnz1568/getInfo.php?workbook=12_04.xlsx&amp;sheet=A0&amp;row=3402&amp;col=7&amp;number=0&amp;sourceID=14","0")</f>
        <v>0</v>
      </c>
    </row>
    <row r="3403" spans="1:7">
      <c r="A3403" s="3">
        <v>12</v>
      </c>
      <c r="B3403" s="3">
        <v>4</v>
      </c>
      <c r="C3403" s="3">
        <v>93</v>
      </c>
      <c r="D3403" s="3">
        <v>49</v>
      </c>
      <c r="E3403" s="3">
        <v>-526.683</v>
      </c>
      <c r="F3403" s="4" t="str">
        <f>HYPERLINK("http://141.218.60.56/~jnz1568/getInfo.php?workbook=12_04.xlsx&amp;sheet=A0&amp;row=3403&amp;col=6&amp;number=0.000728&amp;sourceID=14","0.000728")</f>
        <v>0.000728</v>
      </c>
      <c r="G3403" s="4" t="str">
        <f>HYPERLINK("http://141.218.60.56/~jnz1568/getInfo.php?workbook=12_04.xlsx&amp;sheet=A0&amp;row=3403&amp;col=7&amp;number=0&amp;sourceID=14","0")</f>
        <v>0</v>
      </c>
    </row>
    <row r="3404" spans="1:7">
      <c r="A3404" s="3">
        <v>12</v>
      </c>
      <c r="B3404" s="3">
        <v>4</v>
      </c>
      <c r="C3404" s="3">
        <v>94</v>
      </c>
      <c r="D3404" s="3">
        <v>49</v>
      </c>
      <c r="E3404" s="3">
        <v>-524.014</v>
      </c>
      <c r="F3404" s="4" t="str">
        <f>HYPERLINK("http://141.218.60.56/~jnz1568/getInfo.php?workbook=12_04.xlsx&amp;sheet=A0&amp;row=3404&amp;col=6&amp;number=24600000&amp;sourceID=14","24600000")</f>
        <v>24600000</v>
      </c>
      <c r="G3404" s="4" t="str">
        <f>HYPERLINK("http://141.218.60.56/~jnz1568/getInfo.php?workbook=12_04.xlsx&amp;sheet=A0&amp;row=3404&amp;col=7&amp;number=0&amp;sourceID=14","0")</f>
        <v>0</v>
      </c>
    </row>
    <row r="3405" spans="1:7">
      <c r="A3405" s="3">
        <v>12</v>
      </c>
      <c r="B3405" s="3">
        <v>4</v>
      </c>
      <c r="C3405" s="3">
        <v>96</v>
      </c>
      <c r="D3405" s="3">
        <v>49</v>
      </c>
      <c r="E3405" s="3">
        <v>-520.682</v>
      </c>
      <c r="F3405" s="4" t="str">
        <f>HYPERLINK("http://141.218.60.56/~jnz1568/getInfo.php?workbook=12_04.xlsx&amp;sheet=A0&amp;row=3405&amp;col=6&amp;number=0.00104&amp;sourceID=14","0.00104")</f>
        <v>0.00104</v>
      </c>
      <c r="G3405" s="4" t="str">
        <f>HYPERLINK("http://141.218.60.56/~jnz1568/getInfo.php?workbook=12_04.xlsx&amp;sheet=A0&amp;row=3405&amp;col=7&amp;number=0&amp;sourceID=14","0")</f>
        <v>0</v>
      </c>
    </row>
    <row r="3406" spans="1:7">
      <c r="A3406" s="3">
        <v>12</v>
      </c>
      <c r="B3406" s="3">
        <v>4</v>
      </c>
      <c r="C3406" s="3">
        <v>98</v>
      </c>
      <c r="D3406" s="3">
        <v>49</v>
      </c>
      <c r="E3406" s="3">
        <v>-510.859</v>
      </c>
      <c r="F3406" s="4" t="str">
        <f>HYPERLINK("http://141.218.60.56/~jnz1568/getInfo.php?workbook=12_04.xlsx&amp;sheet=A0&amp;row=3406&amp;col=6&amp;number=0.00821&amp;sourceID=14","0.00821")</f>
        <v>0.00821</v>
      </c>
      <c r="G3406" s="4" t="str">
        <f>HYPERLINK("http://141.218.60.56/~jnz1568/getInfo.php?workbook=12_04.xlsx&amp;sheet=A0&amp;row=3406&amp;col=7&amp;number=0&amp;sourceID=14","0")</f>
        <v>0</v>
      </c>
    </row>
    <row r="3407" spans="1:7">
      <c r="A3407" s="3">
        <v>12</v>
      </c>
      <c r="B3407" s="3">
        <v>4</v>
      </c>
      <c r="C3407" s="3">
        <v>51</v>
      </c>
      <c r="D3407" s="3">
        <v>50</v>
      </c>
      <c r="E3407" s="3">
        <v>-381680.094</v>
      </c>
      <c r="F3407" s="4" t="str">
        <f>HYPERLINK("http://141.218.60.56/~jnz1568/getInfo.php?workbook=12_04.xlsx&amp;sheet=A0&amp;row=3407&amp;col=6&amp;number=0.000243&amp;sourceID=14","0.000243")</f>
        <v>0.000243</v>
      </c>
      <c r="G3407" s="4" t="str">
        <f>HYPERLINK("http://141.218.60.56/~jnz1568/getInfo.php?workbook=12_04.xlsx&amp;sheet=A0&amp;row=3407&amp;col=7&amp;number=0&amp;sourceID=14","0")</f>
        <v>0</v>
      </c>
    </row>
    <row r="3408" spans="1:7">
      <c r="A3408" s="3">
        <v>12</v>
      </c>
      <c r="B3408" s="3">
        <v>4</v>
      </c>
      <c r="C3408" s="3">
        <v>52</v>
      </c>
      <c r="D3408" s="3">
        <v>50</v>
      </c>
      <c r="E3408" s="3">
        <v>-33123.613</v>
      </c>
      <c r="F3408" s="4" t="str">
        <f>HYPERLINK("http://141.218.60.56/~jnz1568/getInfo.php?workbook=12_04.xlsx&amp;sheet=A0&amp;row=3408&amp;col=6&amp;number=0.00251&amp;sourceID=14","0.00251")</f>
        <v>0.00251</v>
      </c>
      <c r="G3408" s="4" t="str">
        <f>HYPERLINK("http://141.218.60.56/~jnz1568/getInfo.php?workbook=12_04.xlsx&amp;sheet=A0&amp;row=3408&amp;col=7&amp;number=0&amp;sourceID=14","0")</f>
        <v>0</v>
      </c>
    </row>
    <row r="3409" spans="1:7">
      <c r="A3409" s="3">
        <v>12</v>
      </c>
      <c r="B3409" s="3">
        <v>4</v>
      </c>
      <c r="C3409" s="3">
        <v>53</v>
      </c>
      <c r="D3409" s="3">
        <v>50</v>
      </c>
      <c r="E3409" s="3">
        <v>-7187.019</v>
      </c>
      <c r="F3409" s="4" t="str">
        <f>HYPERLINK("http://141.218.60.56/~jnz1568/getInfo.php?workbook=12_04.xlsx&amp;sheet=A0&amp;row=3409&amp;col=6&amp;number=5950000&amp;sourceID=14","5950000")</f>
        <v>5950000</v>
      </c>
      <c r="G3409" s="4" t="str">
        <f>HYPERLINK("http://141.218.60.56/~jnz1568/getInfo.php?workbook=12_04.xlsx&amp;sheet=A0&amp;row=3409&amp;col=7&amp;number=0&amp;sourceID=14","0")</f>
        <v>0</v>
      </c>
    </row>
    <row r="3410" spans="1:7">
      <c r="A3410" s="3">
        <v>12</v>
      </c>
      <c r="B3410" s="3">
        <v>4</v>
      </c>
      <c r="C3410" s="3">
        <v>54</v>
      </c>
      <c r="D3410" s="3">
        <v>50</v>
      </c>
      <c r="E3410" s="3">
        <v>-7162.824</v>
      </c>
      <c r="F3410" s="4" t="str">
        <f>HYPERLINK("http://141.218.60.56/~jnz1568/getInfo.php?workbook=12_04.xlsx&amp;sheet=A0&amp;row=3410&amp;col=6&amp;number=10700000&amp;sourceID=14","10700000")</f>
        <v>10700000</v>
      </c>
      <c r="G3410" s="4" t="str">
        <f>HYPERLINK("http://141.218.60.56/~jnz1568/getInfo.php?workbook=12_04.xlsx&amp;sheet=A0&amp;row=3410&amp;col=7&amp;number=0&amp;sourceID=14","0")</f>
        <v>0</v>
      </c>
    </row>
    <row r="3411" spans="1:7">
      <c r="A3411" s="3">
        <v>12</v>
      </c>
      <c r="B3411" s="3">
        <v>4</v>
      </c>
      <c r="C3411" s="3">
        <v>55</v>
      </c>
      <c r="D3411" s="3">
        <v>50</v>
      </c>
      <c r="E3411" s="3">
        <v>-7126.073</v>
      </c>
      <c r="F3411" s="4" t="str">
        <f>HYPERLINK("http://141.218.60.56/~jnz1568/getInfo.php?workbook=12_04.xlsx&amp;sheet=A0&amp;row=3411&amp;col=6&amp;number=4.31e-07&amp;sourceID=14","4.31e-07")</f>
        <v>4.31e-07</v>
      </c>
      <c r="G3411" s="4" t="str">
        <f>HYPERLINK("http://141.218.60.56/~jnz1568/getInfo.php?workbook=12_04.xlsx&amp;sheet=A0&amp;row=3411&amp;col=7&amp;number=0&amp;sourceID=14","0")</f>
        <v>0</v>
      </c>
    </row>
    <row r="3412" spans="1:7">
      <c r="A3412" s="3">
        <v>12</v>
      </c>
      <c r="B3412" s="3">
        <v>4</v>
      </c>
      <c r="C3412" s="3">
        <v>56</v>
      </c>
      <c r="D3412" s="3">
        <v>50</v>
      </c>
      <c r="E3412" s="3">
        <v>-4419.507</v>
      </c>
      <c r="F3412" s="4" t="str">
        <f>HYPERLINK("http://141.218.60.56/~jnz1568/getInfo.php?workbook=12_04.xlsx&amp;sheet=A0&amp;row=3412&amp;col=6&amp;number=142000&amp;sourceID=14","142000")</f>
        <v>142000</v>
      </c>
      <c r="G3412" s="4" t="str">
        <f>HYPERLINK("http://141.218.60.56/~jnz1568/getInfo.php?workbook=12_04.xlsx&amp;sheet=A0&amp;row=3412&amp;col=7&amp;number=0&amp;sourceID=14","0")</f>
        <v>0</v>
      </c>
    </row>
    <row r="3413" spans="1:7">
      <c r="A3413" s="3">
        <v>12</v>
      </c>
      <c r="B3413" s="3">
        <v>4</v>
      </c>
      <c r="C3413" s="3">
        <v>57</v>
      </c>
      <c r="D3413" s="3">
        <v>50</v>
      </c>
      <c r="E3413" s="3">
        <v>-4362.819</v>
      </c>
      <c r="F3413" s="4" t="str">
        <f>HYPERLINK("http://141.218.60.56/~jnz1568/getInfo.php?workbook=12_04.xlsx&amp;sheet=A0&amp;row=3413&amp;col=6&amp;number=1.79&amp;sourceID=14","1.79")</f>
        <v>1.79</v>
      </c>
      <c r="G3413" s="4" t="str">
        <f>HYPERLINK("http://141.218.60.56/~jnz1568/getInfo.php?workbook=12_04.xlsx&amp;sheet=A0&amp;row=3413&amp;col=7&amp;number=0&amp;sourceID=14","0")</f>
        <v>0</v>
      </c>
    </row>
    <row r="3414" spans="1:7">
      <c r="A3414" s="3">
        <v>12</v>
      </c>
      <c r="B3414" s="3">
        <v>4</v>
      </c>
      <c r="C3414" s="3">
        <v>58</v>
      </c>
      <c r="D3414" s="3">
        <v>50</v>
      </c>
      <c r="E3414" s="3">
        <v>-4357.307</v>
      </c>
      <c r="F3414" s="4" t="str">
        <f>HYPERLINK("http://141.218.60.56/~jnz1568/getInfo.php?workbook=12_04.xlsx&amp;sheet=A0&amp;row=3414&amp;col=6&amp;number=2.58&amp;sourceID=14","2.58")</f>
        <v>2.58</v>
      </c>
      <c r="G3414" s="4" t="str">
        <f>HYPERLINK("http://141.218.60.56/~jnz1568/getInfo.php?workbook=12_04.xlsx&amp;sheet=A0&amp;row=3414&amp;col=7&amp;number=0&amp;sourceID=14","0")</f>
        <v>0</v>
      </c>
    </row>
    <row r="3415" spans="1:7">
      <c r="A3415" s="3">
        <v>12</v>
      </c>
      <c r="B3415" s="3">
        <v>4</v>
      </c>
      <c r="C3415" s="3">
        <v>59</v>
      </c>
      <c r="D3415" s="3">
        <v>50</v>
      </c>
      <c r="E3415" s="3">
        <v>-4350.104</v>
      </c>
      <c r="F3415" s="4" t="str">
        <f>HYPERLINK("http://141.218.60.56/~jnz1568/getInfo.php?workbook=12_04.xlsx&amp;sheet=A0&amp;row=3415&amp;col=6&amp;number=1.02e-12&amp;sourceID=14","1.02e-12")</f>
        <v>1.02e-12</v>
      </c>
      <c r="G3415" s="4" t="str">
        <f>HYPERLINK("http://141.218.60.56/~jnz1568/getInfo.php?workbook=12_04.xlsx&amp;sheet=A0&amp;row=3415&amp;col=7&amp;number=0&amp;sourceID=14","0")</f>
        <v>0</v>
      </c>
    </row>
    <row r="3416" spans="1:7">
      <c r="A3416" s="3">
        <v>12</v>
      </c>
      <c r="B3416" s="3">
        <v>4</v>
      </c>
      <c r="C3416" s="3">
        <v>60</v>
      </c>
      <c r="D3416" s="3">
        <v>50</v>
      </c>
      <c r="E3416" s="3">
        <v>-3919.424</v>
      </c>
      <c r="F3416" s="4" t="str">
        <f>HYPERLINK("http://141.218.60.56/~jnz1568/getInfo.php?workbook=12_04.xlsx&amp;sheet=A0&amp;row=3416&amp;col=6&amp;number=0.017&amp;sourceID=14","0.017")</f>
        <v>0.017</v>
      </c>
      <c r="G3416" s="4" t="str">
        <f>HYPERLINK("http://141.218.60.56/~jnz1568/getInfo.php?workbook=12_04.xlsx&amp;sheet=A0&amp;row=3416&amp;col=7&amp;number=0&amp;sourceID=14","0")</f>
        <v>0</v>
      </c>
    </row>
    <row r="3417" spans="1:7">
      <c r="A3417" s="3">
        <v>12</v>
      </c>
      <c r="B3417" s="3">
        <v>4</v>
      </c>
      <c r="C3417" s="3">
        <v>61</v>
      </c>
      <c r="D3417" s="3">
        <v>50</v>
      </c>
      <c r="E3417" s="3">
        <v>-708.101</v>
      </c>
      <c r="F3417" s="4" t="str">
        <f>HYPERLINK("http://141.218.60.56/~jnz1568/getInfo.php?workbook=12_04.xlsx&amp;sheet=A0&amp;row=3417&amp;col=6&amp;number=0.029&amp;sourceID=14","0.029")</f>
        <v>0.029</v>
      </c>
      <c r="G3417" s="4" t="str">
        <f>HYPERLINK("http://141.218.60.56/~jnz1568/getInfo.php?workbook=12_04.xlsx&amp;sheet=A0&amp;row=3417&amp;col=7&amp;number=0&amp;sourceID=14","0")</f>
        <v>0</v>
      </c>
    </row>
    <row r="3418" spans="1:7">
      <c r="A3418" s="3">
        <v>12</v>
      </c>
      <c r="B3418" s="3">
        <v>4</v>
      </c>
      <c r="C3418" s="3">
        <v>62</v>
      </c>
      <c r="D3418" s="3">
        <v>50</v>
      </c>
      <c r="E3418" s="3">
        <v>-703.528</v>
      </c>
      <c r="F3418" s="4" t="str">
        <f>HYPERLINK("http://141.218.60.56/~jnz1568/getInfo.php?workbook=12_04.xlsx&amp;sheet=A0&amp;row=3418&amp;col=6&amp;number=0.106&amp;sourceID=14","0.106")</f>
        <v>0.106</v>
      </c>
      <c r="G3418" s="4" t="str">
        <f>HYPERLINK("http://141.218.60.56/~jnz1568/getInfo.php?workbook=12_04.xlsx&amp;sheet=A0&amp;row=3418&amp;col=7&amp;number=0&amp;sourceID=14","0")</f>
        <v>0</v>
      </c>
    </row>
    <row r="3419" spans="1:7">
      <c r="A3419" s="3">
        <v>12</v>
      </c>
      <c r="B3419" s="3">
        <v>4</v>
      </c>
      <c r="C3419" s="3">
        <v>63</v>
      </c>
      <c r="D3419" s="3">
        <v>50</v>
      </c>
      <c r="E3419" s="3">
        <v>-689.081</v>
      </c>
      <c r="F3419" s="4" t="str">
        <f>HYPERLINK("http://141.218.60.56/~jnz1568/getInfo.php?workbook=12_04.xlsx&amp;sheet=A0&amp;row=3419&amp;col=6&amp;number=0.0211&amp;sourceID=14","0.0211")</f>
        <v>0.0211</v>
      </c>
      <c r="G3419" s="4" t="str">
        <f>HYPERLINK("http://141.218.60.56/~jnz1568/getInfo.php?workbook=12_04.xlsx&amp;sheet=A0&amp;row=3419&amp;col=7&amp;number=0&amp;sourceID=14","0")</f>
        <v>0</v>
      </c>
    </row>
    <row r="3420" spans="1:7">
      <c r="A3420" s="3">
        <v>12</v>
      </c>
      <c r="B3420" s="3">
        <v>4</v>
      </c>
      <c r="C3420" s="3">
        <v>64</v>
      </c>
      <c r="D3420" s="3">
        <v>50</v>
      </c>
      <c r="E3420" s="3">
        <v>-660.678</v>
      </c>
      <c r="F3420" s="4" t="str">
        <f>HYPERLINK("http://141.218.60.56/~jnz1568/getInfo.php?workbook=12_04.xlsx&amp;sheet=A0&amp;row=3420&amp;col=6&amp;number=2.49&amp;sourceID=14","2.49")</f>
        <v>2.49</v>
      </c>
      <c r="G3420" s="4" t="str">
        <f>HYPERLINK("http://141.218.60.56/~jnz1568/getInfo.php?workbook=12_04.xlsx&amp;sheet=A0&amp;row=3420&amp;col=7&amp;number=0&amp;sourceID=14","0")</f>
        <v>0</v>
      </c>
    </row>
    <row r="3421" spans="1:7">
      <c r="A3421" s="3">
        <v>12</v>
      </c>
      <c r="B3421" s="3">
        <v>4</v>
      </c>
      <c r="C3421" s="3">
        <v>65</v>
      </c>
      <c r="D3421" s="3">
        <v>50</v>
      </c>
      <c r="E3421" s="3">
        <v>-629.379</v>
      </c>
      <c r="F3421" s="4" t="str">
        <f>HYPERLINK("http://141.218.60.56/~jnz1568/getInfo.php?workbook=12_04.xlsx&amp;sheet=A0&amp;row=3421&amp;col=6&amp;number=164000000&amp;sourceID=14","164000000")</f>
        <v>164000000</v>
      </c>
      <c r="G3421" s="4" t="str">
        <f>HYPERLINK("http://141.218.60.56/~jnz1568/getInfo.php?workbook=12_04.xlsx&amp;sheet=A0&amp;row=3421&amp;col=7&amp;number=0&amp;sourceID=14","0")</f>
        <v>0</v>
      </c>
    </row>
    <row r="3422" spans="1:7">
      <c r="A3422" s="3">
        <v>12</v>
      </c>
      <c r="B3422" s="3">
        <v>4</v>
      </c>
      <c r="C3422" s="3">
        <v>66</v>
      </c>
      <c r="D3422" s="3">
        <v>50</v>
      </c>
      <c r="E3422" s="3">
        <v>-619.43</v>
      </c>
      <c r="F3422" s="4" t="str">
        <f>HYPERLINK("http://141.218.60.56/~jnz1568/getInfo.php?workbook=12_04.xlsx&amp;sheet=A0&amp;row=3422&amp;col=6&amp;number=177000000&amp;sourceID=14","177000000")</f>
        <v>177000000</v>
      </c>
      <c r="G3422" s="4" t="str">
        <f>HYPERLINK("http://141.218.60.56/~jnz1568/getInfo.php?workbook=12_04.xlsx&amp;sheet=A0&amp;row=3422&amp;col=7&amp;number=0&amp;sourceID=14","0")</f>
        <v>0</v>
      </c>
    </row>
    <row r="3423" spans="1:7">
      <c r="A3423" s="3">
        <v>12</v>
      </c>
      <c r="B3423" s="3">
        <v>4</v>
      </c>
      <c r="C3423" s="3">
        <v>67</v>
      </c>
      <c r="D3423" s="3">
        <v>50</v>
      </c>
      <c r="E3423" s="3">
        <v>-617.705</v>
      </c>
      <c r="F3423" s="4" t="str">
        <f>HYPERLINK("http://141.218.60.56/~jnz1568/getInfo.php?workbook=12_04.xlsx&amp;sheet=A0&amp;row=3423&amp;col=6&amp;number=461000000&amp;sourceID=14","461000000")</f>
        <v>461000000</v>
      </c>
      <c r="G3423" s="4" t="str">
        <f>HYPERLINK("http://141.218.60.56/~jnz1568/getInfo.php?workbook=12_04.xlsx&amp;sheet=A0&amp;row=3423&amp;col=7&amp;number=0&amp;sourceID=14","0")</f>
        <v>0</v>
      </c>
    </row>
    <row r="3424" spans="1:7">
      <c r="A3424" s="3">
        <v>12</v>
      </c>
      <c r="B3424" s="3">
        <v>4</v>
      </c>
      <c r="C3424" s="3">
        <v>68</v>
      </c>
      <c r="D3424" s="3">
        <v>50</v>
      </c>
      <c r="E3424" s="3">
        <v>-608.533</v>
      </c>
      <c r="F3424" s="4" t="str">
        <f>HYPERLINK("http://141.218.60.56/~jnz1568/getInfo.php?workbook=12_04.xlsx&amp;sheet=A0&amp;row=3424&amp;col=6&amp;number=0.0501&amp;sourceID=14","0.0501")</f>
        <v>0.0501</v>
      </c>
      <c r="G3424" s="4" t="str">
        <f>HYPERLINK("http://141.218.60.56/~jnz1568/getInfo.php?workbook=12_04.xlsx&amp;sheet=A0&amp;row=3424&amp;col=7&amp;number=0&amp;sourceID=14","0")</f>
        <v>0</v>
      </c>
    </row>
    <row r="3425" spans="1:7">
      <c r="A3425" s="3">
        <v>12</v>
      </c>
      <c r="B3425" s="3">
        <v>4</v>
      </c>
      <c r="C3425" s="3">
        <v>69</v>
      </c>
      <c r="D3425" s="3">
        <v>50</v>
      </c>
      <c r="E3425" s="3">
        <v>-597.994</v>
      </c>
      <c r="F3425" s="4" t="str">
        <f>HYPERLINK("http://141.218.60.56/~jnz1568/getInfo.php?workbook=12_04.xlsx&amp;sheet=A0&amp;row=3425&amp;col=6&amp;number=73500000&amp;sourceID=14","73500000")</f>
        <v>73500000</v>
      </c>
      <c r="G3425" s="4" t="str">
        <f>HYPERLINK("http://141.218.60.56/~jnz1568/getInfo.php?workbook=12_04.xlsx&amp;sheet=A0&amp;row=3425&amp;col=7&amp;number=0&amp;sourceID=14","0")</f>
        <v>0</v>
      </c>
    </row>
    <row r="3426" spans="1:7">
      <c r="A3426" s="3">
        <v>12</v>
      </c>
      <c r="B3426" s="3">
        <v>4</v>
      </c>
      <c r="C3426" s="3">
        <v>70</v>
      </c>
      <c r="D3426" s="3">
        <v>50</v>
      </c>
      <c r="E3426" s="3">
        <v>-595.743</v>
      </c>
      <c r="F3426" s="4" t="str">
        <f>HYPERLINK("http://141.218.60.56/~jnz1568/getInfo.php?workbook=12_04.xlsx&amp;sheet=A0&amp;row=3426&amp;col=6&amp;number=852000000&amp;sourceID=14","852000000")</f>
        <v>852000000</v>
      </c>
      <c r="G3426" s="4" t="str">
        <f>HYPERLINK("http://141.218.60.56/~jnz1568/getInfo.php?workbook=12_04.xlsx&amp;sheet=A0&amp;row=3426&amp;col=7&amp;number=0&amp;sourceID=14","0")</f>
        <v>0</v>
      </c>
    </row>
    <row r="3427" spans="1:7">
      <c r="A3427" s="3">
        <v>12</v>
      </c>
      <c r="B3427" s="3">
        <v>4</v>
      </c>
      <c r="C3427" s="3">
        <v>71</v>
      </c>
      <c r="D3427" s="3">
        <v>50</v>
      </c>
      <c r="E3427" s="3">
        <v>-588.967</v>
      </c>
      <c r="F3427" s="4" t="str">
        <f>HYPERLINK("http://141.218.60.56/~jnz1568/getInfo.php?workbook=12_04.xlsx&amp;sheet=A0&amp;row=3427&amp;col=6&amp;number=465000000&amp;sourceID=14","465000000")</f>
        <v>465000000</v>
      </c>
      <c r="G3427" s="4" t="str">
        <f>HYPERLINK("http://141.218.60.56/~jnz1568/getInfo.php?workbook=12_04.xlsx&amp;sheet=A0&amp;row=3427&amp;col=7&amp;number=0&amp;sourceID=14","0")</f>
        <v>0</v>
      </c>
    </row>
    <row r="3428" spans="1:7">
      <c r="A3428" s="3">
        <v>12</v>
      </c>
      <c r="B3428" s="3">
        <v>4</v>
      </c>
      <c r="C3428" s="3">
        <v>72</v>
      </c>
      <c r="D3428" s="3">
        <v>50</v>
      </c>
      <c r="E3428" s="3">
        <v>-587.352</v>
      </c>
      <c r="F3428" s="4" t="str">
        <f>HYPERLINK("http://141.218.60.56/~jnz1568/getInfo.php?workbook=12_04.xlsx&amp;sheet=A0&amp;row=3428&amp;col=6&amp;number=343000000&amp;sourceID=14","343000000")</f>
        <v>343000000</v>
      </c>
      <c r="G3428" s="4" t="str">
        <f>HYPERLINK("http://141.218.60.56/~jnz1568/getInfo.php?workbook=12_04.xlsx&amp;sheet=A0&amp;row=3428&amp;col=7&amp;number=0&amp;sourceID=14","0")</f>
        <v>0</v>
      </c>
    </row>
    <row r="3429" spans="1:7">
      <c r="A3429" s="3">
        <v>12</v>
      </c>
      <c r="B3429" s="3">
        <v>4</v>
      </c>
      <c r="C3429" s="3">
        <v>73</v>
      </c>
      <c r="D3429" s="3">
        <v>50</v>
      </c>
      <c r="E3429" s="3">
        <v>-577.062</v>
      </c>
      <c r="F3429" s="4" t="str">
        <f>HYPERLINK("http://141.218.60.56/~jnz1568/getInfo.php?workbook=12_04.xlsx&amp;sheet=A0&amp;row=3429&amp;col=6&amp;number=45.1&amp;sourceID=14","45.1")</f>
        <v>45.1</v>
      </c>
      <c r="G3429" s="4" t="str">
        <f>HYPERLINK("http://141.218.60.56/~jnz1568/getInfo.php?workbook=12_04.xlsx&amp;sheet=A0&amp;row=3429&amp;col=7&amp;number=0&amp;sourceID=14","0")</f>
        <v>0</v>
      </c>
    </row>
    <row r="3430" spans="1:7">
      <c r="A3430" s="3">
        <v>12</v>
      </c>
      <c r="B3430" s="3">
        <v>4</v>
      </c>
      <c r="C3430" s="3">
        <v>74</v>
      </c>
      <c r="D3430" s="3">
        <v>50</v>
      </c>
      <c r="E3430" s="3">
        <v>-570.771</v>
      </c>
      <c r="F3430" s="4" t="str">
        <f>HYPERLINK("http://141.218.60.56/~jnz1568/getInfo.php?workbook=12_04.xlsx&amp;sheet=A0&amp;row=3430&amp;col=6&amp;number=113&amp;sourceID=14","113")</f>
        <v>113</v>
      </c>
      <c r="G3430" s="4" t="str">
        <f>HYPERLINK("http://141.218.60.56/~jnz1568/getInfo.php?workbook=12_04.xlsx&amp;sheet=A0&amp;row=3430&amp;col=7&amp;number=0&amp;sourceID=14","0")</f>
        <v>0</v>
      </c>
    </row>
    <row r="3431" spans="1:7">
      <c r="A3431" s="3">
        <v>12</v>
      </c>
      <c r="B3431" s="3">
        <v>4</v>
      </c>
      <c r="C3431" s="3">
        <v>75</v>
      </c>
      <c r="D3431" s="3">
        <v>50</v>
      </c>
      <c r="E3431" s="3">
        <v>-568.816</v>
      </c>
      <c r="F3431" s="4" t="str">
        <f>HYPERLINK("http://141.218.60.56/~jnz1568/getInfo.php?workbook=12_04.xlsx&amp;sheet=A0&amp;row=3431&amp;col=6&amp;number=45.3&amp;sourceID=14","45.3")</f>
        <v>45.3</v>
      </c>
      <c r="G3431" s="4" t="str">
        <f>HYPERLINK("http://141.218.60.56/~jnz1568/getInfo.php?workbook=12_04.xlsx&amp;sheet=A0&amp;row=3431&amp;col=7&amp;number=0&amp;sourceID=14","0")</f>
        <v>0</v>
      </c>
    </row>
    <row r="3432" spans="1:7">
      <c r="A3432" s="3">
        <v>12</v>
      </c>
      <c r="B3432" s="3">
        <v>4</v>
      </c>
      <c r="C3432" s="3">
        <v>76</v>
      </c>
      <c r="D3432" s="3">
        <v>50</v>
      </c>
      <c r="E3432" s="3">
        <v>-565.356</v>
      </c>
      <c r="F3432" s="4" t="str">
        <f>HYPERLINK("http://141.218.60.56/~jnz1568/getInfo.php?workbook=12_04.xlsx&amp;sheet=A0&amp;row=3432&amp;col=6&amp;number=1220000&amp;sourceID=14","1220000")</f>
        <v>1220000</v>
      </c>
      <c r="G3432" s="4" t="str">
        <f>HYPERLINK("http://141.218.60.56/~jnz1568/getInfo.php?workbook=12_04.xlsx&amp;sheet=A0&amp;row=3432&amp;col=7&amp;number=0&amp;sourceID=14","0")</f>
        <v>0</v>
      </c>
    </row>
    <row r="3433" spans="1:7">
      <c r="A3433" s="3">
        <v>12</v>
      </c>
      <c r="B3433" s="3">
        <v>4</v>
      </c>
      <c r="C3433" s="3">
        <v>77</v>
      </c>
      <c r="D3433" s="3">
        <v>50</v>
      </c>
      <c r="E3433" s="3">
        <v>-563.772</v>
      </c>
      <c r="F3433" s="4" t="str">
        <f>HYPERLINK("http://141.218.60.56/~jnz1568/getInfo.php?workbook=12_04.xlsx&amp;sheet=A0&amp;row=3433&amp;col=6&amp;number=6.99e-09&amp;sourceID=14","6.99e-09")</f>
        <v>6.99e-09</v>
      </c>
      <c r="G3433" s="4" t="str">
        <f>HYPERLINK("http://141.218.60.56/~jnz1568/getInfo.php?workbook=12_04.xlsx&amp;sheet=A0&amp;row=3433&amp;col=7&amp;number=0&amp;sourceID=14","0")</f>
        <v>0</v>
      </c>
    </row>
    <row r="3434" spans="1:7">
      <c r="A3434" s="3">
        <v>12</v>
      </c>
      <c r="B3434" s="3">
        <v>4</v>
      </c>
      <c r="C3434" s="3">
        <v>78</v>
      </c>
      <c r="D3434" s="3">
        <v>50</v>
      </c>
      <c r="E3434" s="3">
        <v>-554.383</v>
      </c>
      <c r="F3434" s="4" t="str">
        <f>HYPERLINK("http://141.218.60.56/~jnz1568/getInfo.php?workbook=12_04.xlsx&amp;sheet=A0&amp;row=3434&amp;col=6&amp;number=1.75&amp;sourceID=14","1.75")</f>
        <v>1.75</v>
      </c>
      <c r="G3434" s="4" t="str">
        <f>HYPERLINK("http://141.218.60.56/~jnz1568/getInfo.php?workbook=12_04.xlsx&amp;sheet=A0&amp;row=3434&amp;col=7&amp;number=0&amp;sourceID=14","0")</f>
        <v>0</v>
      </c>
    </row>
    <row r="3435" spans="1:7">
      <c r="A3435" s="3">
        <v>12</v>
      </c>
      <c r="B3435" s="3">
        <v>4</v>
      </c>
      <c r="C3435" s="3">
        <v>79</v>
      </c>
      <c r="D3435" s="3">
        <v>50</v>
      </c>
      <c r="E3435" s="3">
        <v>-552.487</v>
      </c>
      <c r="F3435" s="4" t="str">
        <f>HYPERLINK("http://141.218.60.56/~jnz1568/getInfo.php?workbook=12_04.xlsx&amp;sheet=A0&amp;row=3435&amp;col=6&amp;number=1.76&amp;sourceID=14","1.76")</f>
        <v>1.76</v>
      </c>
      <c r="G3435" s="4" t="str">
        <f>HYPERLINK("http://141.218.60.56/~jnz1568/getInfo.php?workbook=12_04.xlsx&amp;sheet=A0&amp;row=3435&amp;col=7&amp;number=0&amp;sourceID=14","0")</f>
        <v>0</v>
      </c>
    </row>
    <row r="3436" spans="1:7">
      <c r="A3436" s="3">
        <v>12</v>
      </c>
      <c r="B3436" s="3">
        <v>4</v>
      </c>
      <c r="C3436" s="3">
        <v>80</v>
      </c>
      <c r="D3436" s="3">
        <v>50</v>
      </c>
      <c r="E3436" s="3">
        <v>-548.725</v>
      </c>
      <c r="F3436" s="4" t="str">
        <f>HYPERLINK("http://141.218.60.56/~jnz1568/getInfo.php?workbook=12_04.xlsx&amp;sheet=A0&amp;row=3436&amp;col=6&amp;number=0.000184&amp;sourceID=14","0.000184")</f>
        <v>0.000184</v>
      </c>
      <c r="G3436" s="4" t="str">
        <f>HYPERLINK("http://141.218.60.56/~jnz1568/getInfo.php?workbook=12_04.xlsx&amp;sheet=A0&amp;row=3436&amp;col=7&amp;number=0&amp;sourceID=14","0")</f>
        <v>0</v>
      </c>
    </row>
    <row r="3437" spans="1:7">
      <c r="A3437" s="3">
        <v>12</v>
      </c>
      <c r="B3437" s="3">
        <v>4</v>
      </c>
      <c r="C3437" s="3">
        <v>81</v>
      </c>
      <c r="D3437" s="3">
        <v>50</v>
      </c>
      <c r="E3437" s="3">
        <v>-548.644</v>
      </c>
      <c r="F3437" s="4" t="str">
        <f>HYPERLINK("http://141.218.60.56/~jnz1568/getInfo.php?workbook=12_04.xlsx&amp;sheet=A0&amp;row=3437&amp;col=6&amp;number=10.2&amp;sourceID=14","10.2")</f>
        <v>10.2</v>
      </c>
      <c r="G3437" s="4" t="str">
        <f>HYPERLINK("http://141.218.60.56/~jnz1568/getInfo.php?workbook=12_04.xlsx&amp;sheet=A0&amp;row=3437&amp;col=7&amp;number=0&amp;sourceID=14","0")</f>
        <v>0</v>
      </c>
    </row>
    <row r="3438" spans="1:7">
      <c r="A3438" s="3">
        <v>12</v>
      </c>
      <c r="B3438" s="3">
        <v>4</v>
      </c>
      <c r="C3438" s="3">
        <v>82</v>
      </c>
      <c r="D3438" s="3">
        <v>50</v>
      </c>
      <c r="E3438" s="3">
        <v>-547.637</v>
      </c>
      <c r="F3438" s="4" t="str">
        <f>HYPERLINK("http://141.218.60.56/~jnz1568/getInfo.php?workbook=12_04.xlsx&amp;sheet=A0&amp;row=3438&amp;col=6&amp;number=1740000&amp;sourceID=14","1740000")</f>
        <v>1740000</v>
      </c>
      <c r="G3438" s="4" t="str">
        <f>HYPERLINK("http://141.218.60.56/~jnz1568/getInfo.php?workbook=12_04.xlsx&amp;sheet=A0&amp;row=3438&amp;col=7&amp;number=0&amp;sourceID=14","0")</f>
        <v>0</v>
      </c>
    </row>
    <row r="3439" spans="1:7">
      <c r="A3439" s="3">
        <v>12</v>
      </c>
      <c r="B3439" s="3">
        <v>4</v>
      </c>
      <c r="C3439" s="3">
        <v>83</v>
      </c>
      <c r="D3439" s="3">
        <v>50</v>
      </c>
      <c r="E3439" s="3">
        <v>-547.622</v>
      </c>
      <c r="F3439" s="4" t="str">
        <f>HYPERLINK("http://141.218.60.56/~jnz1568/getInfo.php?workbook=12_04.xlsx&amp;sheet=A0&amp;row=3439&amp;col=6&amp;number=0.00247&amp;sourceID=14","0.00247")</f>
        <v>0.00247</v>
      </c>
      <c r="G3439" s="4" t="str">
        <f>HYPERLINK("http://141.218.60.56/~jnz1568/getInfo.php?workbook=12_04.xlsx&amp;sheet=A0&amp;row=3439&amp;col=7&amp;number=0&amp;sourceID=14","0")</f>
        <v>0</v>
      </c>
    </row>
    <row r="3440" spans="1:7">
      <c r="A3440" s="3">
        <v>12</v>
      </c>
      <c r="B3440" s="3">
        <v>4</v>
      </c>
      <c r="C3440" s="3">
        <v>84</v>
      </c>
      <c r="D3440" s="3">
        <v>50</v>
      </c>
      <c r="E3440" s="3">
        <v>-546.649</v>
      </c>
      <c r="F3440" s="4" t="str">
        <f>HYPERLINK("http://141.218.60.56/~jnz1568/getInfo.php?workbook=12_04.xlsx&amp;sheet=A0&amp;row=3440&amp;col=6&amp;number=0.000122&amp;sourceID=14","0.000122")</f>
        <v>0.000122</v>
      </c>
      <c r="G3440" s="4" t="str">
        <f>HYPERLINK("http://141.218.60.56/~jnz1568/getInfo.php?workbook=12_04.xlsx&amp;sheet=A0&amp;row=3440&amp;col=7&amp;number=0&amp;sourceID=14","0")</f>
        <v>0</v>
      </c>
    </row>
    <row r="3441" spans="1:7">
      <c r="A3441" s="3">
        <v>12</v>
      </c>
      <c r="B3441" s="3">
        <v>4</v>
      </c>
      <c r="C3441" s="3">
        <v>85</v>
      </c>
      <c r="D3441" s="3">
        <v>50</v>
      </c>
      <c r="E3441" s="3">
        <v>-542.268</v>
      </c>
      <c r="F3441" s="4" t="str">
        <f>HYPERLINK("http://141.218.60.56/~jnz1568/getInfo.php?workbook=12_04.xlsx&amp;sheet=A0&amp;row=3441&amp;col=6&amp;number=1.29&amp;sourceID=14","1.29")</f>
        <v>1.29</v>
      </c>
      <c r="G3441" s="4" t="str">
        <f>HYPERLINK("http://141.218.60.56/~jnz1568/getInfo.php?workbook=12_04.xlsx&amp;sheet=A0&amp;row=3441&amp;col=7&amp;number=0&amp;sourceID=14","0")</f>
        <v>0</v>
      </c>
    </row>
    <row r="3442" spans="1:7">
      <c r="A3442" s="3">
        <v>12</v>
      </c>
      <c r="B3442" s="3">
        <v>4</v>
      </c>
      <c r="C3442" s="3">
        <v>86</v>
      </c>
      <c r="D3442" s="3">
        <v>50</v>
      </c>
      <c r="E3442" s="3">
        <v>-540.451</v>
      </c>
      <c r="F3442" s="4" t="str">
        <f>HYPERLINK("http://141.218.60.56/~jnz1568/getInfo.php?workbook=12_04.xlsx&amp;sheet=A0&amp;row=3442&amp;col=6&amp;number=0.557&amp;sourceID=14","0.557")</f>
        <v>0.557</v>
      </c>
      <c r="G3442" s="4" t="str">
        <f>HYPERLINK("http://141.218.60.56/~jnz1568/getInfo.php?workbook=12_04.xlsx&amp;sheet=A0&amp;row=3442&amp;col=7&amp;number=0&amp;sourceID=14","0")</f>
        <v>0</v>
      </c>
    </row>
    <row r="3443" spans="1:7">
      <c r="A3443" s="3">
        <v>12</v>
      </c>
      <c r="B3443" s="3">
        <v>4</v>
      </c>
      <c r="C3443" s="3">
        <v>87</v>
      </c>
      <c r="D3443" s="3">
        <v>50</v>
      </c>
      <c r="E3443" s="3">
        <v>-539.483</v>
      </c>
      <c r="F3443" s="4" t="str">
        <f>HYPERLINK("http://141.218.60.56/~jnz1568/getInfo.php?workbook=12_04.xlsx&amp;sheet=A0&amp;row=3443&amp;col=6&amp;number=0.0115&amp;sourceID=14","0.0115")</f>
        <v>0.0115</v>
      </c>
      <c r="G3443" s="4" t="str">
        <f>HYPERLINK("http://141.218.60.56/~jnz1568/getInfo.php?workbook=12_04.xlsx&amp;sheet=A0&amp;row=3443&amp;col=7&amp;number=0&amp;sourceID=14","0")</f>
        <v>0</v>
      </c>
    </row>
    <row r="3444" spans="1:7">
      <c r="A3444" s="3">
        <v>12</v>
      </c>
      <c r="B3444" s="3">
        <v>4</v>
      </c>
      <c r="C3444" s="3">
        <v>88</v>
      </c>
      <c r="D3444" s="3">
        <v>50</v>
      </c>
      <c r="E3444" s="3">
        <v>-537.214</v>
      </c>
      <c r="F3444" s="4" t="str">
        <f>HYPERLINK("http://141.218.60.56/~jnz1568/getInfo.php?workbook=12_04.xlsx&amp;sheet=A0&amp;row=3444&amp;col=6&amp;number=0.00131&amp;sourceID=14","0.00131")</f>
        <v>0.00131</v>
      </c>
      <c r="G3444" s="4" t="str">
        <f>HYPERLINK("http://141.218.60.56/~jnz1568/getInfo.php?workbook=12_04.xlsx&amp;sheet=A0&amp;row=3444&amp;col=7&amp;number=0&amp;sourceID=14","0")</f>
        <v>0</v>
      </c>
    </row>
    <row r="3445" spans="1:7">
      <c r="A3445" s="3">
        <v>12</v>
      </c>
      <c r="B3445" s="3">
        <v>4</v>
      </c>
      <c r="C3445" s="3">
        <v>89</v>
      </c>
      <c r="D3445" s="3">
        <v>50</v>
      </c>
      <c r="E3445" s="3">
        <v>-535.881</v>
      </c>
      <c r="F3445" s="4" t="str">
        <f>HYPERLINK("http://141.218.60.56/~jnz1568/getInfo.php?workbook=12_04.xlsx&amp;sheet=A0&amp;row=3445&amp;col=6&amp;number=0.000735&amp;sourceID=14","0.000735")</f>
        <v>0.000735</v>
      </c>
      <c r="G3445" s="4" t="str">
        <f>HYPERLINK("http://141.218.60.56/~jnz1568/getInfo.php?workbook=12_04.xlsx&amp;sheet=A0&amp;row=3445&amp;col=7&amp;number=0&amp;sourceID=14","0")</f>
        <v>0</v>
      </c>
    </row>
    <row r="3446" spans="1:7">
      <c r="A3446" s="3">
        <v>12</v>
      </c>
      <c r="B3446" s="3">
        <v>4</v>
      </c>
      <c r="C3446" s="3">
        <v>90</v>
      </c>
      <c r="D3446" s="3">
        <v>50</v>
      </c>
      <c r="E3446" s="3">
        <v>-531.964</v>
      </c>
      <c r="F3446" s="4" t="str">
        <f>HYPERLINK("http://141.218.60.56/~jnz1568/getInfo.php?workbook=12_04.xlsx&amp;sheet=A0&amp;row=3446&amp;col=6&amp;number=9.56e-12&amp;sourceID=14","9.56e-12")</f>
        <v>9.56e-12</v>
      </c>
      <c r="G3446" s="4" t="str">
        <f>HYPERLINK("http://141.218.60.56/~jnz1568/getInfo.php?workbook=12_04.xlsx&amp;sheet=A0&amp;row=3446&amp;col=7&amp;number=0&amp;sourceID=14","0")</f>
        <v>0</v>
      </c>
    </row>
    <row r="3447" spans="1:7">
      <c r="A3447" s="3">
        <v>12</v>
      </c>
      <c r="B3447" s="3">
        <v>4</v>
      </c>
      <c r="C3447" s="3">
        <v>91</v>
      </c>
      <c r="D3447" s="3">
        <v>50</v>
      </c>
      <c r="E3447" s="3">
        <v>-528.537</v>
      </c>
      <c r="F3447" s="4" t="str">
        <f>HYPERLINK("http://141.218.60.56/~jnz1568/getInfo.php?workbook=12_04.xlsx&amp;sheet=A0&amp;row=3447&amp;col=6&amp;number=0.000601&amp;sourceID=14","0.000601")</f>
        <v>0.000601</v>
      </c>
      <c r="G3447" s="4" t="str">
        <f>HYPERLINK("http://141.218.60.56/~jnz1568/getInfo.php?workbook=12_04.xlsx&amp;sheet=A0&amp;row=3447&amp;col=7&amp;number=0&amp;sourceID=14","0")</f>
        <v>0</v>
      </c>
    </row>
    <row r="3448" spans="1:7">
      <c r="A3448" s="3">
        <v>12</v>
      </c>
      <c r="B3448" s="3">
        <v>4</v>
      </c>
      <c r="C3448" s="3">
        <v>92</v>
      </c>
      <c r="D3448" s="3">
        <v>50</v>
      </c>
      <c r="E3448" s="3">
        <v>-527.736</v>
      </c>
      <c r="F3448" s="4" t="str">
        <f>HYPERLINK("http://141.218.60.56/~jnz1568/getInfo.php?workbook=12_04.xlsx&amp;sheet=A0&amp;row=3448&amp;col=6&amp;number=0.000383&amp;sourceID=14","0.000383")</f>
        <v>0.000383</v>
      </c>
      <c r="G3448" s="4" t="str">
        <f>HYPERLINK("http://141.218.60.56/~jnz1568/getInfo.php?workbook=12_04.xlsx&amp;sheet=A0&amp;row=3448&amp;col=7&amp;number=0&amp;sourceID=14","0")</f>
        <v>0</v>
      </c>
    </row>
    <row r="3449" spans="1:7">
      <c r="A3449" s="3">
        <v>12</v>
      </c>
      <c r="B3449" s="3">
        <v>4</v>
      </c>
      <c r="C3449" s="3">
        <v>93</v>
      </c>
      <c r="D3449" s="3">
        <v>50</v>
      </c>
      <c r="E3449" s="3">
        <v>-527.005</v>
      </c>
      <c r="F3449" s="4" t="str">
        <f>HYPERLINK("http://141.218.60.56/~jnz1568/getInfo.php?workbook=12_04.xlsx&amp;sheet=A0&amp;row=3449&amp;col=6&amp;number=29800000&amp;sourceID=14","29800000")</f>
        <v>29800000</v>
      </c>
      <c r="G3449" s="4" t="str">
        <f>HYPERLINK("http://141.218.60.56/~jnz1568/getInfo.php?workbook=12_04.xlsx&amp;sheet=A0&amp;row=3449&amp;col=7&amp;number=0&amp;sourceID=14","0")</f>
        <v>0</v>
      </c>
    </row>
    <row r="3450" spans="1:7">
      <c r="A3450" s="3">
        <v>12</v>
      </c>
      <c r="B3450" s="3">
        <v>4</v>
      </c>
      <c r="C3450" s="3">
        <v>94</v>
      </c>
      <c r="D3450" s="3">
        <v>50</v>
      </c>
      <c r="E3450" s="3">
        <v>-524.333</v>
      </c>
      <c r="F3450" s="4" t="str">
        <f>HYPERLINK("http://141.218.60.56/~jnz1568/getInfo.php?workbook=12_04.xlsx&amp;sheet=A0&amp;row=3450&amp;col=6&amp;number=18100000&amp;sourceID=14","18100000")</f>
        <v>18100000</v>
      </c>
      <c r="G3450" s="4" t="str">
        <f>HYPERLINK("http://141.218.60.56/~jnz1568/getInfo.php?workbook=12_04.xlsx&amp;sheet=A0&amp;row=3450&amp;col=7&amp;number=0&amp;sourceID=14","0")</f>
        <v>0</v>
      </c>
    </row>
    <row r="3451" spans="1:7">
      <c r="A3451" s="3">
        <v>12</v>
      </c>
      <c r="B3451" s="3">
        <v>4</v>
      </c>
      <c r="C3451" s="3">
        <v>95</v>
      </c>
      <c r="D3451" s="3">
        <v>50</v>
      </c>
      <c r="E3451" s="3">
        <v>-522.595</v>
      </c>
      <c r="F3451" s="4" t="str">
        <f>HYPERLINK("http://141.218.60.56/~jnz1568/getInfo.php?workbook=12_04.xlsx&amp;sheet=A0&amp;row=3451&amp;col=6&amp;number=1190000&amp;sourceID=14","1190000")</f>
        <v>1190000</v>
      </c>
      <c r="G3451" s="4" t="str">
        <f>HYPERLINK("http://141.218.60.56/~jnz1568/getInfo.php?workbook=12_04.xlsx&amp;sheet=A0&amp;row=3451&amp;col=7&amp;number=0&amp;sourceID=14","0")</f>
        <v>0</v>
      </c>
    </row>
    <row r="3452" spans="1:7">
      <c r="A3452" s="3">
        <v>12</v>
      </c>
      <c r="B3452" s="3">
        <v>4</v>
      </c>
      <c r="C3452" s="3">
        <v>96</v>
      </c>
      <c r="D3452" s="3">
        <v>50</v>
      </c>
      <c r="E3452" s="3">
        <v>-520.997</v>
      </c>
      <c r="F3452" s="4" t="str">
        <f>HYPERLINK("http://141.218.60.56/~jnz1568/getInfo.php?workbook=12_04.xlsx&amp;sheet=A0&amp;row=3452&amp;col=6&amp;number=2780000&amp;sourceID=14","2780000")</f>
        <v>2780000</v>
      </c>
      <c r="G3452" s="4" t="str">
        <f>HYPERLINK("http://141.218.60.56/~jnz1568/getInfo.php?workbook=12_04.xlsx&amp;sheet=A0&amp;row=3452&amp;col=7&amp;number=0&amp;sourceID=14","0")</f>
        <v>0</v>
      </c>
    </row>
    <row r="3453" spans="1:7">
      <c r="A3453" s="3">
        <v>12</v>
      </c>
      <c r="B3453" s="3">
        <v>4</v>
      </c>
      <c r="C3453" s="3">
        <v>97</v>
      </c>
      <c r="D3453" s="3">
        <v>50</v>
      </c>
      <c r="E3453" s="3">
        <v>-514.306</v>
      </c>
      <c r="F3453" s="4" t="str">
        <f>HYPERLINK("http://141.218.60.56/~jnz1568/getInfo.php?workbook=12_04.xlsx&amp;sheet=A0&amp;row=3453&amp;col=6&amp;number=23.9&amp;sourceID=14","23.9")</f>
        <v>23.9</v>
      </c>
      <c r="G3453" s="4" t="str">
        <f>HYPERLINK("http://141.218.60.56/~jnz1568/getInfo.php?workbook=12_04.xlsx&amp;sheet=A0&amp;row=3453&amp;col=7&amp;number=0&amp;sourceID=14","0")</f>
        <v>0</v>
      </c>
    </row>
    <row r="3454" spans="1:7">
      <c r="A3454" s="3">
        <v>12</v>
      </c>
      <c r="B3454" s="3">
        <v>4</v>
      </c>
      <c r="C3454" s="3">
        <v>98</v>
      </c>
      <c r="D3454" s="3">
        <v>50</v>
      </c>
      <c r="E3454" s="3">
        <v>-511.162</v>
      </c>
      <c r="F3454" s="4" t="str">
        <f>HYPERLINK("http://141.218.60.56/~jnz1568/getInfo.php?workbook=12_04.xlsx&amp;sheet=A0&amp;row=3454&amp;col=6&amp;number=4.77&amp;sourceID=14","4.77")</f>
        <v>4.77</v>
      </c>
      <c r="G3454" s="4" t="str">
        <f>HYPERLINK("http://141.218.60.56/~jnz1568/getInfo.php?workbook=12_04.xlsx&amp;sheet=A0&amp;row=3454&amp;col=7&amp;number=0&amp;sourceID=14","0")</f>
        <v>0</v>
      </c>
    </row>
    <row r="3455" spans="1:7">
      <c r="A3455" s="3">
        <v>12</v>
      </c>
      <c r="B3455" s="3">
        <v>4</v>
      </c>
      <c r="C3455" s="3">
        <v>52</v>
      </c>
      <c r="D3455" s="3">
        <v>51</v>
      </c>
      <c r="E3455" s="3">
        <v>-36271.375</v>
      </c>
      <c r="F3455" s="4" t="str">
        <f>HYPERLINK("http://141.218.60.56/~jnz1568/getInfo.php?workbook=12_04.xlsx&amp;sheet=A0&amp;row=3455&amp;col=6&amp;number=0.00325&amp;sourceID=14","0.00325")</f>
        <v>0.00325</v>
      </c>
      <c r="G3455" s="4" t="str">
        <f>HYPERLINK("http://141.218.60.56/~jnz1568/getInfo.php?workbook=12_04.xlsx&amp;sheet=A0&amp;row=3455&amp;col=7&amp;number=0&amp;sourceID=14","0")</f>
        <v>0</v>
      </c>
    </row>
    <row r="3456" spans="1:7">
      <c r="A3456" s="3">
        <v>12</v>
      </c>
      <c r="B3456" s="3">
        <v>4</v>
      </c>
      <c r="C3456" s="3">
        <v>53</v>
      </c>
      <c r="D3456" s="3">
        <v>51</v>
      </c>
      <c r="E3456" s="3">
        <v>-7324.948</v>
      </c>
      <c r="F3456" s="4" t="str">
        <f>HYPERLINK("http://141.218.60.56/~jnz1568/getInfo.php?workbook=12_04.xlsx&amp;sheet=A0&amp;row=3456&amp;col=6&amp;number=377000&amp;sourceID=14","377000")</f>
        <v>377000</v>
      </c>
      <c r="G3456" s="4" t="str">
        <f>HYPERLINK("http://141.218.60.56/~jnz1568/getInfo.php?workbook=12_04.xlsx&amp;sheet=A0&amp;row=3456&amp;col=7&amp;number=0&amp;sourceID=14","0")</f>
        <v>0</v>
      </c>
    </row>
    <row r="3457" spans="1:7">
      <c r="A3457" s="3">
        <v>12</v>
      </c>
      <c r="B3457" s="3">
        <v>4</v>
      </c>
      <c r="C3457" s="3">
        <v>54</v>
      </c>
      <c r="D3457" s="3">
        <v>51</v>
      </c>
      <c r="E3457" s="3">
        <v>-7299.816</v>
      </c>
      <c r="F3457" s="4" t="str">
        <f>HYPERLINK("http://141.218.60.56/~jnz1568/getInfo.php?workbook=12_04.xlsx&amp;sheet=A0&amp;row=3457&amp;col=6&amp;number=3400000&amp;sourceID=14","3400000")</f>
        <v>3400000</v>
      </c>
      <c r="G3457" s="4" t="str">
        <f>HYPERLINK("http://141.218.60.56/~jnz1568/getInfo.php?workbook=12_04.xlsx&amp;sheet=A0&amp;row=3457&amp;col=7&amp;number=0&amp;sourceID=14","0")</f>
        <v>0</v>
      </c>
    </row>
    <row r="3458" spans="1:7">
      <c r="A3458" s="3">
        <v>12</v>
      </c>
      <c r="B3458" s="3">
        <v>4</v>
      </c>
      <c r="C3458" s="3">
        <v>55</v>
      </c>
      <c r="D3458" s="3">
        <v>51</v>
      </c>
      <c r="E3458" s="3">
        <v>-7261.65</v>
      </c>
      <c r="F3458" s="4" t="str">
        <f>HYPERLINK("http://141.218.60.56/~jnz1568/getInfo.php?workbook=12_04.xlsx&amp;sheet=A0&amp;row=3458&amp;col=6&amp;number=13800000&amp;sourceID=14","13800000")</f>
        <v>13800000</v>
      </c>
      <c r="G3458" s="4" t="str">
        <f>HYPERLINK("http://141.218.60.56/~jnz1568/getInfo.php?workbook=12_04.xlsx&amp;sheet=A0&amp;row=3458&amp;col=7&amp;number=0&amp;sourceID=14","0")</f>
        <v>0</v>
      </c>
    </row>
    <row r="3459" spans="1:7">
      <c r="A3459" s="3">
        <v>12</v>
      </c>
      <c r="B3459" s="3">
        <v>4</v>
      </c>
      <c r="C3459" s="3">
        <v>56</v>
      </c>
      <c r="D3459" s="3">
        <v>51</v>
      </c>
      <c r="E3459" s="3">
        <v>-4471.28</v>
      </c>
      <c r="F3459" s="4" t="str">
        <f>HYPERLINK("http://141.218.60.56/~jnz1568/getInfo.php?workbook=12_04.xlsx&amp;sheet=A0&amp;row=3459&amp;col=6&amp;number=464&amp;sourceID=14","464")</f>
        <v>464</v>
      </c>
      <c r="G3459" s="4" t="str">
        <f>HYPERLINK("http://141.218.60.56/~jnz1568/getInfo.php?workbook=12_04.xlsx&amp;sheet=A0&amp;row=3459&amp;col=7&amp;number=0&amp;sourceID=14","0")</f>
        <v>0</v>
      </c>
    </row>
    <row r="3460" spans="1:7">
      <c r="A3460" s="3">
        <v>12</v>
      </c>
      <c r="B3460" s="3">
        <v>4</v>
      </c>
      <c r="C3460" s="3">
        <v>57</v>
      </c>
      <c r="D3460" s="3">
        <v>51</v>
      </c>
      <c r="E3460" s="3">
        <v>-4413.266</v>
      </c>
      <c r="F3460" s="4" t="str">
        <f>HYPERLINK("http://141.218.60.56/~jnz1568/getInfo.php?workbook=12_04.xlsx&amp;sheet=A0&amp;row=3460&amp;col=6&amp;number=0.242&amp;sourceID=14","0.242")</f>
        <v>0.242</v>
      </c>
      <c r="G3460" s="4" t="str">
        <f>HYPERLINK("http://141.218.60.56/~jnz1568/getInfo.php?workbook=12_04.xlsx&amp;sheet=A0&amp;row=3460&amp;col=7&amp;number=0&amp;sourceID=14","0")</f>
        <v>0</v>
      </c>
    </row>
    <row r="3461" spans="1:7">
      <c r="A3461" s="3">
        <v>12</v>
      </c>
      <c r="B3461" s="3">
        <v>4</v>
      </c>
      <c r="C3461" s="3">
        <v>58</v>
      </c>
      <c r="D3461" s="3">
        <v>51</v>
      </c>
      <c r="E3461" s="3">
        <v>-4407.624</v>
      </c>
      <c r="F3461" s="4" t="str">
        <f>HYPERLINK("http://141.218.60.56/~jnz1568/getInfo.php?workbook=12_04.xlsx&amp;sheet=A0&amp;row=3461&amp;col=6&amp;number=1.22&amp;sourceID=14","1.22")</f>
        <v>1.22</v>
      </c>
      <c r="G3461" s="4" t="str">
        <f>HYPERLINK("http://141.218.60.56/~jnz1568/getInfo.php?workbook=12_04.xlsx&amp;sheet=A0&amp;row=3461&amp;col=7&amp;number=0&amp;sourceID=14","0")</f>
        <v>0</v>
      </c>
    </row>
    <row r="3462" spans="1:7">
      <c r="A3462" s="3">
        <v>12</v>
      </c>
      <c r="B3462" s="3">
        <v>4</v>
      </c>
      <c r="C3462" s="3">
        <v>59</v>
      </c>
      <c r="D3462" s="3">
        <v>51</v>
      </c>
      <c r="E3462" s="3">
        <v>-4400.254</v>
      </c>
      <c r="F3462" s="4" t="str">
        <f>HYPERLINK("http://141.218.60.56/~jnz1568/getInfo.php?workbook=12_04.xlsx&amp;sheet=A0&amp;row=3462&amp;col=6&amp;number=3.69&amp;sourceID=14","3.69")</f>
        <v>3.69</v>
      </c>
      <c r="G3462" s="4" t="str">
        <f>HYPERLINK("http://141.218.60.56/~jnz1568/getInfo.php?workbook=12_04.xlsx&amp;sheet=A0&amp;row=3462&amp;col=7&amp;number=0&amp;sourceID=14","0")</f>
        <v>0</v>
      </c>
    </row>
    <row r="3463" spans="1:7">
      <c r="A3463" s="3">
        <v>12</v>
      </c>
      <c r="B3463" s="3">
        <v>4</v>
      </c>
      <c r="C3463" s="3">
        <v>60</v>
      </c>
      <c r="D3463" s="3">
        <v>51</v>
      </c>
      <c r="E3463" s="3">
        <v>-3960.09</v>
      </c>
      <c r="F3463" s="4" t="str">
        <f>HYPERLINK("http://141.218.60.56/~jnz1568/getInfo.php?workbook=12_04.xlsx&amp;sheet=A0&amp;row=3463&amp;col=6&amp;number=0.000148&amp;sourceID=14","0.000148")</f>
        <v>0.000148</v>
      </c>
      <c r="G3463" s="4" t="str">
        <f>HYPERLINK("http://141.218.60.56/~jnz1568/getInfo.php?workbook=12_04.xlsx&amp;sheet=A0&amp;row=3463&amp;col=7&amp;number=0&amp;sourceID=14","0")</f>
        <v>0</v>
      </c>
    </row>
    <row r="3464" spans="1:7">
      <c r="A3464" s="3">
        <v>12</v>
      </c>
      <c r="B3464" s="3">
        <v>4</v>
      </c>
      <c r="C3464" s="3">
        <v>61</v>
      </c>
      <c r="D3464" s="3">
        <v>51</v>
      </c>
      <c r="E3464" s="3">
        <v>-709.417</v>
      </c>
      <c r="F3464" s="4" t="str">
        <f>HYPERLINK("http://141.218.60.56/~jnz1568/getInfo.php?workbook=12_04.xlsx&amp;sheet=A0&amp;row=3464&amp;col=6&amp;number=0.00453&amp;sourceID=14","0.00453")</f>
        <v>0.00453</v>
      </c>
      <c r="G3464" s="4" t="str">
        <f>HYPERLINK("http://141.218.60.56/~jnz1568/getInfo.php?workbook=12_04.xlsx&amp;sheet=A0&amp;row=3464&amp;col=7&amp;number=0&amp;sourceID=14","0")</f>
        <v>0</v>
      </c>
    </row>
    <row r="3465" spans="1:7">
      <c r="A3465" s="3">
        <v>12</v>
      </c>
      <c r="B3465" s="3">
        <v>4</v>
      </c>
      <c r="C3465" s="3">
        <v>62</v>
      </c>
      <c r="D3465" s="3">
        <v>51</v>
      </c>
      <c r="E3465" s="3">
        <v>-704.827</v>
      </c>
      <c r="F3465" s="4" t="str">
        <f>HYPERLINK("http://141.218.60.56/~jnz1568/getInfo.php?workbook=12_04.xlsx&amp;sheet=A0&amp;row=3465&amp;col=6&amp;number=0.0502&amp;sourceID=14","0.0502")</f>
        <v>0.0502</v>
      </c>
      <c r="G3465" s="4" t="str">
        <f>HYPERLINK("http://141.218.60.56/~jnz1568/getInfo.php?workbook=12_04.xlsx&amp;sheet=A0&amp;row=3465&amp;col=7&amp;number=0&amp;sourceID=14","0")</f>
        <v>0</v>
      </c>
    </row>
    <row r="3466" spans="1:7">
      <c r="A3466" s="3">
        <v>12</v>
      </c>
      <c r="B3466" s="3">
        <v>4</v>
      </c>
      <c r="C3466" s="3">
        <v>63</v>
      </c>
      <c r="D3466" s="3">
        <v>51</v>
      </c>
      <c r="E3466" s="3">
        <v>-690.328</v>
      </c>
      <c r="F3466" s="4" t="str">
        <f>HYPERLINK("http://141.218.60.56/~jnz1568/getInfo.php?workbook=12_04.xlsx&amp;sheet=A0&amp;row=3466&amp;col=6&amp;number=0.0014&amp;sourceID=14","0.0014")</f>
        <v>0.0014</v>
      </c>
      <c r="G3466" s="4" t="str">
        <f>HYPERLINK("http://141.218.60.56/~jnz1568/getInfo.php?workbook=12_04.xlsx&amp;sheet=A0&amp;row=3466&amp;col=7&amp;number=0&amp;sourceID=14","0")</f>
        <v>0</v>
      </c>
    </row>
    <row r="3467" spans="1:7">
      <c r="A3467" s="3">
        <v>12</v>
      </c>
      <c r="B3467" s="3">
        <v>4</v>
      </c>
      <c r="C3467" s="3">
        <v>64</v>
      </c>
      <c r="D3467" s="3">
        <v>51</v>
      </c>
      <c r="E3467" s="3">
        <v>-661.823</v>
      </c>
      <c r="F3467" s="4" t="str">
        <f>HYPERLINK("http://141.218.60.56/~jnz1568/getInfo.php?workbook=12_04.xlsx&amp;sheet=A0&amp;row=3467&amp;col=6&amp;number=0.0369&amp;sourceID=14","0.0369")</f>
        <v>0.0369</v>
      </c>
      <c r="G3467" s="4" t="str">
        <f>HYPERLINK("http://141.218.60.56/~jnz1568/getInfo.php?workbook=12_04.xlsx&amp;sheet=A0&amp;row=3467&amp;col=7&amp;number=0&amp;sourceID=14","0")</f>
        <v>0</v>
      </c>
    </row>
    <row r="3468" spans="1:7">
      <c r="A3468" s="3">
        <v>12</v>
      </c>
      <c r="B3468" s="3">
        <v>4</v>
      </c>
      <c r="C3468" s="3">
        <v>65</v>
      </c>
      <c r="D3468" s="3">
        <v>51</v>
      </c>
      <c r="E3468" s="3">
        <v>-630.419</v>
      </c>
      <c r="F3468" s="4" t="str">
        <f>HYPERLINK("http://141.218.60.56/~jnz1568/getInfo.php?workbook=12_04.xlsx&amp;sheet=A0&amp;row=3468&amp;col=6&amp;number=587000&amp;sourceID=14","587000")</f>
        <v>587000</v>
      </c>
      <c r="G3468" s="4" t="str">
        <f>HYPERLINK("http://141.218.60.56/~jnz1568/getInfo.php?workbook=12_04.xlsx&amp;sheet=A0&amp;row=3468&amp;col=7&amp;number=0&amp;sourceID=14","0")</f>
        <v>0</v>
      </c>
    </row>
    <row r="3469" spans="1:7">
      <c r="A3469" s="3">
        <v>12</v>
      </c>
      <c r="B3469" s="3">
        <v>4</v>
      </c>
      <c r="C3469" s="3">
        <v>66</v>
      </c>
      <c r="D3469" s="3">
        <v>51</v>
      </c>
      <c r="E3469" s="3">
        <v>-620.437</v>
      </c>
      <c r="F3469" s="4" t="str">
        <f>HYPERLINK("http://141.218.60.56/~jnz1568/getInfo.php?workbook=12_04.xlsx&amp;sheet=A0&amp;row=3469&amp;col=6&amp;number=96200000&amp;sourceID=14","96200000")</f>
        <v>96200000</v>
      </c>
      <c r="G3469" s="4" t="str">
        <f>HYPERLINK("http://141.218.60.56/~jnz1568/getInfo.php?workbook=12_04.xlsx&amp;sheet=A0&amp;row=3469&amp;col=7&amp;number=0&amp;sourceID=14","0")</f>
        <v>0</v>
      </c>
    </row>
    <row r="3470" spans="1:7">
      <c r="A3470" s="3">
        <v>12</v>
      </c>
      <c r="B3470" s="3">
        <v>4</v>
      </c>
      <c r="C3470" s="3">
        <v>67</v>
      </c>
      <c r="D3470" s="3">
        <v>51</v>
      </c>
      <c r="E3470" s="3">
        <v>-618.706</v>
      </c>
      <c r="F3470" s="4" t="str">
        <f>HYPERLINK("http://141.218.60.56/~jnz1568/getInfo.php?workbook=12_04.xlsx&amp;sheet=A0&amp;row=3470&amp;col=6&amp;number=280000000&amp;sourceID=14","280000000")</f>
        <v>280000000</v>
      </c>
      <c r="G3470" s="4" t="str">
        <f>HYPERLINK("http://141.218.60.56/~jnz1568/getInfo.php?workbook=12_04.xlsx&amp;sheet=A0&amp;row=3470&amp;col=7&amp;number=0&amp;sourceID=14","0")</f>
        <v>0</v>
      </c>
    </row>
    <row r="3471" spans="1:7">
      <c r="A3471" s="3">
        <v>12</v>
      </c>
      <c r="B3471" s="3">
        <v>4</v>
      </c>
      <c r="C3471" s="3">
        <v>68</v>
      </c>
      <c r="D3471" s="3">
        <v>51</v>
      </c>
      <c r="E3471" s="3">
        <v>-609.505</v>
      </c>
      <c r="F3471" s="4" t="str">
        <f>HYPERLINK("http://141.218.60.56/~jnz1568/getInfo.php?workbook=12_04.xlsx&amp;sheet=A0&amp;row=3471&amp;col=6&amp;number=793000000&amp;sourceID=14","793000000")</f>
        <v>793000000</v>
      </c>
      <c r="G3471" s="4" t="str">
        <f>HYPERLINK("http://141.218.60.56/~jnz1568/getInfo.php?workbook=12_04.xlsx&amp;sheet=A0&amp;row=3471&amp;col=7&amp;number=0&amp;sourceID=14","0")</f>
        <v>0</v>
      </c>
    </row>
    <row r="3472" spans="1:7">
      <c r="A3472" s="3">
        <v>12</v>
      </c>
      <c r="B3472" s="3">
        <v>4</v>
      </c>
      <c r="C3472" s="3">
        <v>69</v>
      </c>
      <c r="D3472" s="3">
        <v>51</v>
      </c>
      <c r="E3472" s="3">
        <v>-598.933</v>
      </c>
      <c r="F3472" s="4" t="str">
        <f>HYPERLINK("http://141.218.60.56/~jnz1568/getInfo.php?workbook=12_04.xlsx&amp;sheet=A0&amp;row=3472&amp;col=6&amp;number=835000000&amp;sourceID=14","835000000")</f>
        <v>835000000</v>
      </c>
      <c r="G3472" s="4" t="str">
        <f>HYPERLINK("http://141.218.60.56/~jnz1568/getInfo.php?workbook=12_04.xlsx&amp;sheet=A0&amp;row=3472&amp;col=7&amp;number=0&amp;sourceID=14","0")</f>
        <v>0</v>
      </c>
    </row>
    <row r="3473" spans="1:7">
      <c r="A3473" s="3">
        <v>12</v>
      </c>
      <c r="B3473" s="3">
        <v>4</v>
      </c>
      <c r="C3473" s="3">
        <v>70</v>
      </c>
      <c r="D3473" s="3">
        <v>51</v>
      </c>
      <c r="E3473" s="3">
        <v>-596.674</v>
      </c>
      <c r="F3473" s="4" t="str">
        <f>HYPERLINK("http://141.218.60.56/~jnz1568/getInfo.php?workbook=12_04.xlsx&amp;sheet=A0&amp;row=3473&amp;col=6&amp;number=0.117&amp;sourceID=14","0.117")</f>
        <v>0.117</v>
      </c>
      <c r="G3473" s="4" t="str">
        <f>HYPERLINK("http://141.218.60.56/~jnz1568/getInfo.php?workbook=12_04.xlsx&amp;sheet=A0&amp;row=3473&amp;col=7&amp;number=0&amp;sourceID=14","0")</f>
        <v>0</v>
      </c>
    </row>
    <row r="3474" spans="1:7">
      <c r="A3474" s="3">
        <v>12</v>
      </c>
      <c r="B3474" s="3">
        <v>4</v>
      </c>
      <c r="C3474" s="3">
        <v>71</v>
      </c>
      <c r="D3474" s="3">
        <v>51</v>
      </c>
      <c r="E3474" s="3">
        <v>-589.878</v>
      </c>
      <c r="F3474" s="4" t="str">
        <f>HYPERLINK("http://141.218.60.56/~jnz1568/getInfo.php?workbook=12_04.xlsx&amp;sheet=A0&amp;row=3474&amp;col=6&amp;number=2380000&amp;sourceID=14","2380000")</f>
        <v>2380000</v>
      </c>
      <c r="G3474" s="4" t="str">
        <f>HYPERLINK("http://141.218.60.56/~jnz1568/getInfo.php?workbook=12_04.xlsx&amp;sheet=A0&amp;row=3474&amp;col=7&amp;number=0&amp;sourceID=14","0")</f>
        <v>0</v>
      </c>
    </row>
    <row r="3475" spans="1:7">
      <c r="A3475" s="3">
        <v>12</v>
      </c>
      <c r="B3475" s="3">
        <v>4</v>
      </c>
      <c r="C3475" s="3">
        <v>72</v>
      </c>
      <c r="D3475" s="3">
        <v>51</v>
      </c>
      <c r="E3475" s="3">
        <v>-588.257</v>
      </c>
      <c r="F3475" s="4" t="str">
        <f>HYPERLINK("http://141.218.60.56/~jnz1568/getInfo.php?workbook=12_04.xlsx&amp;sheet=A0&amp;row=3475&amp;col=6&amp;number=535000000&amp;sourceID=14","535000000")</f>
        <v>535000000</v>
      </c>
      <c r="G3475" s="4" t="str">
        <f>HYPERLINK("http://141.218.60.56/~jnz1568/getInfo.php?workbook=12_04.xlsx&amp;sheet=A0&amp;row=3475&amp;col=7&amp;number=0&amp;sourceID=14","0")</f>
        <v>0</v>
      </c>
    </row>
    <row r="3476" spans="1:7">
      <c r="A3476" s="3">
        <v>12</v>
      </c>
      <c r="B3476" s="3">
        <v>4</v>
      </c>
      <c r="C3476" s="3">
        <v>73</v>
      </c>
      <c r="D3476" s="3">
        <v>51</v>
      </c>
      <c r="E3476" s="3">
        <v>-577.936</v>
      </c>
      <c r="F3476" s="4" t="str">
        <f>HYPERLINK("http://141.218.60.56/~jnz1568/getInfo.php?workbook=12_04.xlsx&amp;sheet=A0&amp;row=3476&amp;col=6&amp;number=9.12&amp;sourceID=14","9.12")</f>
        <v>9.12</v>
      </c>
      <c r="G3476" s="4" t="str">
        <f>HYPERLINK("http://141.218.60.56/~jnz1568/getInfo.php?workbook=12_04.xlsx&amp;sheet=A0&amp;row=3476&amp;col=7&amp;number=0&amp;sourceID=14","0")</f>
        <v>0</v>
      </c>
    </row>
    <row r="3477" spans="1:7">
      <c r="A3477" s="3">
        <v>12</v>
      </c>
      <c r="B3477" s="3">
        <v>4</v>
      </c>
      <c r="C3477" s="3">
        <v>74</v>
      </c>
      <c r="D3477" s="3">
        <v>51</v>
      </c>
      <c r="E3477" s="3">
        <v>-571.626</v>
      </c>
      <c r="F3477" s="4" t="str">
        <f>HYPERLINK("http://141.218.60.56/~jnz1568/getInfo.php?workbook=12_04.xlsx&amp;sheet=A0&amp;row=3477&amp;col=6&amp;number=62.5&amp;sourceID=14","62.5")</f>
        <v>62.5</v>
      </c>
      <c r="G3477" s="4" t="str">
        <f>HYPERLINK("http://141.218.60.56/~jnz1568/getInfo.php?workbook=12_04.xlsx&amp;sheet=A0&amp;row=3477&amp;col=7&amp;number=0&amp;sourceID=14","0")</f>
        <v>0</v>
      </c>
    </row>
    <row r="3478" spans="1:7">
      <c r="A3478" s="3">
        <v>12</v>
      </c>
      <c r="B3478" s="3">
        <v>4</v>
      </c>
      <c r="C3478" s="3">
        <v>75</v>
      </c>
      <c r="D3478" s="3">
        <v>51</v>
      </c>
      <c r="E3478" s="3">
        <v>-569.665</v>
      </c>
      <c r="F3478" s="4" t="str">
        <f>HYPERLINK("http://141.218.60.56/~jnz1568/getInfo.php?workbook=12_04.xlsx&amp;sheet=A0&amp;row=3478&amp;col=6&amp;number=3.31&amp;sourceID=14","3.31")</f>
        <v>3.31</v>
      </c>
      <c r="G3478" s="4" t="str">
        <f>HYPERLINK("http://141.218.60.56/~jnz1568/getInfo.php?workbook=12_04.xlsx&amp;sheet=A0&amp;row=3478&amp;col=7&amp;number=0&amp;sourceID=14","0")</f>
        <v>0</v>
      </c>
    </row>
    <row r="3479" spans="1:7">
      <c r="A3479" s="3">
        <v>12</v>
      </c>
      <c r="B3479" s="3">
        <v>4</v>
      </c>
      <c r="C3479" s="3">
        <v>76</v>
      </c>
      <c r="D3479" s="3">
        <v>51</v>
      </c>
      <c r="E3479" s="3">
        <v>-566.195</v>
      </c>
      <c r="F3479" s="4" t="str">
        <f>HYPERLINK("http://141.218.60.56/~jnz1568/getInfo.php?workbook=12_04.xlsx&amp;sheet=A0&amp;row=3479&amp;col=6&amp;number=25300000&amp;sourceID=14","25300000")</f>
        <v>25300000</v>
      </c>
      <c r="G3479" s="4" t="str">
        <f>HYPERLINK("http://141.218.60.56/~jnz1568/getInfo.php?workbook=12_04.xlsx&amp;sheet=A0&amp;row=3479&amp;col=7&amp;number=0&amp;sourceID=14","0")</f>
        <v>0</v>
      </c>
    </row>
    <row r="3480" spans="1:7">
      <c r="A3480" s="3">
        <v>12</v>
      </c>
      <c r="B3480" s="3">
        <v>4</v>
      </c>
      <c r="C3480" s="3">
        <v>77</v>
      </c>
      <c r="D3480" s="3">
        <v>51</v>
      </c>
      <c r="E3480" s="3">
        <v>-564.606</v>
      </c>
      <c r="F3480" s="4" t="str">
        <f>HYPERLINK("http://141.218.60.56/~jnz1568/getInfo.php?workbook=12_04.xlsx&amp;sheet=A0&amp;row=3480&amp;col=6&amp;number=198&amp;sourceID=14","198")</f>
        <v>198</v>
      </c>
      <c r="G3480" s="4" t="str">
        <f>HYPERLINK("http://141.218.60.56/~jnz1568/getInfo.php?workbook=12_04.xlsx&amp;sheet=A0&amp;row=3480&amp;col=7&amp;number=0&amp;sourceID=14","0")</f>
        <v>0</v>
      </c>
    </row>
    <row r="3481" spans="1:7">
      <c r="A3481" s="3">
        <v>12</v>
      </c>
      <c r="B3481" s="3">
        <v>4</v>
      </c>
      <c r="C3481" s="3">
        <v>78</v>
      </c>
      <c r="D3481" s="3">
        <v>51</v>
      </c>
      <c r="E3481" s="3">
        <v>-555.189</v>
      </c>
      <c r="F3481" s="4" t="str">
        <f>HYPERLINK("http://141.218.60.56/~jnz1568/getInfo.php?workbook=12_04.xlsx&amp;sheet=A0&amp;row=3481&amp;col=6&amp;number=0.0152&amp;sourceID=14","0.0152")</f>
        <v>0.0152</v>
      </c>
      <c r="G3481" s="4" t="str">
        <f>HYPERLINK("http://141.218.60.56/~jnz1568/getInfo.php?workbook=12_04.xlsx&amp;sheet=A0&amp;row=3481&amp;col=7&amp;number=0&amp;sourceID=14","0")</f>
        <v>0</v>
      </c>
    </row>
    <row r="3482" spans="1:7">
      <c r="A3482" s="3">
        <v>12</v>
      </c>
      <c r="B3482" s="3">
        <v>4</v>
      </c>
      <c r="C3482" s="3">
        <v>79</v>
      </c>
      <c r="D3482" s="3">
        <v>51</v>
      </c>
      <c r="E3482" s="3">
        <v>-553.288</v>
      </c>
      <c r="F3482" s="4" t="str">
        <f>HYPERLINK("http://141.218.60.56/~jnz1568/getInfo.php?workbook=12_04.xlsx&amp;sheet=A0&amp;row=3482&amp;col=6&amp;number=0.174&amp;sourceID=14","0.174")</f>
        <v>0.174</v>
      </c>
      <c r="G3482" s="4" t="str">
        <f>HYPERLINK("http://141.218.60.56/~jnz1568/getInfo.php?workbook=12_04.xlsx&amp;sheet=A0&amp;row=3482&amp;col=7&amp;number=0&amp;sourceID=14","0")</f>
        <v>0</v>
      </c>
    </row>
    <row r="3483" spans="1:7">
      <c r="A3483" s="3">
        <v>12</v>
      </c>
      <c r="B3483" s="3">
        <v>4</v>
      </c>
      <c r="C3483" s="3">
        <v>80</v>
      </c>
      <c r="D3483" s="3">
        <v>51</v>
      </c>
      <c r="E3483" s="3">
        <v>-549.515</v>
      </c>
      <c r="F3483" s="4" t="str">
        <f>HYPERLINK("http://141.218.60.56/~jnz1568/getInfo.php?workbook=12_04.xlsx&amp;sheet=A0&amp;row=3483&amp;col=6&amp;number=2510000&amp;sourceID=14","2510000")</f>
        <v>2510000</v>
      </c>
      <c r="G3483" s="4" t="str">
        <f>HYPERLINK("http://141.218.60.56/~jnz1568/getInfo.php?workbook=12_04.xlsx&amp;sheet=A0&amp;row=3483&amp;col=7&amp;number=0&amp;sourceID=14","0")</f>
        <v>0</v>
      </c>
    </row>
    <row r="3484" spans="1:7">
      <c r="A3484" s="3">
        <v>12</v>
      </c>
      <c r="B3484" s="3">
        <v>4</v>
      </c>
      <c r="C3484" s="3">
        <v>81</v>
      </c>
      <c r="D3484" s="3">
        <v>51</v>
      </c>
      <c r="E3484" s="3">
        <v>-549.433</v>
      </c>
      <c r="F3484" s="4" t="str">
        <f>HYPERLINK("http://141.218.60.56/~jnz1568/getInfo.php?workbook=12_04.xlsx&amp;sheet=A0&amp;row=3484&amp;col=6&amp;number=0.634&amp;sourceID=14","0.634")</f>
        <v>0.634</v>
      </c>
      <c r="G3484" s="4" t="str">
        <f>HYPERLINK("http://141.218.60.56/~jnz1568/getInfo.php?workbook=12_04.xlsx&amp;sheet=A0&amp;row=3484&amp;col=7&amp;number=0&amp;sourceID=14","0")</f>
        <v>0</v>
      </c>
    </row>
    <row r="3485" spans="1:7">
      <c r="A3485" s="3">
        <v>12</v>
      </c>
      <c r="B3485" s="3">
        <v>4</v>
      </c>
      <c r="C3485" s="3">
        <v>82</v>
      </c>
      <c r="D3485" s="3">
        <v>51</v>
      </c>
      <c r="E3485" s="3">
        <v>-548.424</v>
      </c>
      <c r="F3485" s="4" t="str">
        <f>HYPERLINK("http://141.218.60.56/~jnz1568/getInfo.php?workbook=12_04.xlsx&amp;sheet=A0&amp;row=3485&amp;col=6&amp;number=725000&amp;sourceID=14","725000")</f>
        <v>725000</v>
      </c>
      <c r="G3485" s="4" t="str">
        <f>HYPERLINK("http://141.218.60.56/~jnz1568/getInfo.php?workbook=12_04.xlsx&amp;sheet=A0&amp;row=3485&amp;col=7&amp;number=0&amp;sourceID=14","0")</f>
        <v>0</v>
      </c>
    </row>
    <row r="3486" spans="1:7">
      <c r="A3486" s="3">
        <v>12</v>
      </c>
      <c r="B3486" s="3">
        <v>4</v>
      </c>
      <c r="C3486" s="3">
        <v>83</v>
      </c>
      <c r="D3486" s="3">
        <v>51</v>
      </c>
      <c r="E3486" s="3">
        <v>-548.409</v>
      </c>
      <c r="F3486" s="4" t="str">
        <f>HYPERLINK("http://141.218.60.56/~jnz1568/getInfo.php?workbook=12_04.xlsx&amp;sheet=A0&amp;row=3486&amp;col=6&amp;number=1560000&amp;sourceID=14","1560000")</f>
        <v>1560000</v>
      </c>
      <c r="G3486" s="4" t="str">
        <f>HYPERLINK("http://141.218.60.56/~jnz1568/getInfo.php?workbook=12_04.xlsx&amp;sheet=A0&amp;row=3486&amp;col=7&amp;number=0&amp;sourceID=14","0")</f>
        <v>0</v>
      </c>
    </row>
    <row r="3487" spans="1:7">
      <c r="A3487" s="3">
        <v>12</v>
      </c>
      <c r="B3487" s="3">
        <v>4</v>
      </c>
      <c r="C3487" s="3">
        <v>84</v>
      </c>
      <c r="D3487" s="3">
        <v>51</v>
      </c>
      <c r="E3487" s="3">
        <v>-547.433</v>
      </c>
      <c r="F3487" s="4" t="str">
        <f>HYPERLINK("http://141.218.60.56/~jnz1568/getInfo.php?workbook=12_04.xlsx&amp;sheet=A0&amp;row=3487&amp;col=6&amp;number=0.00374&amp;sourceID=14","0.00374")</f>
        <v>0.00374</v>
      </c>
      <c r="G3487" s="4" t="str">
        <f>HYPERLINK("http://141.218.60.56/~jnz1568/getInfo.php?workbook=12_04.xlsx&amp;sheet=A0&amp;row=3487&amp;col=7&amp;number=0&amp;sourceID=14","0")</f>
        <v>0</v>
      </c>
    </row>
    <row r="3488" spans="1:7">
      <c r="A3488" s="3">
        <v>12</v>
      </c>
      <c r="B3488" s="3">
        <v>4</v>
      </c>
      <c r="C3488" s="3">
        <v>85</v>
      </c>
      <c r="D3488" s="3">
        <v>51</v>
      </c>
      <c r="E3488" s="3">
        <v>-543.039</v>
      </c>
      <c r="F3488" s="4" t="str">
        <f>HYPERLINK("http://141.218.60.56/~jnz1568/getInfo.php?workbook=12_04.xlsx&amp;sheet=A0&amp;row=3488&amp;col=6&amp;number=1.64&amp;sourceID=14","1.64")</f>
        <v>1.64</v>
      </c>
      <c r="G3488" s="4" t="str">
        <f>HYPERLINK("http://141.218.60.56/~jnz1568/getInfo.php?workbook=12_04.xlsx&amp;sheet=A0&amp;row=3488&amp;col=7&amp;number=0&amp;sourceID=14","0")</f>
        <v>0</v>
      </c>
    </row>
    <row r="3489" spans="1:7">
      <c r="A3489" s="3">
        <v>12</v>
      </c>
      <c r="B3489" s="3">
        <v>4</v>
      </c>
      <c r="C3489" s="3">
        <v>86</v>
      </c>
      <c r="D3489" s="3">
        <v>51</v>
      </c>
      <c r="E3489" s="3">
        <v>-541.217</v>
      </c>
      <c r="F3489" s="4" t="str">
        <f>HYPERLINK("http://141.218.60.56/~jnz1568/getInfo.php?workbook=12_04.xlsx&amp;sheet=A0&amp;row=3489&amp;col=6&amp;number=3.08&amp;sourceID=14","3.08")</f>
        <v>3.08</v>
      </c>
      <c r="G3489" s="4" t="str">
        <f>HYPERLINK("http://141.218.60.56/~jnz1568/getInfo.php?workbook=12_04.xlsx&amp;sheet=A0&amp;row=3489&amp;col=7&amp;number=0&amp;sourceID=14","0")</f>
        <v>0</v>
      </c>
    </row>
    <row r="3490" spans="1:7">
      <c r="A3490" s="3">
        <v>12</v>
      </c>
      <c r="B3490" s="3">
        <v>4</v>
      </c>
      <c r="C3490" s="3">
        <v>87</v>
      </c>
      <c r="D3490" s="3">
        <v>51</v>
      </c>
      <c r="E3490" s="3">
        <v>-540.247</v>
      </c>
      <c r="F3490" s="4" t="str">
        <f>HYPERLINK("http://141.218.60.56/~jnz1568/getInfo.php?workbook=12_04.xlsx&amp;sheet=A0&amp;row=3490&amp;col=6&amp;number=3.66&amp;sourceID=14","3.66")</f>
        <v>3.66</v>
      </c>
      <c r="G3490" s="4" t="str">
        <f>HYPERLINK("http://141.218.60.56/~jnz1568/getInfo.php?workbook=12_04.xlsx&amp;sheet=A0&amp;row=3490&amp;col=7&amp;number=0&amp;sourceID=14","0")</f>
        <v>0</v>
      </c>
    </row>
    <row r="3491" spans="1:7">
      <c r="A3491" s="3">
        <v>12</v>
      </c>
      <c r="B3491" s="3">
        <v>4</v>
      </c>
      <c r="C3491" s="3">
        <v>88</v>
      </c>
      <c r="D3491" s="3">
        <v>51</v>
      </c>
      <c r="E3491" s="3">
        <v>-537.971</v>
      </c>
      <c r="F3491" s="4" t="str">
        <f>HYPERLINK("http://141.218.60.56/~jnz1568/getInfo.php?workbook=12_04.xlsx&amp;sheet=A0&amp;row=3491&amp;col=6&amp;number=13100&amp;sourceID=14","13100")</f>
        <v>13100</v>
      </c>
      <c r="G3491" s="4" t="str">
        <f>HYPERLINK("http://141.218.60.56/~jnz1568/getInfo.php?workbook=12_04.xlsx&amp;sheet=A0&amp;row=3491&amp;col=7&amp;number=0&amp;sourceID=14","0")</f>
        <v>0</v>
      </c>
    </row>
    <row r="3492" spans="1:7">
      <c r="A3492" s="3">
        <v>12</v>
      </c>
      <c r="B3492" s="3">
        <v>4</v>
      </c>
      <c r="C3492" s="3">
        <v>89</v>
      </c>
      <c r="D3492" s="3">
        <v>51</v>
      </c>
      <c r="E3492" s="3">
        <v>-536.634</v>
      </c>
      <c r="F3492" s="4" t="str">
        <f>HYPERLINK("http://141.218.60.56/~jnz1568/getInfo.php?workbook=12_04.xlsx&amp;sheet=A0&amp;row=3492&amp;col=6&amp;number=0.00178&amp;sourceID=14","0.00178")</f>
        <v>0.00178</v>
      </c>
      <c r="G3492" s="4" t="str">
        <f>HYPERLINK("http://141.218.60.56/~jnz1568/getInfo.php?workbook=12_04.xlsx&amp;sheet=A0&amp;row=3492&amp;col=7&amp;number=0&amp;sourceID=14","0")</f>
        <v>0</v>
      </c>
    </row>
    <row r="3493" spans="1:7">
      <c r="A3493" s="3">
        <v>12</v>
      </c>
      <c r="B3493" s="3">
        <v>4</v>
      </c>
      <c r="C3493" s="3">
        <v>90</v>
      </c>
      <c r="D3493" s="3">
        <v>51</v>
      </c>
      <c r="E3493" s="3">
        <v>-532.706</v>
      </c>
      <c r="F3493" s="4" t="str">
        <f>HYPERLINK("http://141.218.60.56/~jnz1568/getInfo.php?workbook=12_04.xlsx&amp;sheet=A0&amp;row=3493&amp;col=6&amp;number=0.00193&amp;sourceID=14","0.00193")</f>
        <v>0.00193</v>
      </c>
      <c r="G3493" s="4" t="str">
        <f>HYPERLINK("http://141.218.60.56/~jnz1568/getInfo.php?workbook=12_04.xlsx&amp;sheet=A0&amp;row=3493&amp;col=7&amp;number=0&amp;sourceID=14","0")</f>
        <v>0</v>
      </c>
    </row>
    <row r="3494" spans="1:7">
      <c r="A3494" s="3">
        <v>12</v>
      </c>
      <c r="B3494" s="3">
        <v>4</v>
      </c>
      <c r="C3494" s="3">
        <v>91</v>
      </c>
      <c r="D3494" s="3">
        <v>51</v>
      </c>
      <c r="E3494" s="3">
        <v>-529.269</v>
      </c>
      <c r="F3494" s="4" t="str">
        <f>HYPERLINK("http://141.218.60.56/~jnz1568/getInfo.php?workbook=12_04.xlsx&amp;sheet=A0&amp;row=3494&amp;col=6&amp;number=40900000&amp;sourceID=14","40900000")</f>
        <v>40900000</v>
      </c>
      <c r="G3494" s="4" t="str">
        <f>HYPERLINK("http://141.218.60.56/~jnz1568/getInfo.php?workbook=12_04.xlsx&amp;sheet=A0&amp;row=3494&amp;col=7&amp;number=0&amp;sourceID=14","0")</f>
        <v>0</v>
      </c>
    </row>
    <row r="3495" spans="1:7">
      <c r="A3495" s="3">
        <v>12</v>
      </c>
      <c r="B3495" s="3">
        <v>4</v>
      </c>
      <c r="C3495" s="3">
        <v>92</v>
      </c>
      <c r="D3495" s="3">
        <v>51</v>
      </c>
      <c r="E3495" s="3">
        <v>-528.467</v>
      </c>
      <c r="F3495" s="4" t="str">
        <f>HYPERLINK("http://141.218.60.56/~jnz1568/getInfo.php?workbook=12_04.xlsx&amp;sheet=A0&amp;row=3495&amp;col=6&amp;number=0.000174&amp;sourceID=14","0.000174")</f>
        <v>0.000174</v>
      </c>
      <c r="G3495" s="4" t="str">
        <f>HYPERLINK("http://141.218.60.56/~jnz1568/getInfo.php?workbook=12_04.xlsx&amp;sheet=A0&amp;row=3495&amp;col=7&amp;number=0&amp;sourceID=14","0")</f>
        <v>0</v>
      </c>
    </row>
    <row r="3496" spans="1:7">
      <c r="A3496" s="3">
        <v>12</v>
      </c>
      <c r="B3496" s="3">
        <v>4</v>
      </c>
      <c r="C3496" s="3">
        <v>93</v>
      </c>
      <c r="D3496" s="3">
        <v>51</v>
      </c>
      <c r="E3496" s="3">
        <v>-527.733</v>
      </c>
      <c r="F3496" s="4" t="str">
        <f>HYPERLINK("http://141.218.60.56/~jnz1568/getInfo.php?workbook=12_04.xlsx&amp;sheet=A0&amp;row=3496&amp;col=6&amp;number=9500000&amp;sourceID=14","9500000")</f>
        <v>9500000</v>
      </c>
      <c r="G3496" s="4" t="str">
        <f>HYPERLINK("http://141.218.60.56/~jnz1568/getInfo.php?workbook=12_04.xlsx&amp;sheet=A0&amp;row=3496&amp;col=7&amp;number=0&amp;sourceID=14","0")</f>
        <v>0</v>
      </c>
    </row>
    <row r="3497" spans="1:7">
      <c r="A3497" s="3">
        <v>12</v>
      </c>
      <c r="B3497" s="3">
        <v>4</v>
      </c>
      <c r="C3497" s="3">
        <v>94</v>
      </c>
      <c r="D3497" s="3">
        <v>51</v>
      </c>
      <c r="E3497" s="3">
        <v>-525.054</v>
      </c>
      <c r="F3497" s="4" t="str">
        <f>HYPERLINK("http://141.218.60.56/~jnz1568/getInfo.php?workbook=12_04.xlsx&amp;sheet=A0&amp;row=3497&amp;col=6&amp;number=1190000&amp;sourceID=14","1190000")</f>
        <v>1190000</v>
      </c>
      <c r="G3497" s="4" t="str">
        <f>HYPERLINK("http://141.218.60.56/~jnz1568/getInfo.php?workbook=12_04.xlsx&amp;sheet=A0&amp;row=3497&amp;col=7&amp;number=0&amp;sourceID=14","0")</f>
        <v>0</v>
      </c>
    </row>
    <row r="3498" spans="1:7">
      <c r="A3498" s="3">
        <v>12</v>
      </c>
      <c r="B3498" s="3">
        <v>4</v>
      </c>
      <c r="C3498" s="3">
        <v>95</v>
      </c>
      <c r="D3498" s="3">
        <v>51</v>
      </c>
      <c r="E3498" s="3">
        <v>-523.312</v>
      </c>
      <c r="F3498" s="4" t="str">
        <f>HYPERLINK("http://141.218.60.56/~jnz1568/getInfo.php?workbook=12_04.xlsx&amp;sheet=A0&amp;row=3498&amp;col=6&amp;number=0.143&amp;sourceID=14","0.143")</f>
        <v>0.143</v>
      </c>
      <c r="G3498" s="4" t="str">
        <f>HYPERLINK("http://141.218.60.56/~jnz1568/getInfo.php?workbook=12_04.xlsx&amp;sheet=A0&amp;row=3498&amp;col=7&amp;number=0&amp;sourceID=14","0")</f>
        <v>0</v>
      </c>
    </row>
    <row r="3499" spans="1:7">
      <c r="A3499" s="3">
        <v>12</v>
      </c>
      <c r="B3499" s="3">
        <v>4</v>
      </c>
      <c r="C3499" s="3">
        <v>96</v>
      </c>
      <c r="D3499" s="3">
        <v>51</v>
      </c>
      <c r="E3499" s="3">
        <v>-521.709</v>
      </c>
      <c r="F3499" s="4" t="str">
        <f>HYPERLINK("http://141.218.60.56/~jnz1568/getInfo.php?workbook=12_04.xlsx&amp;sheet=A0&amp;row=3499&amp;col=6&amp;number=1210000&amp;sourceID=14","1210000")</f>
        <v>1210000</v>
      </c>
      <c r="G3499" s="4" t="str">
        <f>HYPERLINK("http://141.218.60.56/~jnz1568/getInfo.php?workbook=12_04.xlsx&amp;sheet=A0&amp;row=3499&amp;col=7&amp;number=0&amp;sourceID=14","0")</f>
        <v>0</v>
      </c>
    </row>
    <row r="3500" spans="1:7">
      <c r="A3500" s="3">
        <v>12</v>
      </c>
      <c r="B3500" s="3">
        <v>4</v>
      </c>
      <c r="C3500" s="3">
        <v>97</v>
      </c>
      <c r="D3500" s="3">
        <v>51</v>
      </c>
      <c r="E3500" s="3">
        <v>-515</v>
      </c>
      <c r="F3500" s="4" t="str">
        <f>HYPERLINK("http://141.218.60.56/~jnz1568/getInfo.php?workbook=12_04.xlsx&amp;sheet=A0&amp;row=3500&amp;col=6&amp;number=0.544&amp;sourceID=14","0.544")</f>
        <v>0.544</v>
      </c>
      <c r="G3500" s="4" t="str">
        <f>HYPERLINK("http://141.218.60.56/~jnz1568/getInfo.php?workbook=12_04.xlsx&amp;sheet=A0&amp;row=3500&amp;col=7&amp;number=0&amp;sourceID=14","0")</f>
        <v>0</v>
      </c>
    </row>
    <row r="3501" spans="1:7">
      <c r="A3501" s="3">
        <v>12</v>
      </c>
      <c r="B3501" s="3">
        <v>4</v>
      </c>
      <c r="C3501" s="3">
        <v>98</v>
      </c>
      <c r="D3501" s="3">
        <v>51</v>
      </c>
      <c r="E3501" s="3">
        <v>-511.848</v>
      </c>
      <c r="F3501" s="4" t="str">
        <f>HYPERLINK("http://141.218.60.56/~jnz1568/getInfo.php?workbook=12_04.xlsx&amp;sheet=A0&amp;row=3501&amp;col=6&amp;number=0.0255&amp;sourceID=14","0.0255")</f>
        <v>0.0255</v>
      </c>
      <c r="G3501" s="4" t="str">
        <f>HYPERLINK("http://141.218.60.56/~jnz1568/getInfo.php?workbook=12_04.xlsx&amp;sheet=A0&amp;row=3501&amp;col=7&amp;number=0&amp;sourceID=14","0")</f>
        <v>0</v>
      </c>
    </row>
    <row r="3502" spans="1:7">
      <c r="A3502" s="3">
        <v>12</v>
      </c>
      <c r="B3502" s="3">
        <v>4</v>
      </c>
      <c r="C3502" s="3">
        <v>53</v>
      </c>
      <c r="D3502" s="3">
        <v>52</v>
      </c>
      <c r="E3502" s="3">
        <v>8857.412</v>
      </c>
      <c r="F3502" s="4" t="str">
        <f>HYPERLINK("http://141.218.60.56/~jnz1568/getInfo.php?workbook=12_04.xlsx&amp;sheet=A0&amp;row=3502&amp;col=6&amp;number=8650&amp;sourceID=14","8650")</f>
        <v>8650</v>
      </c>
      <c r="G3502" s="4" t="str">
        <f>HYPERLINK("http://141.218.60.56/~jnz1568/getInfo.php?workbook=12_04.xlsx&amp;sheet=A0&amp;row=3502&amp;col=7&amp;number=0&amp;sourceID=14","0")</f>
        <v>0</v>
      </c>
    </row>
    <row r="3503" spans="1:7">
      <c r="A3503" s="3">
        <v>12</v>
      </c>
      <c r="B3503" s="3">
        <v>4</v>
      </c>
      <c r="C3503" s="3">
        <v>54</v>
      </c>
      <c r="D3503" s="3">
        <v>52</v>
      </c>
      <c r="E3503" s="3">
        <v>8857.412</v>
      </c>
      <c r="F3503" s="4" t="str">
        <f>HYPERLINK("http://141.218.60.56/~jnz1568/getInfo.php?workbook=12_04.xlsx&amp;sheet=A0&amp;row=3503&amp;col=6&amp;number=12000&amp;sourceID=14","12000")</f>
        <v>12000</v>
      </c>
      <c r="G3503" s="4" t="str">
        <f>HYPERLINK("http://141.218.60.56/~jnz1568/getInfo.php?workbook=12_04.xlsx&amp;sheet=A0&amp;row=3503&amp;col=7&amp;number=0&amp;sourceID=14","0")</f>
        <v>0</v>
      </c>
    </row>
    <row r="3504" spans="1:7">
      <c r="A3504" s="3">
        <v>12</v>
      </c>
      <c r="B3504" s="3">
        <v>4</v>
      </c>
      <c r="C3504" s="3">
        <v>55</v>
      </c>
      <c r="D3504" s="3">
        <v>52</v>
      </c>
      <c r="E3504" s="3">
        <v>8795.091</v>
      </c>
      <c r="F3504" s="4" t="str">
        <f>HYPERLINK("http://141.218.60.56/~jnz1568/getInfo.php?workbook=12_04.xlsx&amp;sheet=A0&amp;row=3504&amp;col=6&amp;number=3.83e-06&amp;sourceID=14","3.83e-06")</f>
        <v>3.83e-06</v>
      </c>
      <c r="G3504" s="4" t="str">
        <f>HYPERLINK("http://141.218.60.56/~jnz1568/getInfo.php?workbook=12_04.xlsx&amp;sheet=A0&amp;row=3504&amp;col=7&amp;number=0&amp;sourceID=14","0")</f>
        <v>0</v>
      </c>
    </row>
    <row r="3505" spans="1:7">
      <c r="A3505" s="3">
        <v>12</v>
      </c>
      <c r="B3505" s="3">
        <v>4</v>
      </c>
      <c r="C3505" s="3">
        <v>56</v>
      </c>
      <c r="D3505" s="3">
        <v>52</v>
      </c>
      <c r="E3505" s="3">
        <v>5205.632</v>
      </c>
      <c r="F3505" s="4" t="str">
        <f>HYPERLINK("http://141.218.60.56/~jnz1568/getInfo.php?workbook=12_04.xlsx&amp;sheet=A0&amp;row=3505&amp;col=6&amp;number=29000000&amp;sourceID=14","29000000")</f>
        <v>29000000</v>
      </c>
      <c r="G3505" s="4" t="str">
        <f>HYPERLINK("http://141.218.60.56/~jnz1568/getInfo.php?workbook=12_04.xlsx&amp;sheet=A0&amp;row=3505&amp;col=7&amp;number=0&amp;sourceID=14","0")</f>
        <v>0</v>
      </c>
    </row>
    <row r="3506" spans="1:7">
      <c r="A3506" s="3">
        <v>12</v>
      </c>
      <c r="B3506" s="3">
        <v>4</v>
      </c>
      <c r="C3506" s="3">
        <v>57</v>
      </c>
      <c r="D3506" s="3">
        <v>52</v>
      </c>
      <c r="E3506" s="3">
        <v>-5024.63</v>
      </c>
      <c r="F3506" s="4" t="str">
        <f>HYPERLINK("http://141.218.60.56/~jnz1568/getInfo.php?workbook=12_04.xlsx&amp;sheet=A0&amp;row=3506&amp;col=6&amp;number=0.0025&amp;sourceID=14","0.0025")</f>
        <v>0.0025</v>
      </c>
      <c r="G3506" s="4" t="str">
        <f>HYPERLINK("http://141.218.60.56/~jnz1568/getInfo.php?workbook=12_04.xlsx&amp;sheet=A0&amp;row=3506&amp;col=7&amp;number=0&amp;sourceID=14","0")</f>
        <v>0</v>
      </c>
    </row>
    <row r="3507" spans="1:7">
      <c r="A3507" s="3">
        <v>12</v>
      </c>
      <c r="B3507" s="3">
        <v>4</v>
      </c>
      <c r="C3507" s="3">
        <v>58</v>
      </c>
      <c r="D3507" s="3">
        <v>52</v>
      </c>
      <c r="E3507" s="3">
        <v>-5017.319</v>
      </c>
      <c r="F3507" s="4" t="str">
        <f>HYPERLINK("http://141.218.60.56/~jnz1568/getInfo.php?workbook=12_04.xlsx&amp;sheet=A0&amp;row=3507&amp;col=6&amp;number=0.00248&amp;sourceID=14","0.00248")</f>
        <v>0.00248</v>
      </c>
      <c r="G3507" s="4" t="str">
        <f>HYPERLINK("http://141.218.60.56/~jnz1568/getInfo.php?workbook=12_04.xlsx&amp;sheet=A0&amp;row=3507&amp;col=7&amp;number=0&amp;sourceID=14","0")</f>
        <v>0</v>
      </c>
    </row>
    <row r="3508" spans="1:7">
      <c r="A3508" s="3">
        <v>12</v>
      </c>
      <c r="B3508" s="3">
        <v>4</v>
      </c>
      <c r="C3508" s="3">
        <v>59</v>
      </c>
      <c r="D3508" s="3">
        <v>52</v>
      </c>
      <c r="E3508" s="3">
        <v>-5007.771</v>
      </c>
      <c r="F3508" s="4" t="str">
        <f>HYPERLINK("http://141.218.60.56/~jnz1568/getInfo.php?workbook=12_04.xlsx&amp;sheet=A0&amp;row=3508&amp;col=6&amp;number=3.36e-12&amp;sourceID=14","3.36e-12")</f>
        <v>3.36e-12</v>
      </c>
      <c r="G3508" s="4" t="str">
        <f>HYPERLINK("http://141.218.60.56/~jnz1568/getInfo.php?workbook=12_04.xlsx&amp;sheet=A0&amp;row=3508&amp;col=7&amp;number=0&amp;sourceID=14","0")</f>
        <v>0</v>
      </c>
    </row>
    <row r="3509" spans="1:7">
      <c r="A3509" s="3">
        <v>12</v>
      </c>
      <c r="B3509" s="3">
        <v>4</v>
      </c>
      <c r="C3509" s="3">
        <v>60</v>
      </c>
      <c r="D3509" s="3">
        <v>52</v>
      </c>
      <c r="E3509" s="3">
        <v>-4445.44</v>
      </c>
      <c r="F3509" s="4" t="str">
        <f>HYPERLINK("http://141.218.60.56/~jnz1568/getInfo.php?workbook=12_04.xlsx&amp;sheet=A0&amp;row=3509&amp;col=6&amp;number=2.82&amp;sourceID=14","2.82")</f>
        <v>2.82</v>
      </c>
      <c r="G3509" s="4" t="str">
        <f>HYPERLINK("http://141.218.60.56/~jnz1568/getInfo.php?workbook=12_04.xlsx&amp;sheet=A0&amp;row=3509&amp;col=7&amp;number=0&amp;sourceID=14","0")</f>
        <v>0</v>
      </c>
    </row>
    <row r="3510" spans="1:7">
      <c r="A3510" s="3">
        <v>12</v>
      </c>
      <c r="B3510" s="3">
        <v>4</v>
      </c>
      <c r="C3510" s="3">
        <v>61</v>
      </c>
      <c r="D3510" s="3">
        <v>52</v>
      </c>
      <c r="E3510" s="3">
        <v>-723.569</v>
      </c>
      <c r="F3510" s="4" t="str">
        <f>HYPERLINK("http://141.218.60.56/~jnz1568/getInfo.php?workbook=12_04.xlsx&amp;sheet=A0&amp;row=3510&amp;col=6&amp;number=0.375&amp;sourceID=14","0.375")</f>
        <v>0.375</v>
      </c>
      <c r="G3510" s="4" t="str">
        <f>HYPERLINK("http://141.218.60.56/~jnz1568/getInfo.php?workbook=12_04.xlsx&amp;sheet=A0&amp;row=3510&amp;col=7&amp;number=0&amp;sourceID=14","0")</f>
        <v>0</v>
      </c>
    </row>
    <row r="3511" spans="1:7">
      <c r="A3511" s="3">
        <v>12</v>
      </c>
      <c r="B3511" s="3">
        <v>4</v>
      </c>
      <c r="C3511" s="3">
        <v>62</v>
      </c>
      <c r="D3511" s="3">
        <v>52</v>
      </c>
      <c r="E3511" s="3">
        <v>-718.795</v>
      </c>
      <c r="F3511" s="4" t="str">
        <f>HYPERLINK("http://141.218.60.56/~jnz1568/getInfo.php?workbook=12_04.xlsx&amp;sheet=A0&amp;row=3511&amp;col=6&amp;number=21.1&amp;sourceID=14","21.1")</f>
        <v>21.1</v>
      </c>
      <c r="G3511" s="4" t="str">
        <f>HYPERLINK("http://141.218.60.56/~jnz1568/getInfo.php?workbook=12_04.xlsx&amp;sheet=A0&amp;row=3511&amp;col=7&amp;number=0&amp;sourceID=14","0")</f>
        <v>0</v>
      </c>
    </row>
    <row r="3512" spans="1:7">
      <c r="A3512" s="3">
        <v>12</v>
      </c>
      <c r="B3512" s="3">
        <v>4</v>
      </c>
      <c r="C3512" s="3">
        <v>63</v>
      </c>
      <c r="D3512" s="3">
        <v>52</v>
      </c>
      <c r="E3512" s="3">
        <v>-703.721</v>
      </c>
      <c r="F3512" s="4" t="str">
        <f>HYPERLINK("http://141.218.60.56/~jnz1568/getInfo.php?workbook=12_04.xlsx&amp;sheet=A0&amp;row=3512&amp;col=6&amp;number=0.104&amp;sourceID=14","0.104")</f>
        <v>0.104</v>
      </c>
      <c r="G3512" s="4" t="str">
        <f>HYPERLINK("http://141.218.60.56/~jnz1568/getInfo.php?workbook=12_04.xlsx&amp;sheet=A0&amp;row=3512&amp;col=7&amp;number=0&amp;sourceID=14","0")</f>
        <v>0</v>
      </c>
    </row>
    <row r="3513" spans="1:7">
      <c r="A3513" s="3">
        <v>12</v>
      </c>
      <c r="B3513" s="3">
        <v>4</v>
      </c>
      <c r="C3513" s="3">
        <v>64</v>
      </c>
      <c r="D3513" s="3">
        <v>52</v>
      </c>
      <c r="E3513" s="3">
        <v>-674.124</v>
      </c>
      <c r="F3513" s="4" t="str">
        <f>HYPERLINK("http://141.218.60.56/~jnz1568/getInfo.php?workbook=12_04.xlsx&amp;sheet=A0&amp;row=3513&amp;col=6&amp;number=558&amp;sourceID=14","558")</f>
        <v>558</v>
      </c>
      <c r="G3513" s="4" t="str">
        <f>HYPERLINK("http://141.218.60.56/~jnz1568/getInfo.php?workbook=12_04.xlsx&amp;sheet=A0&amp;row=3513&amp;col=7&amp;number=0&amp;sourceID=14","0")</f>
        <v>0</v>
      </c>
    </row>
    <row r="3514" spans="1:7">
      <c r="A3514" s="3">
        <v>12</v>
      </c>
      <c r="B3514" s="3">
        <v>4</v>
      </c>
      <c r="C3514" s="3">
        <v>65</v>
      </c>
      <c r="D3514" s="3">
        <v>52</v>
      </c>
      <c r="E3514" s="3">
        <v>-641.57</v>
      </c>
      <c r="F3514" s="4" t="str">
        <f>HYPERLINK("http://141.218.60.56/~jnz1568/getInfo.php?workbook=12_04.xlsx&amp;sheet=A0&amp;row=3514&amp;col=6&amp;number=846000000&amp;sourceID=14","846000000")</f>
        <v>846000000</v>
      </c>
      <c r="G3514" s="4" t="str">
        <f>HYPERLINK("http://141.218.60.56/~jnz1568/getInfo.php?workbook=12_04.xlsx&amp;sheet=A0&amp;row=3514&amp;col=7&amp;number=0&amp;sourceID=14","0")</f>
        <v>0</v>
      </c>
    </row>
    <row r="3515" spans="1:7">
      <c r="A3515" s="3">
        <v>12</v>
      </c>
      <c r="B3515" s="3">
        <v>4</v>
      </c>
      <c r="C3515" s="3">
        <v>66</v>
      </c>
      <c r="D3515" s="3">
        <v>52</v>
      </c>
      <c r="E3515" s="3">
        <v>-631.235</v>
      </c>
      <c r="F3515" s="4" t="str">
        <f>HYPERLINK("http://141.218.60.56/~jnz1568/getInfo.php?workbook=12_04.xlsx&amp;sheet=A0&amp;row=3515&amp;col=6&amp;number=417000000&amp;sourceID=14","417000000")</f>
        <v>417000000</v>
      </c>
      <c r="G3515" s="4" t="str">
        <f>HYPERLINK("http://141.218.60.56/~jnz1568/getInfo.php?workbook=12_04.xlsx&amp;sheet=A0&amp;row=3515&amp;col=7&amp;number=0&amp;sourceID=14","0")</f>
        <v>0</v>
      </c>
    </row>
    <row r="3516" spans="1:7">
      <c r="A3516" s="3">
        <v>12</v>
      </c>
      <c r="B3516" s="3">
        <v>4</v>
      </c>
      <c r="C3516" s="3">
        <v>67</v>
      </c>
      <c r="D3516" s="3">
        <v>52</v>
      </c>
      <c r="E3516" s="3">
        <v>-629.443</v>
      </c>
      <c r="F3516" s="4" t="str">
        <f>HYPERLINK("http://141.218.60.56/~jnz1568/getInfo.php?workbook=12_04.xlsx&amp;sheet=A0&amp;row=3516&amp;col=6&amp;number=7550000&amp;sourceID=14","7550000")</f>
        <v>7550000</v>
      </c>
      <c r="G3516" s="4" t="str">
        <f>HYPERLINK("http://141.218.60.56/~jnz1568/getInfo.php?workbook=12_04.xlsx&amp;sheet=A0&amp;row=3516&amp;col=7&amp;number=0&amp;sourceID=14","0")</f>
        <v>0</v>
      </c>
    </row>
    <row r="3517" spans="1:7">
      <c r="A3517" s="3">
        <v>12</v>
      </c>
      <c r="B3517" s="3">
        <v>4</v>
      </c>
      <c r="C3517" s="3">
        <v>68</v>
      </c>
      <c r="D3517" s="3">
        <v>52</v>
      </c>
      <c r="E3517" s="3">
        <v>620.926</v>
      </c>
      <c r="F3517" s="4" t="str">
        <f>HYPERLINK("http://141.218.60.56/~jnz1568/getInfo.php?workbook=12_04.xlsx&amp;sheet=A0&amp;row=3517&amp;col=6&amp;number=0.156&amp;sourceID=14","0.156")</f>
        <v>0.156</v>
      </c>
      <c r="G3517" s="4" t="str">
        <f>HYPERLINK("http://141.218.60.56/~jnz1568/getInfo.php?workbook=12_04.xlsx&amp;sheet=A0&amp;row=3517&amp;col=7&amp;number=0&amp;sourceID=14","0")</f>
        <v>0</v>
      </c>
    </row>
    <row r="3518" spans="1:7">
      <c r="A3518" s="3">
        <v>12</v>
      </c>
      <c r="B3518" s="3">
        <v>4</v>
      </c>
      <c r="C3518" s="3">
        <v>69</v>
      </c>
      <c r="D3518" s="3">
        <v>52</v>
      </c>
      <c r="E3518" s="3">
        <v>-608.989</v>
      </c>
      <c r="F3518" s="4" t="str">
        <f>HYPERLINK("http://141.218.60.56/~jnz1568/getInfo.php?workbook=12_04.xlsx&amp;sheet=A0&amp;row=3518&amp;col=6&amp;number=75400000&amp;sourceID=14","75400000")</f>
        <v>75400000</v>
      </c>
      <c r="G3518" s="4" t="str">
        <f>HYPERLINK("http://141.218.60.56/~jnz1568/getInfo.php?workbook=12_04.xlsx&amp;sheet=A0&amp;row=3518&amp;col=7&amp;number=0&amp;sourceID=14","0")</f>
        <v>0</v>
      </c>
    </row>
    <row r="3519" spans="1:7">
      <c r="A3519" s="3">
        <v>12</v>
      </c>
      <c r="B3519" s="3">
        <v>4</v>
      </c>
      <c r="C3519" s="3">
        <v>70</v>
      </c>
      <c r="D3519" s="3">
        <v>52</v>
      </c>
      <c r="E3519" s="3">
        <v>-606.654</v>
      </c>
      <c r="F3519" s="4" t="str">
        <f>HYPERLINK("http://141.218.60.56/~jnz1568/getInfo.php?workbook=12_04.xlsx&amp;sheet=A0&amp;row=3519&amp;col=6&amp;number=493000&amp;sourceID=14","493000")</f>
        <v>493000</v>
      </c>
      <c r="G3519" s="4" t="str">
        <f>HYPERLINK("http://141.218.60.56/~jnz1568/getInfo.php?workbook=12_04.xlsx&amp;sheet=A0&amp;row=3519&amp;col=7&amp;number=0&amp;sourceID=14","0")</f>
        <v>0</v>
      </c>
    </row>
    <row r="3520" spans="1:7">
      <c r="A3520" s="3">
        <v>12</v>
      </c>
      <c r="B3520" s="3">
        <v>4</v>
      </c>
      <c r="C3520" s="3">
        <v>71</v>
      </c>
      <c r="D3520" s="3">
        <v>52</v>
      </c>
      <c r="E3520" s="3">
        <v>-599.629</v>
      </c>
      <c r="F3520" s="4" t="str">
        <f>HYPERLINK("http://141.218.60.56/~jnz1568/getInfo.php?workbook=12_04.xlsx&amp;sheet=A0&amp;row=3520&amp;col=6&amp;number=554000&amp;sourceID=14","554000")</f>
        <v>554000</v>
      </c>
      <c r="G3520" s="4" t="str">
        <f>HYPERLINK("http://141.218.60.56/~jnz1568/getInfo.php?workbook=12_04.xlsx&amp;sheet=A0&amp;row=3520&amp;col=7&amp;number=0&amp;sourceID=14","0")</f>
        <v>0</v>
      </c>
    </row>
    <row r="3521" spans="1:7">
      <c r="A3521" s="3">
        <v>12</v>
      </c>
      <c r="B3521" s="3">
        <v>4</v>
      </c>
      <c r="C3521" s="3">
        <v>72</v>
      </c>
      <c r="D3521" s="3">
        <v>52</v>
      </c>
      <c r="E3521" s="3">
        <v>599.989</v>
      </c>
      <c r="F3521" s="4" t="str">
        <f>HYPERLINK("http://141.218.60.56/~jnz1568/getInfo.php?workbook=12_04.xlsx&amp;sheet=A0&amp;row=3521&amp;col=6&amp;number=1010000&amp;sourceID=14","1010000")</f>
        <v>1010000</v>
      </c>
      <c r="G3521" s="4" t="str">
        <f>HYPERLINK("http://141.218.60.56/~jnz1568/getInfo.php?workbook=12_04.xlsx&amp;sheet=A0&amp;row=3521&amp;col=7&amp;number=0&amp;sourceID=14","0")</f>
        <v>0</v>
      </c>
    </row>
    <row r="3522" spans="1:7">
      <c r="A3522" s="3">
        <v>12</v>
      </c>
      <c r="B3522" s="3">
        <v>4</v>
      </c>
      <c r="C3522" s="3">
        <v>73</v>
      </c>
      <c r="D3522" s="3">
        <v>52</v>
      </c>
      <c r="E3522" s="3">
        <v>-587.293</v>
      </c>
      <c r="F3522" s="4" t="str">
        <f>HYPERLINK("http://141.218.60.56/~jnz1568/getInfo.php?workbook=12_04.xlsx&amp;sheet=A0&amp;row=3522&amp;col=6&amp;number=301&amp;sourceID=14","301")</f>
        <v>301</v>
      </c>
      <c r="G3522" s="4" t="str">
        <f>HYPERLINK("http://141.218.60.56/~jnz1568/getInfo.php?workbook=12_04.xlsx&amp;sheet=A0&amp;row=3522&amp;col=7&amp;number=0&amp;sourceID=14","0")</f>
        <v>0</v>
      </c>
    </row>
    <row r="3523" spans="1:7">
      <c r="A3523" s="3">
        <v>12</v>
      </c>
      <c r="B3523" s="3">
        <v>4</v>
      </c>
      <c r="C3523" s="3">
        <v>74</v>
      </c>
      <c r="D3523" s="3">
        <v>52</v>
      </c>
      <c r="E3523" s="3">
        <v>-580.779</v>
      </c>
      <c r="F3523" s="4" t="str">
        <f>HYPERLINK("http://141.218.60.56/~jnz1568/getInfo.php?workbook=12_04.xlsx&amp;sheet=A0&amp;row=3523&amp;col=6&amp;number=34.4&amp;sourceID=14","34.4")</f>
        <v>34.4</v>
      </c>
      <c r="G3523" s="4" t="str">
        <f>HYPERLINK("http://141.218.60.56/~jnz1568/getInfo.php?workbook=12_04.xlsx&amp;sheet=A0&amp;row=3523&amp;col=7&amp;number=0&amp;sourceID=14","0")</f>
        <v>0</v>
      </c>
    </row>
    <row r="3524" spans="1:7">
      <c r="A3524" s="3">
        <v>12</v>
      </c>
      <c r="B3524" s="3">
        <v>4</v>
      </c>
      <c r="C3524" s="3">
        <v>75</v>
      </c>
      <c r="D3524" s="3">
        <v>52</v>
      </c>
      <c r="E3524" s="3">
        <v>579.61</v>
      </c>
      <c r="F3524" s="4" t="str">
        <f>HYPERLINK("http://141.218.60.56/~jnz1568/getInfo.php?workbook=12_04.xlsx&amp;sheet=A0&amp;row=3524&amp;col=6&amp;number=663&amp;sourceID=14","663")</f>
        <v>663</v>
      </c>
      <c r="G3524" s="4" t="str">
        <f>HYPERLINK("http://141.218.60.56/~jnz1568/getInfo.php?workbook=12_04.xlsx&amp;sheet=A0&amp;row=3524&amp;col=7&amp;number=0&amp;sourceID=14","0")</f>
        <v>0</v>
      </c>
    </row>
    <row r="3525" spans="1:7">
      <c r="A3525" s="3">
        <v>12</v>
      </c>
      <c r="B3525" s="3">
        <v>4</v>
      </c>
      <c r="C3525" s="3">
        <v>76</v>
      </c>
      <c r="D3525" s="3">
        <v>52</v>
      </c>
      <c r="E3525" s="3">
        <v>580.048</v>
      </c>
      <c r="F3525" s="4" t="str">
        <f>HYPERLINK("http://141.218.60.56/~jnz1568/getInfo.php?workbook=12_04.xlsx&amp;sheet=A0&amp;row=3525&amp;col=6&amp;number=281000000&amp;sourceID=14","281000000")</f>
        <v>281000000</v>
      </c>
      <c r="G3525" s="4" t="str">
        <f>HYPERLINK("http://141.218.60.56/~jnz1568/getInfo.php?workbook=12_04.xlsx&amp;sheet=A0&amp;row=3525&amp;col=7&amp;number=0&amp;sourceID=14","0")</f>
        <v>0</v>
      </c>
    </row>
    <row r="3526" spans="1:7">
      <c r="A3526" s="3">
        <v>12</v>
      </c>
      <c r="B3526" s="3">
        <v>4</v>
      </c>
      <c r="C3526" s="3">
        <v>77</v>
      </c>
      <c r="D3526" s="3">
        <v>52</v>
      </c>
      <c r="E3526" s="3">
        <v>-573.534</v>
      </c>
      <c r="F3526" s="4" t="str">
        <f>HYPERLINK("http://141.218.60.56/~jnz1568/getInfo.php?workbook=12_04.xlsx&amp;sheet=A0&amp;row=3526&amp;col=6&amp;number=3.71e-07&amp;sourceID=14","3.71e-07")</f>
        <v>3.71e-07</v>
      </c>
      <c r="G3526" s="4" t="str">
        <f>HYPERLINK("http://141.218.60.56/~jnz1568/getInfo.php?workbook=12_04.xlsx&amp;sheet=A0&amp;row=3526&amp;col=7&amp;number=0&amp;sourceID=14","0")</f>
        <v>0</v>
      </c>
    </row>
    <row r="3527" spans="1:7">
      <c r="A3527" s="3">
        <v>12</v>
      </c>
      <c r="B3527" s="3">
        <v>4</v>
      </c>
      <c r="C3527" s="3">
        <v>78</v>
      </c>
      <c r="D3527" s="3">
        <v>52</v>
      </c>
      <c r="E3527" s="3">
        <v>-563.82</v>
      </c>
      <c r="F3527" s="4" t="str">
        <f>HYPERLINK("http://141.218.60.56/~jnz1568/getInfo.php?workbook=12_04.xlsx&amp;sheet=A0&amp;row=3527&amp;col=6&amp;number=21.3&amp;sourceID=14","21.3")</f>
        <v>21.3</v>
      </c>
      <c r="G3527" s="4" t="str">
        <f>HYPERLINK("http://141.218.60.56/~jnz1568/getInfo.php?workbook=12_04.xlsx&amp;sheet=A0&amp;row=3527&amp;col=7&amp;number=0&amp;sourceID=14","0")</f>
        <v>0</v>
      </c>
    </row>
    <row r="3528" spans="1:7">
      <c r="A3528" s="3">
        <v>12</v>
      </c>
      <c r="B3528" s="3">
        <v>4</v>
      </c>
      <c r="C3528" s="3">
        <v>79</v>
      </c>
      <c r="D3528" s="3">
        <v>52</v>
      </c>
      <c r="E3528" s="3">
        <v>-561.859</v>
      </c>
      <c r="F3528" s="4" t="str">
        <f>HYPERLINK("http://141.218.60.56/~jnz1568/getInfo.php?workbook=12_04.xlsx&amp;sheet=A0&amp;row=3528&amp;col=6&amp;number=46.1&amp;sourceID=14","46.1")</f>
        <v>46.1</v>
      </c>
      <c r="G3528" s="4" t="str">
        <f>HYPERLINK("http://141.218.60.56/~jnz1568/getInfo.php?workbook=12_04.xlsx&amp;sheet=A0&amp;row=3528&amp;col=7&amp;number=0&amp;sourceID=14","0")</f>
        <v>0</v>
      </c>
    </row>
    <row r="3529" spans="1:7">
      <c r="A3529" s="3">
        <v>12</v>
      </c>
      <c r="B3529" s="3">
        <v>4</v>
      </c>
      <c r="C3529" s="3">
        <v>80</v>
      </c>
      <c r="D3529" s="3">
        <v>52</v>
      </c>
      <c r="E3529" s="3">
        <v>-557.968</v>
      </c>
      <c r="F3529" s="4" t="str">
        <f>HYPERLINK("http://141.218.60.56/~jnz1568/getInfo.php?workbook=12_04.xlsx&amp;sheet=A0&amp;row=3529&amp;col=6&amp;number=0.00534&amp;sourceID=14","0.00534")</f>
        <v>0.00534</v>
      </c>
      <c r="G3529" s="4" t="str">
        <f>HYPERLINK("http://141.218.60.56/~jnz1568/getInfo.php?workbook=12_04.xlsx&amp;sheet=A0&amp;row=3529&amp;col=7&amp;number=0&amp;sourceID=14","0")</f>
        <v>0</v>
      </c>
    </row>
    <row r="3530" spans="1:7">
      <c r="A3530" s="3">
        <v>12</v>
      </c>
      <c r="B3530" s="3">
        <v>4</v>
      </c>
      <c r="C3530" s="3">
        <v>81</v>
      </c>
      <c r="D3530" s="3">
        <v>52</v>
      </c>
      <c r="E3530" s="3">
        <v>556.887</v>
      </c>
      <c r="F3530" s="4" t="str">
        <f>HYPERLINK("http://141.218.60.56/~jnz1568/getInfo.php?workbook=12_04.xlsx&amp;sheet=A0&amp;row=3530&amp;col=6&amp;number=17.4&amp;sourceID=14","17.4")</f>
        <v>17.4</v>
      </c>
      <c r="G3530" s="4" t="str">
        <f>HYPERLINK("http://141.218.60.56/~jnz1568/getInfo.php?workbook=12_04.xlsx&amp;sheet=A0&amp;row=3530&amp;col=7&amp;number=0&amp;sourceID=14","0")</f>
        <v>0</v>
      </c>
    </row>
    <row r="3531" spans="1:7">
      <c r="A3531" s="3">
        <v>12</v>
      </c>
      <c r="B3531" s="3">
        <v>4</v>
      </c>
      <c r="C3531" s="3">
        <v>82</v>
      </c>
      <c r="D3531" s="3">
        <v>52</v>
      </c>
      <c r="E3531" s="3">
        <v>-556.843</v>
      </c>
      <c r="F3531" s="4" t="str">
        <f>HYPERLINK("http://141.218.60.56/~jnz1568/getInfo.php?workbook=12_04.xlsx&amp;sheet=A0&amp;row=3531&amp;col=6&amp;number=8480000&amp;sourceID=14","8480000")</f>
        <v>8480000</v>
      </c>
      <c r="G3531" s="4" t="str">
        <f>HYPERLINK("http://141.218.60.56/~jnz1568/getInfo.php?workbook=12_04.xlsx&amp;sheet=A0&amp;row=3531&amp;col=7&amp;number=0&amp;sourceID=14","0")</f>
        <v>0</v>
      </c>
    </row>
    <row r="3532" spans="1:7">
      <c r="A3532" s="3">
        <v>12</v>
      </c>
      <c r="B3532" s="3">
        <v>4</v>
      </c>
      <c r="C3532" s="3">
        <v>83</v>
      </c>
      <c r="D3532" s="3">
        <v>52</v>
      </c>
      <c r="E3532" s="3">
        <v>-556.828</v>
      </c>
      <c r="F3532" s="4" t="str">
        <f>HYPERLINK("http://141.218.60.56/~jnz1568/getInfo.php?workbook=12_04.xlsx&amp;sheet=A0&amp;row=3532&amp;col=6&amp;number=0.00028&amp;sourceID=14","0.00028")</f>
        <v>0.00028</v>
      </c>
      <c r="G3532" s="4" t="str">
        <f>HYPERLINK("http://141.218.60.56/~jnz1568/getInfo.php?workbook=12_04.xlsx&amp;sheet=A0&amp;row=3532&amp;col=7&amp;number=0&amp;sourceID=14","0")</f>
        <v>0</v>
      </c>
    </row>
    <row r="3533" spans="1:7">
      <c r="A3533" s="3">
        <v>12</v>
      </c>
      <c r="B3533" s="3">
        <v>4</v>
      </c>
      <c r="C3533" s="3">
        <v>84</v>
      </c>
      <c r="D3533" s="3">
        <v>52</v>
      </c>
      <c r="E3533" s="3">
        <v>-555.822</v>
      </c>
      <c r="F3533" s="4" t="str">
        <f>HYPERLINK("http://141.218.60.56/~jnz1568/getInfo.php?workbook=12_04.xlsx&amp;sheet=A0&amp;row=3533&amp;col=6&amp;number=0.00089&amp;sourceID=14","0.00089")</f>
        <v>0.00089</v>
      </c>
      <c r="G3533" s="4" t="str">
        <f>HYPERLINK("http://141.218.60.56/~jnz1568/getInfo.php?workbook=12_04.xlsx&amp;sheet=A0&amp;row=3533&amp;col=7&amp;number=0&amp;sourceID=14","0")</f>
        <v>0</v>
      </c>
    </row>
    <row r="3534" spans="1:7">
      <c r="A3534" s="3">
        <v>12</v>
      </c>
      <c r="B3534" s="3">
        <v>4</v>
      </c>
      <c r="C3534" s="3">
        <v>85</v>
      </c>
      <c r="D3534" s="3">
        <v>52</v>
      </c>
      <c r="E3534" s="3">
        <v>553.19</v>
      </c>
      <c r="F3534" s="4" t="str">
        <f>HYPERLINK("http://141.218.60.56/~jnz1568/getInfo.php?workbook=12_04.xlsx&amp;sheet=A0&amp;row=3534&amp;col=6&amp;number=11.3&amp;sourceID=14","11.3")</f>
        <v>11.3</v>
      </c>
      <c r="G3534" s="4" t="str">
        <f>HYPERLINK("http://141.218.60.56/~jnz1568/getInfo.php?workbook=12_04.xlsx&amp;sheet=A0&amp;row=3534&amp;col=7&amp;number=0&amp;sourceID=14","0")</f>
        <v>0</v>
      </c>
    </row>
    <row r="3535" spans="1:7">
      <c r="A3535" s="3">
        <v>12</v>
      </c>
      <c r="B3535" s="3">
        <v>4</v>
      </c>
      <c r="C3535" s="3">
        <v>86</v>
      </c>
      <c r="D3535" s="3">
        <v>52</v>
      </c>
      <c r="E3535" s="3">
        <v>551.603</v>
      </c>
      <c r="F3535" s="4" t="str">
        <f>HYPERLINK("http://141.218.60.56/~jnz1568/getInfo.php?workbook=12_04.xlsx&amp;sheet=A0&amp;row=3535&amp;col=6&amp;number=2.96&amp;sourceID=14","2.96")</f>
        <v>2.96</v>
      </c>
      <c r="G3535" s="4" t="str">
        <f>HYPERLINK("http://141.218.60.56/~jnz1568/getInfo.php?workbook=12_04.xlsx&amp;sheet=A0&amp;row=3535&amp;col=7&amp;number=0&amp;sourceID=14","0")</f>
        <v>0</v>
      </c>
    </row>
    <row r="3536" spans="1:7">
      <c r="A3536" s="3">
        <v>12</v>
      </c>
      <c r="B3536" s="3">
        <v>4</v>
      </c>
      <c r="C3536" s="3">
        <v>87</v>
      </c>
      <c r="D3536" s="3">
        <v>52</v>
      </c>
      <c r="E3536" s="3">
        <v>-548.415</v>
      </c>
      <c r="F3536" s="4" t="str">
        <f>HYPERLINK("http://141.218.60.56/~jnz1568/getInfo.php?workbook=12_04.xlsx&amp;sheet=A0&amp;row=3536&amp;col=6&amp;number=0.0068&amp;sourceID=14","0.0068")</f>
        <v>0.0068</v>
      </c>
      <c r="G3536" s="4" t="str">
        <f>HYPERLINK("http://141.218.60.56/~jnz1568/getInfo.php?workbook=12_04.xlsx&amp;sheet=A0&amp;row=3536&amp;col=7&amp;number=0&amp;sourceID=14","0")</f>
        <v>0</v>
      </c>
    </row>
    <row r="3537" spans="1:7">
      <c r="A3537" s="3">
        <v>12</v>
      </c>
      <c r="B3537" s="3">
        <v>4</v>
      </c>
      <c r="C3537" s="3">
        <v>88</v>
      </c>
      <c r="D3537" s="3">
        <v>52</v>
      </c>
      <c r="E3537" s="3">
        <v>-546.07</v>
      </c>
      <c r="F3537" s="4" t="str">
        <f>HYPERLINK("http://141.218.60.56/~jnz1568/getInfo.php?workbook=12_04.xlsx&amp;sheet=A0&amp;row=3537&amp;col=6&amp;number=0.00148&amp;sourceID=14","0.00148")</f>
        <v>0.00148</v>
      </c>
      <c r="G3537" s="4" t="str">
        <f>HYPERLINK("http://141.218.60.56/~jnz1568/getInfo.php?workbook=12_04.xlsx&amp;sheet=A0&amp;row=3537&amp;col=7&amp;number=0&amp;sourceID=14","0")</f>
        <v>0</v>
      </c>
    </row>
    <row r="3538" spans="1:7">
      <c r="A3538" s="3">
        <v>12</v>
      </c>
      <c r="B3538" s="3">
        <v>4</v>
      </c>
      <c r="C3538" s="3">
        <v>89</v>
      </c>
      <c r="D3538" s="3">
        <v>52</v>
      </c>
      <c r="E3538" s="3">
        <v>-544.693</v>
      </c>
      <c r="F3538" s="4" t="str">
        <f>HYPERLINK("http://141.218.60.56/~jnz1568/getInfo.php?workbook=12_04.xlsx&amp;sheet=A0&amp;row=3538&amp;col=6&amp;number=0.00103&amp;sourceID=14","0.00103")</f>
        <v>0.00103</v>
      </c>
      <c r="G3538" s="4" t="str">
        <f>HYPERLINK("http://141.218.60.56/~jnz1568/getInfo.php?workbook=12_04.xlsx&amp;sheet=A0&amp;row=3538&amp;col=7&amp;number=0&amp;sourceID=14","0")</f>
        <v>0</v>
      </c>
    </row>
    <row r="3539" spans="1:7">
      <c r="A3539" s="3">
        <v>12</v>
      </c>
      <c r="B3539" s="3">
        <v>4</v>
      </c>
      <c r="C3539" s="3">
        <v>90</v>
      </c>
      <c r="D3539" s="3">
        <v>52</v>
      </c>
      <c r="E3539" s="3">
        <v>-540.647</v>
      </c>
      <c r="F3539" s="4" t="str">
        <f>HYPERLINK("http://141.218.60.56/~jnz1568/getInfo.php?workbook=12_04.xlsx&amp;sheet=A0&amp;row=3539&amp;col=6&amp;number=2.73e-12&amp;sourceID=14","2.73e-12")</f>
        <v>2.73e-12</v>
      </c>
      <c r="G3539" s="4" t="str">
        <f>HYPERLINK("http://141.218.60.56/~jnz1568/getInfo.php?workbook=12_04.xlsx&amp;sheet=A0&amp;row=3539&amp;col=7&amp;number=0&amp;sourceID=14","0")</f>
        <v>0</v>
      </c>
    </row>
    <row r="3540" spans="1:7">
      <c r="A3540" s="3">
        <v>12</v>
      </c>
      <c r="B3540" s="3">
        <v>4</v>
      </c>
      <c r="C3540" s="3">
        <v>91</v>
      </c>
      <c r="D3540" s="3">
        <v>52</v>
      </c>
      <c r="E3540" s="3">
        <v>-537.107</v>
      </c>
      <c r="F3540" s="4" t="str">
        <f>HYPERLINK("http://141.218.60.56/~jnz1568/getInfo.php?workbook=12_04.xlsx&amp;sheet=A0&amp;row=3540&amp;col=6&amp;number=0.00589&amp;sourceID=14","0.00589")</f>
        <v>0.00589</v>
      </c>
      <c r="G3540" s="4" t="str">
        <f>HYPERLINK("http://141.218.60.56/~jnz1568/getInfo.php?workbook=12_04.xlsx&amp;sheet=A0&amp;row=3540&amp;col=7&amp;number=0&amp;sourceID=14","0")</f>
        <v>0</v>
      </c>
    </row>
    <row r="3541" spans="1:7">
      <c r="A3541" s="3">
        <v>12</v>
      </c>
      <c r="B3541" s="3">
        <v>4</v>
      </c>
      <c r="C3541" s="3">
        <v>92</v>
      </c>
      <c r="D3541" s="3">
        <v>52</v>
      </c>
      <c r="E3541" s="3">
        <v>-536.28</v>
      </c>
      <c r="F3541" s="4" t="str">
        <f>HYPERLINK("http://141.218.60.56/~jnz1568/getInfo.php?workbook=12_04.xlsx&amp;sheet=A0&amp;row=3541&amp;col=6&amp;number=0.011&amp;sourceID=14","0.011")</f>
        <v>0.011</v>
      </c>
      <c r="G3541" s="4" t="str">
        <f>HYPERLINK("http://141.218.60.56/~jnz1568/getInfo.php?workbook=12_04.xlsx&amp;sheet=A0&amp;row=3541&amp;col=7&amp;number=0&amp;sourceID=14","0")</f>
        <v>0</v>
      </c>
    </row>
    <row r="3542" spans="1:7">
      <c r="A3542" s="3">
        <v>12</v>
      </c>
      <c r="B3542" s="3">
        <v>4</v>
      </c>
      <c r="C3542" s="3">
        <v>93</v>
      </c>
      <c r="D3542" s="3">
        <v>52</v>
      </c>
      <c r="E3542" s="3">
        <v>-535.525</v>
      </c>
      <c r="F3542" s="4" t="str">
        <f>HYPERLINK("http://141.218.60.56/~jnz1568/getInfo.php?workbook=12_04.xlsx&amp;sheet=A0&amp;row=3542&amp;col=6&amp;number=19500000&amp;sourceID=14","19500000")</f>
        <v>19500000</v>
      </c>
      <c r="G3542" s="4" t="str">
        <f>HYPERLINK("http://141.218.60.56/~jnz1568/getInfo.php?workbook=12_04.xlsx&amp;sheet=A0&amp;row=3542&amp;col=7&amp;number=0&amp;sourceID=14","0")</f>
        <v>0</v>
      </c>
    </row>
    <row r="3543" spans="1:7">
      <c r="A3543" s="3">
        <v>12</v>
      </c>
      <c r="B3543" s="3">
        <v>4</v>
      </c>
      <c r="C3543" s="3">
        <v>94</v>
      </c>
      <c r="D3543" s="3">
        <v>52</v>
      </c>
      <c r="E3543" s="3">
        <v>-532.766</v>
      </c>
      <c r="F3543" s="4" t="str">
        <f>HYPERLINK("http://141.218.60.56/~jnz1568/getInfo.php?workbook=12_04.xlsx&amp;sheet=A0&amp;row=3543&amp;col=6&amp;number=79100&amp;sourceID=14","79100")</f>
        <v>79100</v>
      </c>
      <c r="G3543" s="4" t="str">
        <f>HYPERLINK("http://141.218.60.56/~jnz1568/getInfo.php?workbook=12_04.xlsx&amp;sheet=A0&amp;row=3543&amp;col=7&amp;number=0&amp;sourceID=14","0")</f>
        <v>0</v>
      </c>
    </row>
    <row r="3544" spans="1:7">
      <c r="A3544" s="3">
        <v>12</v>
      </c>
      <c r="B3544" s="3">
        <v>4</v>
      </c>
      <c r="C3544" s="3">
        <v>95</v>
      </c>
      <c r="D3544" s="3">
        <v>52</v>
      </c>
      <c r="E3544" s="3">
        <v>-530.972</v>
      </c>
      <c r="F3544" s="4" t="str">
        <f>HYPERLINK("http://141.218.60.56/~jnz1568/getInfo.php?workbook=12_04.xlsx&amp;sheet=A0&amp;row=3544&amp;col=6&amp;number=1080000000&amp;sourceID=14","1080000000")</f>
        <v>1080000000</v>
      </c>
      <c r="G3544" s="4" t="str">
        <f>HYPERLINK("http://141.218.60.56/~jnz1568/getInfo.php?workbook=12_04.xlsx&amp;sheet=A0&amp;row=3544&amp;col=7&amp;number=0&amp;sourceID=14","0")</f>
        <v>0</v>
      </c>
    </row>
    <row r="3545" spans="1:7">
      <c r="A3545" s="3">
        <v>12</v>
      </c>
      <c r="B3545" s="3">
        <v>4</v>
      </c>
      <c r="C3545" s="3">
        <v>96</v>
      </c>
      <c r="D3545" s="3">
        <v>52</v>
      </c>
      <c r="E3545" s="3">
        <v>-529.323</v>
      </c>
      <c r="F3545" s="4" t="str">
        <f>HYPERLINK("http://141.218.60.56/~jnz1568/getInfo.php?workbook=12_04.xlsx&amp;sheet=A0&amp;row=3545&amp;col=6&amp;number=120000000&amp;sourceID=14","120000000")</f>
        <v>120000000</v>
      </c>
      <c r="G3545" s="4" t="str">
        <f>HYPERLINK("http://141.218.60.56/~jnz1568/getInfo.php?workbook=12_04.xlsx&amp;sheet=A0&amp;row=3545&amp;col=7&amp;number=0&amp;sourceID=14","0")</f>
        <v>0</v>
      </c>
    </row>
    <row r="3546" spans="1:7">
      <c r="A3546" s="3">
        <v>12</v>
      </c>
      <c r="B3546" s="3">
        <v>4</v>
      </c>
      <c r="C3546" s="3">
        <v>97</v>
      </c>
      <c r="D3546" s="3">
        <v>52</v>
      </c>
      <c r="E3546" s="3">
        <v>532.227</v>
      </c>
      <c r="F3546" s="4" t="str">
        <f>HYPERLINK("http://141.218.60.56/~jnz1568/getInfo.php?workbook=12_04.xlsx&amp;sheet=A0&amp;row=3546&amp;col=6&amp;number=4620&amp;sourceID=14","4620")</f>
        <v>4620</v>
      </c>
      <c r="G3546" s="4" t="str">
        <f>HYPERLINK("http://141.218.60.56/~jnz1568/getInfo.php?workbook=12_04.xlsx&amp;sheet=A0&amp;row=3546&amp;col=7&amp;number=0&amp;sourceID=14","0")</f>
        <v>0</v>
      </c>
    </row>
    <row r="3547" spans="1:7">
      <c r="A3547" s="3">
        <v>12</v>
      </c>
      <c r="B3547" s="3">
        <v>4</v>
      </c>
      <c r="C3547" s="3">
        <v>98</v>
      </c>
      <c r="D3547" s="3">
        <v>52</v>
      </c>
      <c r="E3547" s="3">
        <v>527.344</v>
      </c>
      <c r="F3547" s="4" t="str">
        <f>HYPERLINK("http://141.218.60.56/~jnz1568/getInfo.php?workbook=12_04.xlsx&amp;sheet=A0&amp;row=3547&amp;col=6&amp;number=1710&amp;sourceID=14","1710")</f>
        <v>1710</v>
      </c>
      <c r="G3547" s="4" t="str">
        <f>HYPERLINK("http://141.218.60.56/~jnz1568/getInfo.php?workbook=12_04.xlsx&amp;sheet=A0&amp;row=3547&amp;col=7&amp;number=0&amp;sourceID=14","0")</f>
        <v>0</v>
      </c>
    </row>
    <row r="3548" spans="1:7">
      <c r="A3548" s="3">
        <v>12</v>
      </c>
      <c r="B3548" s="3">
        <v>4</v>
      </c>
      <c r="C3548" s="3">
        <v>55</v>
      </c>
      <c r="D3548" s="3">
        <v>53</v>
      </c>
      <c r="E3548" s="3">
        <v>1250002.25</v>
      </c>
      <c r="F3548" s="4" t="str">
        <f>HYPERLINK("http://141.218.60.56/~jnz1568/getInfo.php?workbook=12_04.xlsx&amp;sheet=A0&amp;row=3548&amp;col=6&amp;number=1.14e-13&amp;sourceID=14","1.14e-13")</f>
        <v>1.14e-13</v>
      </c>
      <c r="G3548" s="4" t="str">
        <f>HYPERLINK("http://141.218.60.56/~jnz1568/getInfo.php?workbook=12_04.xlsx&amp;sheet=A0&amp;row=3548&amp;col=7&amp;number=0&amp;sourceID=14","0")</f>
        <v>0</v>
      </c>
    </row>
    <row r="3549" spans="1:7">
      <c r="A3549" s="3">
        <v>12</v>
      </c>
      <c r="B3549" s="3">
        <v>4</v>
      </c>
      <c r="C3549" s="3">
        <v>56</v>
      </c>
      <c r="D3549" s="3">
        <v>53</v>
      </c>
      <c r="E3549" s="3">
        <v>12626.286</v>
      </c>
      <c r="F3549" s="4" t="str">
        <f>HYPERLINK("http://141.218.60.56/~jnz1568/getInfo.php?workbook=12_04.xlsx&amp;sheet=A0&amp;row=3549&amp;col=6&amp;number=0.000505&amp;sourceID=14","0.000505")</f>
        <v>0.000505</v>
      </c>
      <c r="G3549" s="4" t="str">
        <f>HYPERLINK("http://141.218.60.56/~jnz1568/getInfo.php?workbook=12_04.xlsx&amp;sheet=A0&amp;row=3549&amp;col=7&amp;number=0&amp;sourceID=14","0")</f>
        <v>0</v>
      </c>
    </row>
    <row r="3550" spans="1:7">
      <c r="A3550" s="3">
        <v>12</v>
      </c>
      <c r="B3550" s="3">
        <v>4</v>
      </c>
      <c r="C3550" s="3">
        <v>57</v>
      </c>
      <c r="D3550" s="3">
        <v>53</v>
      </c>
      <c r="E3550" s="3">
        <v>-11102.496</v>
      </c>
      <c r="F3550" s="4" t="str">
        <f>HYPERLINK("http://141.218.60.56/~jnz1568/getInfo.php?workbook=12_04.xlsx&amp;sheet=A0&amp;row=3550&amp;col=6&amp;number=1120000&amp;sourceID=14","1120000")</f>
        <v>1120000</v>
      </c>
      <c r="G3550" s="4" t="str">
        <f>HYPERLINK("http://141.218.60.56/~jnz1568/getInfo.php?workbook=12_04.xlsx&amp;sheet=A0&amp;row=3550&amp;col=7&amp;number=0&amp;sourceID=14","0")</f>
        <v>0</v>
      </c>
    </row>
    <row r="3551" spans="1:7">
      <c r="A3551" s="3">
        <v>12</v>
      </c>
      <c r="B3551" s="3">
        <v>4</v>
      </c>
      <c r="C3551" s="3">
        <v>58</v>
      </c>
      <c r="D3551" s="3">
        <v>53</v>
      </c>
      <c r="E3551" s="3">
        <v>-11066.864</v>
      </c>
      <c r="F3551" s="4" t="str">
        <f>HYPERLINK("http://141.218.60.56/~jnz1568/getInfo.php?workbook=12_04.xlsx&amp;sheet=A0&amp;row=3551&amp;col=6&amp;number=3.33e-08&amp;sourceID=14","3.33e-08")</f>
        <v>3.33e-08</v>
      </c>
      <c r="G3551" s="4" t="str">
        <f>HYPERLINK("http://141.218.60.56/~jnz1568/getInfo.php?workbook=12_04.xlsx&amp;sheet=A0&amp;row=3551&amp;col=7&amp;number=0&amp;sourceID=14","0")</f>
        <v>0</v>
      </c>
    </row>
    <row r="3552" spans="1:7">
      <c r="A3552" s="3">
        <v>12</v>
      </c>
      <c r="B3552" s="3">
        <v>4</v>
      </c>
      <c r="C3552" s="3">
        <v>59</v>
      </c>
      <c r="D3552" s="3">
        <v>53</v>
      </c>
      <c r="E3552" s="3">
        <v>-11020.519</v>
      </c>
      <c r="F3552" s="4" t="str">
        <f>HYPERLINK("http://141.218.60.56/~jnz1568/getInfo.php?workbook=12_04.xlsx&amp;sheet=A0&amp;row=3552&amp;col=6&amp;number=8.43e-12&amp;sourceID=14","8.43e-12")</f>
        <v>8.43e-12</v>
      </c>
      <c r="G3552" s="4" t="str">
        <f>HYPERLINK("http://141.218.60.56/~jnz1568/getInfo.php?workbook=12_04.xlsx&amp;sheet=A0&amp;row=3552&amp;col=7&amp;number=0&amp;sourceID=14","0")</f>
        <v>0</v>
      </c>
    </row>
    <row r="3553" spans="1:7">
      <c r="A3553" s="3">
        <v>12</v>
      </c>
      <c r="B3553" s="3">
        <v>4</v>
      </c>
      <c r="C3553" s="3">
        <v>60</v>
      </c>
      <c r="D3553" s="3">
        <v>53</v>
      </c>
      <c r="E3553" s="3">
        <v>-8620.705</v>
      </c>
      <c r="F3553" s="4" t="str">
        <f>HYPERLINK("http://141.218.60.56/~jnz1568/getInfo.php?workbook=12_04.xlsx&amp;sheet=A0&amp;row=3553&amp;col=6&amp;number=9.13e-07&amp;sourceID=14","9.13e-07")</f>
        <v>9.13e-07</v>
      </c>
      <c r="G3553" s="4" t="str">
        <f>HYPERLINK("http://141.218.60.56/~jnz1568/getInfo.php?workbook=12_04.xlsx&amp;sheet=A0&amp;row=3553&amp;col=7&amp;number=0&amp;sourceID=14","0")</f>
        <v>0</v>
      </c>
    </row>
    <row r="3554" spans="1:7">
      <c r="A3554" s="3">
        <v>12</v>
      </c>
      <c r="B3554" s="3">
        <v>4</v>
      </c>
      <c r="C3554" s="3">
        <v>61</v>
      </c>
      <c r="D3554" s="3">
        <v>53</v>
      </c>
      <c r="E3554" s="3">
        <v>-785.492</v>
      </c>
      <c r="F3554" s="4" t="str">
        <f>HYPERLINK("http://141.218.60.56/~jnz1568/getInfo.php?workbook=12_04.xlsx&amp;sheet=A0&amp;row=3554&amp;col=6&amp;number=8840000&amp;sourceID=14","8840000")</f>
        <v>8840000</v>
      </c>
      <c r="G3554" s="4" t="str">
        <f>HYPERLINK("http://141.218.60.56/~jnz1568/getInfo.php?workbook=12_04.xlsx&amp;sheet=A0&amp;row=3554&amp;col=7&amp;number=0&amp;sourceID=14","0")</f>
        <v>0</v>
      </c>
    </row>
    <row r="3555" spans="1:7">
      <c r="A3555" s="3">
        <v>12</v>
      </c>
      <c r="B3555" s="3">
        <v>4</v>
      </c>
      <c r="C3555" s="3">
        <v>62</v>
      </c>
      <c r="D3555" s="3">
        <v>53</v>
      </c>
      <c r="E3555" s="3">
        <v>-779.868</v>
      </c>
      <c r="F3555" s="4" t="str">
        <f>HYPERLINK("http://141.218.60.56/~jnz1568/getInfo.php?workbook=12_04.xlsx&amp;sheet=A0&amp;row=3555&amp;col=6&amp;number=2120000&amp;sourceID=14","2120000")</f>
        <v>2120000</v>
      </c>
      <c r="G3555" s="4" t="str">
        <f>HYPERLINK("http://141.218.60.56/~jnz1568/getInfo.php?workbook=12_04.xlsx&amp;sheet=A0&amp;row=3555&amp;col=7&amp;number=0&amp;sourceID=14","0")</f>
        <v>0</v>
      </c>
    </row>
    <row r="3556" spans="1:7">
      <c r="A3556" s="3">
        <v>12</v>
      </c>
      <c r="B3556" s="3">
        <v>4</v>
      </c>
      <c r="C3556" s="3">
        <v>63</v>
      </c>
      <c r="D3556" s="3">
        <v>53</v>
      </c>
      <c r="E3556" s="3">
        <v>-762.156</v>
      </c>
      <c r="F3556" s="4" t="str">
        <f>HYPERLINK("http://141.218.60.56/~jnz1568/getInfo.php?workbook=12_04.xlsx&amp;sheet=A0&amp;row=3556&amp;col=6&amp;number=94100&amp;sourceID=14","94100")</f>
        <v>94100</v>
      </c>
      <c r="G3556" s="4" t="str">
        <f>HYPERLINK("http://141.218.60.56/~jnz1568/getInfo.php?workbook=12_04.xlsx&amp;sheet=A0&amp;row=3556&amp;col=7&amp;number=0&amp;sourceID=14","0")</f>
        <v>0</v>
      </c>
    </row>
    <row r="3557" spans="1:7">
      <c r="A3557" s="3">
        <v>12</v>
      </c>
      <c r="B3557" s="3">
        <v>4</v>
      </c>
      <c r="C3557" s="3">
        <v>64</v>
      </c>
      <c r="D3557" s="3">
        <v>53</v>
      </c>
      <c r="E3557" s="3">
        <v>-727.56</v>
      </c>
      <c r="F3557" s="4" t="str">
        <f>HYPERLINK("http://141.218.60.56/~jnz1568/getInfo.php?workbook=12_04.xlsx&amp;sheet=A0&amp;row=3557&amp;col=6&amp;number=174000&amp;sourceID=14","174000")</f>
        <v>174000</v>
      </c>
      <c r="G3557" s="4" t="str">
        <f>HYPERLINK("http://141.218.60.56/~jnz1568/getInfo.php?workbook=12_04.xlsx&amp;sheet=A0&amp;row=3557&amp;col=7&amp;number=0&amp;sourceID=14","0")</f>
        <v>0</v>
      </c>
    </row>
    <row r="3558" spans="1:7">
      <c r="A3558" s="3">
        <v>12</v>
      </c>
      <c r="B3558" s="3">
        <v>4</v>
      </c>
      <c r="C3558" s="3">
        <v>65</v>
      </c>
      <c r="D3558" s="3">
        <v>53</v>
      </c>
      <c r="E3558" s="3">
        <v>-689.785</v>
      </c>
      <c r="F3558" s="4" t="str">
        <f>HYPERLINK("http://141.218.60.56/~jnz1568/getInfo.php?workbook=12_04.xlsx&amp;sheet=A0&amp;row=3558&amp;col=6&amp;number=0.0523&amp;sourceID=14","0.0523")</f>
        <v>0.0523</v>
      </c>
      <c r="G3558" s="4" t="str">
        <f>HYPERLINK("http://141.218.60.56/~jnz1568/getInfo.php?workbook=12_04.xlsx&amp;sheet=A0&amp;row=3558&amp;col=7&amp;number=0&amp;sourceID=14","0")</f>
        <v>0</v>
      </c>
    </row>
    <row r="3559" spans="1:7">
      <c r="A3559" s="3">
        <v>12</v>
      </c>
      <c r="B3559" s="3">
        <v>4</v>
      </c>
      <c r="C3559" s="3">
        <v>66</v>
      </c>
      <c r="D3559" s="3">
        <v>53</v>
      </c>
      <c r="E3559" s="3">
        <v>-677.852</v>
      </c>
      <c r="F3559" s="4" t="str">
        <f>HYPERLINK("http://141.218.60.56/~jnz1568/getInfo.php?workbook=12_04.xlsx&amp;sheet=A0&amp;row=3559&amp;col=6&amp;number=0.114&amp;sourceID=14","0.114")</f>
        <v>0.114</v>
      </c>
      <c r="G3559" s="4" t="str">
        <f>HYPERLINK("http://141.218.60.56/~jnz1568/getInfo.php?workbook=12_04.xlsx&amp;sheet=A0&amp;row=3559&amp;col=7&amp;number=0&amp;sourceID=14","0")</f>
        <v>0</v>
      </c>
    </row>
    <row r="3560" spans="1:7">
      <c r="A3560" s="3">
        <v>12</v>
      </c>
      <c r="B3560" s="3">
        <v>4</v>
      </c>
      <c r="C3560" s="3">
        <v>67</v>
      </c>
      <c r="D3560" s="3">
        <v>53</v>
      </c>
      <c r="E3560" s="3">
        <v>-675.787</v>
      </c>
      <c r="F3560" s="4" t="str">
        <f>HYPERLINK("http://141.218.60.56/~jnz1568/getInfo.php?workbook=12_04.xlsx&amp;sheet=A0&amp;row=3560&amp;col=6&amp;number=0.0509&amp;sourceID=14","0.0509")</f>
        <v>0.0509</v>
      </c>
      <c r="G3560" s="4" t="str">
        <f>HYPERLINK("http://141.218.60.56/~jnz1568/getInfo.php?workbook=12_04.xlsx&amp;sheet=A0&amp;row=3560&amp;col=7&amp;number=0&amp;sourceID=14","0")</f>
        <v>0</v>
      </c>
    </row>
    <row r="3561" spans="1:7">
      <c r="A3561" s="3">
        <v>12</v>
      </c>
      <c r="B3561" s="3">
        <v>4</v>
      </c>
      <c r="C3561" s="3">
        <v>68</v>
      </c>
      <c r="D3561" s="3">
        <v>53</v>
      </c>
      <c r="E3561" s="3">
        <v>667.736</v>
      </c>
      <c r="F3561" s="4" t="str">
        <f>HYPERLINK("http://141.218.60.56/~jnz1568/getInfo.php?workbook=12_04.xlsx&amp;sheet=A0&amp;row=3561&amp;col=6&amp;number=0.0421&amp;sourceID=14","0.0421")</f>
        <v>0.0421</v>
      </c>
      <c r="G3561" s="4" t="str">
        <f>HYPERLINK("http://141.218.60.56/~jnz1568/getInfo.php?workbook=12_04.xlsx&amp;sheet=A0&amp;row=3561&amp;col=7&amp;number=0&amp;sourceID=14","0")</f>
        <v>0</v>
      </c>
    </row>
    <row r="3562" spans="1:7">
      <c r="A3562" s="3">
        <v>12</v>
      </c>
      <c r="B3562" s="3">
        <v>4</v>
      </c>
      <c r="C3562" s="3">
        <v>69</v>
      </c>
      <c r="D3562" s="3">
        <v>53</v>
      </c>
      <c r="E3562" s="3">
        <v>-652.266</v>
      </c>
      <c r="F3562" s="4" t="str">
        <f>HYPERLINK("http://141.218.60.56/~jnz1568/getInfo.php?workbook=12_04.xlsx&amp;sheet=A0&amp;row=3562&amp;col=6&amp;number=8.21&amp;sourceID=14","8.21")</f>
        <v>8.21</v>
      </c>
      <c r="G3562" s="4" t="str">
        <f>HYPERLINK("http://141.218.60.56/~jnz1568/getInfo.php?workbook=12_04.xlsx&amp;sheet=A0&amp;row=3562&amp;col=7&amp;number=0&amp;sourceID=14","0")</f>
        <v>0</v>
      </c>
    </row>
    <row r="3563" spans="1:7">
      <c r="A3563" s="3">
        <v>12</v>
      </c>
      <c r="B3563" s="3">
        <v>4</v>
      </c>
      <c r="C3563" s="3">
        <v>70</v>
      </c>
      <c r="D3563" s="3">
        <v>53</v>
      </c>
      <c r="E3563" s="3">
        <v>-649.588</v>
      </c>
      <c r="F3563" s="4" t="str">
        <f>HYPERLINK("http://141.218.60.56/~jnz1568/getInfo.php?workbook=12_04.xlsx&amp;sheet=A0&amp;row=3563&amp;col=6&amp;number=0.0142&amp;sourceID=14","0.0142")</f>
        <v>0.0142</v>
      </c>
      <c r="G3563" s="4" t="str">
        <f>HYPERLINK("http://141.218.60.56/~jnz1568/getInfo.php?workbook=12_04.xlsx&amp;sheet=A0&amp;row=3563&amp;col=7&amp;number=0&amp;sourceID=14","0")</f>
        <v>0</v>
      </c>
    </row>
    <row r="3564" spans="1:7">
      <c r="A3564" s="3">
        <v>12</v>
      </c>
      <c r="B3564" s="3">
        <v>4</v>
      </c>
      <c r="C3564" s="3">
        <v>71</v>
      </c>
      <c r="D3564" s="3">
        <v>53</v>
      </c>
      <c r="E3564" s="3">
        <v>-641.541</v>
      </c>
      <c r="F3564" s="4" t="str">
        <f>HYPERLINK("http://141.218.60.56/~jnz1568/getInfo.php?workbook=12_04.xlsx&amp;sheet=A0&amp;row=3564&amp;col=6&amp;number=185&amp;sourceID=14","185")</f>
        <v>185</v>
      </c>
      <c r="G3564" s="4" t="str">
        <f>HYPERLINK("http://141.218.60.56/~jnz1568/getInfo.php?workbook=12_04.xlsx&amp;sheet=A0&amp;row=3564&amp;col=7&amp;number=0&amp;sourceID=14","0")</f>
        <v>0</v>
      </c>
    </row>
    <row r="3565" spans="1:7">
      <c r="A3565" s="3">
        <v>12</v>
      </c>
      <c r="B3565" s="3">
        <v>4</v>
      </c>
      <c r="C3565" s="3">
        <v>72</v>
      </c>
      <c r="D3565" s="3">
        <v>53</v>
      </c>
      <c r="E3565" s="3">
        <v>643.585</v>
      </c>
      <c r="F3565" s="4" t="str">
        <f>HYPERLINK("http://141.218.60.56/~jnz1568/getInfo.php?workbook=12_04.xlsx&amp;sheet=A0&amp;row=3565&amp;col=6&amp;number=18.6&amp;sourceID=14","18.6")</f>
        <v>18.6</v>
      </c>
      <c r="G3565" s="4" t="str">
        <f>HYPERLINK("http://141.218.60.56/~jnz1568/getInfo.php?workbook=12_04.xlsx&amp;sheet=A0&amp;row=3565&amp;col=7&amp;number=0&amp;sourceID=14","0")</f>
        <v>0</v>
      </c>
    </row>
    <row r="3566" spans="1:7">
      <c r="A3566" s="3">
        <v>12</v>
      </c>
      <c r="B3566" s="3">
        <v>4</v>
      </c>
      <c r="C3566" s="3">
        <v>73</v>
      </c>
      <c r="D3566" s="3">
        <v>53</v>
      </c>
      <c r="E3566" s="3">
        <v>-627.44</v>
      </c>
      <c r="F3566" s="4" t="str">
        <f>HYPERLINK("http://141.218.60.56/~jnz1568/getInfo.php?workbook=12_04.xlsx&amp;sheet=A0&amp;row=3566&amp;col=6&amp;number=263000000&amp;sourceID=14","263000000")</f>
        <v>263000000</v>
      </c>
      <c r="G3566" s="4" t="str">
        <f>HYPERLINK("http://141.218.60.56/~jnz1568/getInfo.php?workbook=12_04.xlsx&amp;sheet=A0&amp;row=3566&amp;col=7&amp;number=0&amp;sourceID=14","0")</f>
        <v>0</v>
      </c>
    </row>
    <row r="3567" spans="1:7">
      <c r="A3567" s="3">
        <v>12</v>
      </c>
      <c r="B3567" s="3">
        <v>4</v>
      </c>
      <c r="C3567" s="3">
        <v>74</v>
      </c>
      <c r="D3567" s="3">
        <v>53</v>
      </c>
      <c r="E3567" s="3">
        <v>-620.01</v>
      </c>
      <c r="F3567" s="4" t="str">
        <f>HYPERLINK("http://141.218.60.56/~jnz1568/getInfo.php?workbook=12_04.xlsx&amp;sheet=A0&amp;row=3567&amp;col=6&amp;number=0.0683&amp;sourceID=14","0.0683")</f>
        <v>0.0683</v>
      </c>
      <c r="G3567" s="4" t="str">
        <f>HYPERLINK("http://141.218.60.56/~jnz1568/getInfo.php?workbook=12_04.xlsx&amp;sheet=A0&amp;row=3567&amp;col=7&amp;number=0&amp;sourceID=14","0")</f>
        <v>0</v>
      </c>
    </row>
    <row r="3568" spans="1:7">
      <c r="A3568" s="3">
        <v>12</v>
      </c>
      <c r="B3568" s="3">
        <v>4</v>
      </c>
      <c r="C3568" s="3">
        <v>75</v>
      </c>
      <c r="D3568" s="3">
        <v>53</v>
      </c>
      <c r="E3568" s="3">
        <v>620.195</v>
      </c>
      <c r="F3568" s="4" t="str">
        <f>HYPERLINK("http://141.218.60.56/~jnz1568/getInfo.php?workbook=12_04.xlsx&amp;sheet=A0&amp;row=3568&amp;col=6&amp;number=82300000&amp;sourceID=14","82300000")</f>
        <v>82300000</v>
      </c>
      <c r="G3568" s="4" t="str">
        <f>HYPERLINK("http://141.218.60.56/~jnz1568/getInfo.php?workbook=12_04.xlsx&amp;sheet=A0&amp;row=3568&amp;col=7&amp;number=0&amp;sourceID=14","0")</f>
        <v>0</v>
      </c>
    </row>
    <row r="3569" spans="1:7">
      <c r="A3569" s="3">
        <v>12</v>
      </c>
      <c r="B3569" s="3">
        <v>4</v>
      </c>
      <c r="C3569" s="3">
        <v>76</v>
      </c>
      <c r="D3569" s="3">
        <v>53</v>
      </c>
      <c r="E3569" s="3">
        <v>620.695</v>
      </c>
      <c r="F3569" s="4" t="str">
        <f>HYPERLINK("http://141.218.60.56/~jnz1568/getInfo.php?workbook=12_04.xlsx&amp;sheet=A0&amp;row=3569&amp;col=6&amp;number=0.47&amp;sourceID=14","0.47")</f>
        <v>0.47</v>
      </c>
      <c r="G3569" s="4" t="str">
        <f>HYPERLINK("http://141.218.60.56/~jnz1568/getInfo.php?workbook=12_04.xlsx&amp;sheet=A0&amp;row=3569&amp;col=7&amp;number=0&amp;sourceID=14","0")</f>
        <v>0</v>
      </c>
    </row>
    <row r="3570" spans="1:7">
      <c r="A3570" s="3">
        <v>12</v>
      </c>
      <c r="B3570" s="3">
        <v>4</v>
      </c>
      <c r="C3570" s="3">
        <v>77</v>
      </c>
      <c r="D3570" s="3">
        <v>53</v>
      </c>
      <c r="E3570" s="3">
        <v>-611.76</v>
      </c>
      <c r="F3570" s="4" t="str">
        <f>HYPERLINK("http://141.218.60.56/~jnz1568/getInfo.php?workbook=12_04.xlsx&amp;sheet=A0&amp;row=3570&amp;col=6&amp;number=9.62e-06&amp;sourceID=14","9.62e-06")</f>
        <v>9.62e-06</v>
      </c>
      <c r="G3570" s="4" t="str">
        <f>HYPERLINK("http://141.218.60.56/~jnz1568/getInfo.php?workbook=12_04.xlsx&amp;sheet=A0&amp;row=3570&amp;col=7&amp;number=0&amp;sourceID=14","0")</f>
        <v>0</v>
      </c>
    </row>
    <row r="3571" spans="1:7">
      <c r="A3571" s="3">
        <v>12</v>
      </c>
      <c r="B3571" s="3">
        <v>4</v>
      </c>
      <c r="C3571" s="3">
        <v>78</v>
      </c>
      <c r="D3571" s="3">
        <v>53</v>
      </c>
      <c r="E3571" s="3">
        <v>-600.721</v>
      </c>
      <c r="F3571" s="4" t="str">
        <f>HYPERLINK("http://141.218.60.56/~jnz1568/getInfo.php?workbook=12_04.xlsx&amp;sheet=A0&amp;row=3571&amp;col=6&amp;number=437000000&amp;sourceID=14","437000000")</f>
        <v>437000000</v>
      </c>
      <c r="G3571" s="4" t="str">
        <f>HYPERLINK("http://141.218.60.56/~jnz1568/getInfo.php?workbook=12_04.xlsx&amp;sheet=A0&amp;row=3571&amp;col=7&amp;number=0&amp;sourceID=14","0")</f>
        <v>0</v>
      </c>
    </row>
    <row r="3572" spans="1:7">
      <c r="A3572" s="3">
        <v>12</v>
      </c>
      <c r="B3572" s="3">
        <v>4</v>
      </c>
      <c r="C3572" s="3">
        <v>79</v>
      </c>
      <c r="D3572" s="3">
        <v>53</v>
      </c>
      <c r="E3572" s="3">
        <v>-598.495</v>
      </c>
      <c r="F3572" s="4" t="str">
        <f>HYPERLINK("http://141.218.60.56/~jnz1568/getInfo.php?workbook=12_04.xlsx&amp;sheet=A0&amp;row=3572&amp;col=6&amp;number=165000000&amp;sourceID=14","165000000")</f>
        <v>165000000</v>
      </c>
      <c r="G3572" s="4" t="str">
        <f>HYPERLINK("http://141.218.60.56/~jnz1568/getInfo.php?workbook=12_04.xlsx&amp;sheet=A0&amp;row=3572&amp;col=7&amp;number=0&amp;sourceID=14","0")</f>
        <v>0</v>
      </c>
    </row>
    <row r="3573" spans="1:7">
      <c r="A3573" s="3">
        <v>12</v>
      </c>
      <c r="B3573" s="3">
        <v>4</v>
      </c>
      <c r="C3573" s="3">
        <v>80</v>
      </c>
      <c r="D3573" s="3">
        <v>53</v>
      </c>
      <c r="E3573" s="3">
        <v>-594.083</v>
      </c>
      <c r="F3573" s="4" t="str">
        <f>HYPERLINK("http://141.218.60.56/~jnz1568/getInfo.php?workbook=12_04.xlsx&amp;sheet=A0&amp;row=3573&amp;col=6&amp;number=13.6&amp;sourceID=14","13.6")</f>
        <v>13.6</v>
      </c>
      <c r="G3573" s="4" t="str">
        <f>HYPERLINK("http://141.218.60.56/~jnz1568/getInfo.php?workbook=12_04.xlsx&amp;sheet=A0&amp;row=3573&amp;col=7&amp;number=0&amp;sourceID=14","0")</f>
        <v>0</v>
      </c>
    </row>
    <row r="3574" spans="1:7">
      <c r="A3574" s="3">
        <v>12</v>
      </c>
      <c r="B3574" s="3">
        <v>4</v>
      </c>
      <c r="C3574" s="3">
        <v>81</v>
      </c>
      <c r="D3574" s="3">
        <v>53</v>
      </c>
      <c r="E3574" s="3">
        <v>594.249</v>
      </c>
      <c r="F3574" s="4" t="str">
        <f>HYPERLINK("http://141.218.60.56/~jnz1568/getInfo.php?workbook=12_04.xlsx&amp;sheet=A0&amp;row=3574&amp;col=6&amp;number=0.00621&amp;sourceID=14","0.00621")</f>
        <v>0.00621</v>
      </c>
      <c r="G3574" s="4" t="str">
        <f>HYPERLINK("http://141.218.60.56/~jnz1568/getInfo.php?workbook=12_04.xlsx&amp;sheet=A0&amp;row=3574&amp;col=7&amp;number=0&amp;sourceID=14","0")</f>
        <v>0</v>
      </c>
    </row>
    <row r="3575" spans="1:7">
      <c r="A3575" s="3">
        <v>12</v>
      </c>
      <c r="B3575" s="3">
        <v>4</v>
      </c>
      <c r="C3575" s="3">
        <v>82</v>
      </c>
      <c r="D3575" s="3">
        <v>53</v>
      </c>
      <c r="E3575" s="3">
        <v>-592.808</v>
      </c>
      <c r="F3575" s="4" t="str">
        <f>HYPERLINK("http://141.218.60.56/~jnz1568/getInfo.php?workbook=12_04.xlsx&amp;sheet=A0&amp;row=3575&amp;col=6&amp;number=13.7&amp;sourceID=14","13.7")</f>
        <v>13.7</v>
      </c>
      <c r="G3575" s="4" t="str">
        <f>HYPERLINK("http://141.218.60.56/~jnz1568/getInfo.php?workbook=12_04.xlsx&amp;sheet=A0&amp;row=3575&amp;col=7&amp;number=0&amp;sourceID=14","0")</f>
        <v>0</v>
      </c>
    </row>
    <row r="3576" spans="1:7">
      <c r="A3576" s="3">
        <v>12</v>
      </c>
      <c r="B3576" s="3">
        <v>4</v>
      </c>
      <c r="C3576" s="3">
        <v>83</v>
      </c>
      <c r="D3576" s="3">
        <v>53</v>
      </c>
      <c r="E3576" s="3">
        <v>-592.79</v>
      </c>
      <c r="F3576" s="4" t="str">
        <f>HYPERLINK("http://141.218.60.56/~jnz1568/getInfo.php?workbook=12_04.xlsx&amp;sheet=A0&amp;row=3576&amp;col=6&amp;number=65.2&amp;sourceID=14","65.2")</f>
        <v>65.2</v>
      </c>
      <c r="G3576" s="4" t="str">
        <f>HYPERLINK("http://141.218.60.56/~jnz1568/getInfo.php?workbook=12_04.xlsx&amp;sheet=A0&amp;row=3576&amp;col=7&amp;number=0&amp;sourceID=14","0")</f>
        <v>0</v>
      </c>
    </row>
    <row r="3577" spans="1:7">
      <c r="A3577" s="3">
        <v>12</v>
      </c>
      <c r="B3577" s="3">
        <v>4</v>
      </c>
      <c r="C3577" s="3">
        <v>84</v>
      </c>
      <c r="D3577" s="3">
        <v>53</v>
      </c>
      <c r="E3577" s="3">
        <v>-591.651</v>
      </c>
      <c r="F3577" s="4" t="str">
        <f>HYPERLINK("http://141.218.60.56/~jnz1568/getInfo.php?workbook=12_04.xlsx&amp;sheet=A0&amp;row=3577&amp;col=6&amp;number=6.64e-10&amp;sourceID=14","6.64e-10")</f>
        <v>6.64e-10</v>
      </c>
      <c r="G3577" s="4" t="str">
        <f>HYPERLINK("http://141.218.60.56/~jnz1568/getInfo.php?workbook=12_04.xlsx&amp;sheet=A0&amp;row=3577&amp;col=7&amp;number=0&amp;sourceID=14","0")</f>
        <v>0</v>
      </c>
    </row>
    <row r="3578" spans="1:7">
      <c r="A3578" s="3">
        <v>12</v>
      </c>
      <c r="B3578" s="3">
        <v>4</v>
      </c>
      <c r="C3578" s="3">
        <v>85</v>
      </c>
      <c r="D3578" s="3">
        <v>53</v>
      </c>
      <c r="E3578" s="3">
        <v>590.041</v>
      </c>
      <c r="F3578" s="4" t="str">
        <f>HYPERLINK("http://141.218.60.56/~jnz1568/getInfo.php?workbook=12_04.xlsx&amp;sheet=A0&amp;row=3578&amp;col=6&amp;number=87300000&amp;sourceID=14","87300000")</f>
        <v>87300000</v>
      </c>
      <c r="G3578" s="4" t="str">
        <f>HYPERLINK("http://141.218.60.56/~jnz1568/getInfo.php?workbook=12_04.xlsx&amp;sheet=A0&amp;row=3578&amp;col=7&amp;number=0&amp;sourceID=14","0")</f>
        <v>0</v>
      </c>
    </row>
    <row r="3579" spans="1:7">
      <c r="A3579" s="3">
        <v>12</v>
      </c>
      <c r="B3579" s="3">
        <v>4</v>
      </c>
      <c r="C3579" s="3">
        <v>86</v>
      </c>
      <c r="D3579" s="3">
        <v>53</v>
      </c>
      <c r="E3579" s="3">
        <v>588.236</v>
      </c>
      <c r="F3579" s="4" t="str">
        <f>HYPERLINK("http://141.218.60.56/~jnz1568/getInfo.php?workbook=12_04.xlsx&amp;sheet=A0&amp;row=3579&amp;col=6&amp;number=627000000&amp;sourceID=14","627000000")</f>
        <v>627000000</v>
      </c>
      <c r="G3579" s="4" t="str">
        <f>HYPERLINK("http://141.218.60.56/~jnz1568/getInfo.php?workbook=12_04.xlsx&amp;sheet=A0&amp;row=3579&amp;col=7&amp;number=0&amp;sourceID=14","0")</f>
        <v>0</v>
      </c>
    </row>
    <row r="3580" spans="1:7">
      <c r="A3580" s="3">
        <v>12</v>
      </c>
      <c r="B3580" s="3">
        <v>4</v>
      </c>
      <c r="C3580" s="3">
        <v>87</v>
      </c>
      <c r="D3580" s="3">
        <v>53</v>
      </c>
      <c r="E3580" s="3">
        <v>-583.265</v>
      </c>
      <c r="F3580" s="4" t="str">
        <f>HYPERLINK("http://141.218.60.56/~jnz1568/getInfo.php?workbook=12_04.xlsx&amp;sheet=A0&amp;row=3580&amp;col=6&amp;number=1310000000&amp;sourceID=14","1310000000")</f>
        <v>1310000000</v>
      </c>
      <c r="G3580" s="4" t="str">
        <f>HYPERLINK("http://141.218.60.56/~jnz1568/getInfo.php?workbook=12_04.xlsx&amp;sheet=A0&amp;row=3580&amp;col=7&amp;number=0&amp;sourceID=14","0")</f>
        <v>0</v>
      </c>
    </row>
    <row r="3581" spans="1:7">
      <c r="A3581" s="3">
        <v>12</v>
      </c>
      <c r="B3581" s="3">
        <v>4</v>
      </c>
      <c r="C3581" s="3">
        <v>88</v>
      </c>
      <c r="D3581" s="3">
        <v>53</v>
      </c>
      <c r="E3581" s="3">
        <v>-580.613</v>
      </c>
      <c r="F3581" s="4" t="str">
        <f>HYPERLINK("http://141.218.60.56/~jnz1568/getInfo.php?workbook=12_04.xlsx&amp;sheet=A0&amp;row=3581&amp;col=6&amp;number=100&amp;sourceID=14","100")</f>
        <v>100</v>
      </c>
      <c r="G3581" s="4" t="str">
        <f>HYPERLINK("http://141.218.60.56/~jnz1568/getInfo.php?workbook=12_04.xlsx&amp;sheet=A0&amp;row=3581&amp;col=7&amp;number=0&amp;sourceID=14","0")</f>
        <v>0</v>
      </c>
    </row>
    <row r="3582" spans="1:7">
      <c r="A3582" s="3">
        <v>12</v>
      </c>
      <c r="B3582" s="3">
        <v>4</v>
      </c>
      <c r="C3582" s="3">
        <v>89</v>
      </c>
      <c r="D3582" s="3">
        <v>53</v>
      </c>
      <c r="E3582" s="3">
        <v>-579.057</v>
      </c>
      <c r="F3582" s="4" t="str">
        <f>HYPERLINK("http://141.218.60.56/~jnz1568/getInfo.php?workbook=12_04.xlsx&amp;sheet=A0&amp;row=3582&amp;col=6&amp;number=5.21e-09&amp;sourceID=14","5.21e-09")</f>
        <v>5.21e-09</v>
      </c>
      <c r="G3582" s="4" t="str">
        <f>HYPERLINK("http://141.218.60.56/~jnz1568/getInfo.php?workbook=12_04.xlsx&amp;sheet=A0&amp;row=3582&amp;col=7&amp;number=0&amp;sourceID=14","0")</f>
        <v>0</v>
      </c>
    </row>
    <row r="3583" spans="1:7">
      <c r="A3583" s="3">
        <v>12</v>
      </c>
      <c r="B3583" s="3">
        <v>4</v>
      </c>
      <c r="C3583" s="3">
        <v>90</v>
      </c>
      <c r="D3583" s="3">
        <v>53</v>
      </c>
      <c r="E3583" s="3">
        <v>-574.486</v>
      </c>
      <c r="F3583" s="4" t="str">
        <f>HYPERLINK("http://141.218.60.56/~jnz1568/getInfo.php?workbook=12_04.xlsx&amp;sheet=A0&amp;row=3583&amp;col=6&amp;number=9.63e-11&amp;sourceID=14","9.63e-11")</f>
        <v>9.63e-11</v>
      </c>
      <c r="G3583" s="4" t="str">
        <f>HYPERLINK("http://141.218.60.56/~jnz1568/getInfo.php?workbook=12_04.xlsx&amp;sheet=A0&amp;row=3583&amp;col=7&amp;number=0&amp;sourceID=14","0")</f>
        <v>0</v>
      </c>
    </row>
    <row r="3584" spans="1:7">
      <c r="A3584" s="3">
        <v>12</v>
      </c>
      <c r="B3584" s="3">
        <v>4</v>
      </c>
      <c r="C3584" s="3">
        <v>91</v>
      </c>
      <c r="D3584" s="3">
        <v>53</v>
      </c>
      <c r="E3584" s="3">
        <v>-570.491</v>
      </c>
      <c r="F3584" s="4" t="str">
        <f>HYPERLINK("http://141.218.60.56/~jnz1568/getInfo.php?workbook=12_04.xlsx&amp;sheet=A0&amp;row=3584&amp;col=6&amp;number=0.7&amp;sourceID=14","0.7")</f>
        <v>0.7</v>
      </c>
      <c r="G3584" s="4" t="str">
        <f>HYPERLINK("http://141.218.60.56/~jnz1568/getInfo.php?workbook=12_04.xlsx&amp;sheet=A0&amp;row=3584&amp;col=7&amp;number=0&amp;sourceID=14","0")</f>
        <v>0</v>
      </c>
    </row>
    <row r="3585" spans="1:7">
      <c r="A3585" s="3">
        <v>12</v>
      </c>
      <c r="B3585" s="3">
        <v>4</v>
      </c>
      <c r="C3585" s="3">
        <v>92</v>
      </c>
      <c r="D3585" s="3">
        <v>53</v>
      </c>
      <c r="E3585" s="3">
        <v>-569.558</v>
      </c>
      <c r="F3585" s="4" t="str">
        <f>HYPERLINK("http://141.218.60.56/~jnz1568/getInfo.php?workbook=12_04.xlsx&amp;sheet=A0&amp;row=3585&amp;col=6&amp;number=3.63e-08&amp;sourceID=14","3.63e-08")</f>
        <v>3.63e-08</v>
      </c>
      <c r="G3585" s="4" t="str">
        <f>HYPERLINK("http://141.218.60.56/~jnz1568/getInfo.php?workbook=12_04.xlsx&amp;sheet=A0&amp;row=3585&amp;col=7&amp;number=0&amp;sourceID=14","0")</f>
        <v>0</v>
      </c>
    </row>
    <row r="3586" spans="1:7">
      <c r="A3586" s="3">
        <v>12</v>
      </c>
      <c r="B3586" s="3">
        <v>4</v>
      </c>
      <c r="C3586" s="3">
        <v>93</v>
      </c>
      <c r="D3586" s="3">
        <v>53</v>
      </c>
      <c r="E3586" s="3">
        <v>-568.706</v>
      </c>
      <c r="F3586" s="4" t="str">
        <f>HYPERLINK("http://141.218.60.56/~jnz1568/getInfo.php?workbook=12_04.xlsx&amp;sheet=A0&amp;row=3586&amp;col=6&amp;number=4.18&amp;sourceID=14","4.18")</f>
        <v>4.18</v>
      </c>
      <c r="G3586" s="4" t="str">
        <f>HYPERLINK("http://141.218.60.56/~jnz1568/getInfo.php?workbook=12_04.xlsx&amp;sheet=A0&amp;row=3586&amp;col=7&amp;number=0&amp;sourceID=14","0")</f>
        <v>0</v>
      </c>
    </row>
    <row r="3587" spans="1:7">
      <c r="A3587" s="3">
        <v>12</v>
      </c>
      <c r="B3587" s="3">
        <v>4</v>
      </c>
      <c r="C3587" s="3">
        <v>94</v>
      </c>
      <c r="D3587" s="3">
        <v>53</v>
      </c>
      <c r="E3587" s="3">
        <v>-565.596</v>
      </c>
      <c r="F3587" s="4" t="str">
        <f>HYPERLINK("http://141.218.60.56/~jnz1568/getInfo.php?workbook=12_04.xlsx&amp;sheet=A0&amp;row=3587&amp;col=6&amp;number=1.18&amp;sourceID=14","1.18")</f>
        <v>1.18</v>
      </c>
      <c r="G3587" s="4" t="str">
        <f>HYPERLINK("http://141.218.60.56/~jnz1568/getInfo.php?workbook=12_04.xlsx&amp;sheet=A0&amp;row=3587&amp;col=7&amp;number=0&amp;sourceID=14","0")</f>
        <v>0</v>
      </c>
    </row>
    <row r="3588" spans="1:7">
      <c r="A3588" s="3">
        <v>12</v>
      </c>
      <c r="B3588" s="3">
        <v>4</v>
      </c>
      <c r="C3588" s="3">
        <v>95</v>
      </c>
      <c r="D3588" s="3">
        <v>53</v>
      </c>
      <c r="E3588" s="3">
        <v>-563.575</v>
      </c>
      <c r="F3588" s="4" t="str">
        <f>HYPERLINK("http://141.218.60.56/~jnz1568/getInfo.php?workbook=12_04.xlsx&amp;sheet=A0&amp;row=3588&amp;col=6&amp;number=8.62e-05&amp;sourceID=14","8.62e-05")</f>
        <v>8.62e-05</v>
      </c>
      <c r="G3588" s="4" t="str">
        <f>HYPERLINK("http://141.218.60.56/~jnz1568/getInfo.php?workbook=12_04.xlsx&amp;sheet=A0&amp;row=3588&amp;col=7&amp;number=0&amp;sourceID=14","0")</f>
        <v>0</v>
      </c>
    </row>
    <row r="3589" spans="1:7">
      <c r="A3589" s="3">
        <v>12</v>
      </c>
      <c r="B3589" s="3">
        <v>4</v>
      </c>
      <c r="C3589" s="3">
        <v>96</v>
      </c>
      <c r="D3589" s="3">
        <v>53</v>
      </c>
      <c r="E3589" s="3">
        <v>-561.717</v>
      </c>
      <c r="F3589" s="4" t="str">
        <f>HYPERLINK("http://141.218.60.56/~jnz1568/getInfo.php?workbook=12_04.xlsx&amp;sheet=A0&amp;row=3589&amp;col=6&amp;number=0.00329&amp;sourceID=14","0.00329")</f>
        <v>0.00329</v>
      </c>
      <c r="G3589" s="4" t="str">
        <f>HYPERLINK("http://141.218.60.56/~jnz1568/getInfo.php?workbook=12_04.xlsx&amp;sheet=A0&amp;row=3589&amp;col=7&amp;number=0&amp;sourceID=14","0")</f>
        <v>0</v>
      </c>
    </row>
    <row r="3590" spans="1:7">
      <c r="A3590" s="3">
        <v>12</v>
      </c>
      <c r="B3590" s="3">
        <v>4</v>
      </c>
      <c r="C3590" s="3">
        <v>97</v>
      </c>
      <c r="D3590" s="3">
        <v>53</v>
      </c>
      <c r="E3590" s="3">
        <v>566.252</v>
      </c>
      <c r="F3590" s="4" t="str">
        <f>HYPERLINK("http://141.218.60.56/~jnz1568/getInfo.php?workbook=12_04.xlsx&amp;sheet=A0&amp;row=3590&amp;col=6&amp;number=0.109&amp;sourceID=14","0.109")</f>
        <v>0.109</v>
      </c>
      <c r="G3590" s="4" t="str">
        <f>HYPERLINK("http://141.218.60.56/~jnz1568/getInfo.php?workbook=12_04.xlsx&amp;sheet=A0&amp;row=3590&amp;col=7&amp;number=0&amp;sourceID=14","0")</f>
        <v>0</v>
      </c>
    </row>
    <row r="3591" spans="1:7">
      <c r="A3591" s="3">
        <v>12</v>
      </c>
      <c r="B3591" s="3">
        <v>4</v>
      </c>
      <c r="C3591" s="3">
        <v>98</v>
      </c>
      <c r="D3591" s="3">
        <v>53</v>
      </c>
      <c r="E3591" s="3">
        <v>560.728</v>
      </c>
      <c r="F3591" s="4" t="str">
        <f>HYPERLINK("http://141.218.60.56/~jnz1568/getInfo.php?workbook=12_04.xlsx&amp;sheet=A0&amp;row=3591&amp;col=6&amp;number=2520000&amp;sourceID=14","2520000")</f>
        <v>2520000</v>
      </c>
      <c r="G3591" s="4" t="str">
        <f>HYPERLINK("http://141.218.60.56/~jnz1568/getInfo.php?workbook=12_04.xlsx&amp;sheet=A0&amp;row=3591&amp;col=7&amp;number=0&amp;sourceID=14","0")</f>
        <v>0</v>
      </c>
    </row>
    <row r="3592" spans="1:7">
      <c r="A3592" s="3">
        <v>12</v>
      </c>
      <c r="B3592" s="3">
        <v>4</v>
      </c>
      <c r="C3592" s="3">
        <v>55</v>
      </c>
      <c r="D3592" s="3">
        <v>54</v>
      </c>
      <c r="E3592" s="3">
        <v>1250002.25</v>
      </c>
      <c r="F3592" s="4" t="str">
        <f>HYPERLINK("http://141.218.60.56/~jnz1568/getInfo.php?workbook=12_04.xlsx&amp;sheet=A0&amp;row=3592&amp;col=6&amp;number=9.2e-06&amp;sourceID=14","9.2e-06")</f>
        <v>9.2e-06</v>
      </c>
      <c r="G3592" s="4" t="str">
        <f>HYPERLINK("http://141.218.60.56/~jnz1568/getInfo.php?workbook=12_04.xlsx&amp;sheet=A0&amp;row=3592&amp;col=7&amp;number=0&amp;sourceID=14","0")</f>
        <v>0</v>
      </c>
    </row>
    <row r="3593" spans="1:7">
      <c r="A3593" s="3">
        <v>12</v>
      </c>
      <c r="B3593" s="3">
        <v>4</v>
      </c>
      <c r="C3593" s="3">
        <v>56</v>
      </c>
      <c r="D3593" s="3">
        <v>54</v>
      </c>
      <c r="E3593" s="3">
        <v>12626.286</v>
      </c>
      <c r="F3593" s="4" t="str">
        <f>HYPERLINK("http://141.218.60.56/~jnz1568/getInfo.php?workbook=12_04.xlsx&amp;sheet=A0&amp;row=3593&amp;col=6&amp;number=0.000115&amp;sourceID=14","0.000115")</f>
        <v>0.000115</v>
      </c>
      <c r="G3593" s="4" t="str">
        <f>HYPERLINK("http://141.218.60.56/~jnz1568/getInfo.php?workbook=12_04.xlsx&amp;sheet=A0&amp;row=3593&amp;col=7&amp;number=0&amp;sourceID=14","0")</f>
        <v>0</v>
      </c>
    </row>
    <row r="3594" spans="1:7">
      <c r="A3594" s="3">
        <v>12</v>
      </c>
      <c r="B3594" s="3">
        <v>4</v>
      </c>
      <c r="C3594" s="3">
        <v>57</v>
      </c>
      <c r="D3594" s="3">
        <v>54</v>
      </c>
      <c r="E3594" s="3">
        <v>-11160.734</v>
      </c>
      <c r="F3594" s="4" t="str">
        <f>HYPERLINK("http://141.218.60.56/~jnz1568/getInfo.php?workbook=12_04.xlsx&amp;sheet=A0&amp;row=3594&amp;col=6&amp;number=207000&amp;sourceID=14","207000")</f>
        <v>207000</v>
      </c>
      <c r="G3594" s="4" t="str">
        <f>HYPERLINK("http://141.218.60.56/~jnz1568/getInfo.php?workbook=12_04.xlsx&amp;sheet=A0&amp;row=3594&amp;col=7&amp;number=0&amp;sourceID=14","0")</f>
        <v>0</v>
      </c>
    </row>
    <row r="3595" spans="1:7">
      <c r="A3595" s="3">
        <v>12</v>
      </c>
      <c r="B3595" s="3">
        <v>4</v>
      </c>
      <c r="C3595" s="3">
        <v>58</v>
      </c>
      <c r="D3595" s="3">
        <v>54</v>
      </c>
      <c r="E3595" s="3">
        <v>-11124.728</v>
      </c>
      <c r="F3595" s="4" t="str">
        <f>HYPERLINK("http://141.218.60.56/~jnz1568/getInfo.php?workbook=12_04.xlsx&amp;sheet=A0&amp;row=3595&amp;col=6&amp;number=1200000&amp;sourceID=14","1200000")</f>
        <v>1200000</v>
      </c>
      <c r="G3595" s="4" t="str">
        <f>HYPERLINK("http://141.218.60.56/~jnz1568/getInfo.php?workbook=12_04.xlsx&amp;sheet=A0&amp;row=3595&amp;col=7&amp;number=0&amp;sourceID=14","0")</f>
        <v>0</v>
      </c>
    </row>
    <row r="3596" spans="1:7">
      <c r="A3596" s="3">
        <v>12</v>
      </c>
      <c r="B3596" s="3">
        <v>4</v>
      </c>
      <c r="C3596" s="3">
        <v>59</v>
      </c>
      <c r="D3596" s="3">
        <v>54</v>
      </c>
      <c r="E3596" s="3">
        <v>-11077.897</v>
      </c>
      <c r="F3596" s="4" t="str">
        <f>HYPERLINK("http://141.218.60.56/~jnz1568/getInfo.php?workbook=12_04.xlsx&amp;sheet=A0&amp;row=3596&amp;col=6&amp;number=2.6e-08&amp;sourceID=14","2.6e-08")</f>
        <v>2.6e-08</v>
      </c>
      <c r="G3596" s="4" t="str">
        <f>HYPERLINK("http://141.218.60.56/~jnz1568/getInfo.php?workbook=12_04.xlsx&amp;sheet=A0&amp;row=3596&amp;col=7&amp;number=0&amp;sourceID=14","0")</f>
        <v>0</v>
      </c>
    </row>
    <row r="3597" spans="1:7">
      <c r="A3597" s="3">
        <v>12</v>
      </c>
      <c r="B3597" s="3">
        <v>4</v>
      </c>
      <c r="C3597" s="3">
        <v>60</v>
      </c>
      <c r="D3597" s="3">
        <v>54</v>
      </c>
      <c r="E3597" s="3">
        <v>-8655.776</v>
      </c>
      <c r="F3597" s="4" t="str">
        <f>HYPERLINK("http://141.218.60.56/~jnz1568/getInfo.php?workbook=12_04.xlsx&amp;sheet=A0&amp;row=3597&amp;col=6&amp;number=9.32&amp;sourceID=14","9.32")</f>
        <v>9.32</v>
      </c>
      <c r="G3597" s="4" t="str">
        <f>HYPERLINK("http://141.218.60.56/~jnz1568/getInfo.php?workbook=12_04.xlsx&amp;sheet=A0&amp;row=3597&amp;col=7&amp;number=0&amp;sourceID=14","0")</f>
        <v>0</v>
      </c>
    </row>
    <row r="3598" spans="1:7">
      <c r="A3598" s="3">
        <v>12</v>
      </c>
      <c r="B3598" s="3">
        <v>4</v>
      </c>
      <c r="C3598" s="3">
        <v>61</v>
      </c>
      <c r="D3598" s="3">
        <v>54</v>
      </c>
      <c r="E3598" s="3">
        <v>-785.782</v>
      </c>
      <c r="F3598" s="4" t="str">
        <f>HYPERLINK("http://141.218.60.56/~jnz1568/getInfo.php?workbook=12_04.xlsx&amp;sheet=A0&amp;row=3598&amp;col=6&amp;number=0.0038&amp;sourceID=14","0.0038")</f>
        <v>0.0038</v>
      </c>
      <c r="G3598" s="4" t="str">
        <f>HYPERLINK("http://141.218.60.56/~jnz1568/getInfo.php?workbook=12_04.xlsx&amp;sheet=A0&amp;row=3598&amp;col=7&amp;number=0&amp;sourceID=14","0")</f>
        <v>0</v>
      </c>
    </row>
    <row r="3599" spans="1:7">
      <c r="A3599" s="3">
        <v>12</v>
      </c>
      <c r="B3599" s="3">
        <v>4</v>
      </c>
      <c r="C3599" s="3">
        <v>62</v>
      </c>
      <c r="D3599" s="3">
        <v>54</v>
      </c>
      <c r="E3599" s="3">
        <v>-780.154</v>
      </c>
      <c r="F3599" s="4" t="str">
        <f>HYPERLINK("http://141.218.60.56/~jnz1568/getInfo.php?workbook=12_04.xlsx&amp;sheet=A0&amp;row=3599&amp;col=6&amp;number=6960000&amp;sourceID=14","6960000")</f>
        <v>6960000</v>
      </c>
      <c r="G3599" s="4" t="str">
        <f>HYPERLINK("http://141.218.60.56/~jnz1568/getInfo.php?workbook=12_04.xlsx&amp;sheet=A0&amp;row=3599&amp;col=7&amp;number=0&amp;sourceID=14","0")</f>
        <v>0</v>
      </c>
    </row>
    <row r="3600" spans="1:7">
      <c r="A3600" s="3">
        <v>12</v>
      </c>
      <c r="B3600" s="3">
        <v>4</v>
      </c>
      <c r="C3600" s="3">
        <v>63</v>
      </c>
      <c r="D3600" s="3">
        <v>54</v>
      </c>
      <c r="E3600" s="3">
        <v>-762.429</v>
      </c>
      <c r="F3600" s="4" t="str">
        <f>HYPERLINK("http://141.218.60.56/~jnz1568/getInfo.php?workbook=12_04.xlsx&amp;sheet=A0&amp;row=3600&amp;col=6&amp;number=1550000&amp;sourceID=14","1550000")</f>
        <v>1550000</v>
      </c>
      <c r="G3600" s="4" t="str">
        <f>HYPERLINK("http://141.218.60.56/~jnz1568/getInfo.php?workbook=12_04.xlsx&amp;sheet=A0&amp;row=3600&amp;col=7&amp;number=0&amp;sourceID=14","0")</f>
        <v>0</v>
      </c>
    </row>
    <row r="3601" spans="1:7">
      <c r="A3601" s="3">
        <v>12</v>
      </c>
      <c r="B3601" s="3">
        <v>4</v>
      </c>
      <c r="C3601" s="3">
        <v>64</v>
      </c>
      <c r="D3601" s="3">
        <v>54</v>
      </c>
      <c r="E3601" s="3">
        <v>-727.809</v>
      </c>
      <c r="F3601" s="4" t="str">
        <f>HYPERLINK("http://141.218.60.56/~jnz1568/getInfo.php?workbook=12_04.xlsx&amp;sheet=A0&amp;row=3601&amp;col=6&amp;number=423000&amp;sourceID=14","423000")</f>
        <v>423000</v>
      </c>
      <c r="G3601" s="4" t="str">
        <f>HYPERLINK("http://141.218.60.56/~jnz1568/getInfo.php?workbook=12_04.xlsx&amp;sheet=A0&amp;row=3601&amp;col=7&amp;number=0&amp;sourceID=14","0")</f>
        <v>0</v>
      </c>
    </row>
    <row r="3602" spans="1:7">
      <c r="A3602" s="3">
        <v>12</v>
      </c>
      <c r="B3602" s="3">
        <v>4</v>
      </c>
      <c r="C3602" s="3">
        <v>65</v>
      </c>
      <c r="D3602" s="3">
        <v>54</v>
      </c>
      <c r="E3602" s="3">
        <v>-690.009</v>
      </c>
      <c r="F3602" s="4" t="str">
        <f>HYPERLINK("http://141.218.60.56/~jnz1568/getInfo.php?workbook=12_04.xlsx&amp;sheet=A0&amp;row=3602&amp;col=6&amp;number=3.32&amp;sourceID=14","3.32")</f>
        <v>3.32</v>
      </c>
      <c r="G3602" s="4" t="str">
        <f>HYPERLINK("http://141.218.60.56/~jnz1568/getInfo.php?workbook=12_04.xlsx&amp;sheet=A0&amp;row=3602&amp;col=7&amp;number=0&amp;sourceID=14","0")</f>
        <v>0</v>
      </c>
    </row>
    <row r="3603" spans="1:7">
      <c r="A3603" s="3">
        <v>12</v>
      </c>
      <c r="B3603" s="3">
        <v>4</v>
      </c>
      <c r="C3603" s="3">
        <v>66</v>
      </c>
      <c r="D3603" s="3">
        <v>54</v>
      </c>
      <c r="E3603" s="3">
        <v>-678.068</v>
      </c>
      <c r="F3603" s="4" t="str">
        <f>HYPERLINK("http://141.218.60.56/~jnz1568/getInfo.php?workbook=12_04.xlsx&amp;sheet=A0&amp;row=3603&amp;col=6&amp;number=0.0467&amp;sourceID=14","0.0467")</f>
        <v>0.0467</v>
      </c>
      <c r="G3603" s="4" t="str">
        <f>HYPERLINK("http://141.218.60.56/~jnz1568/getInfo.php?workbook=12_04.xlsx&amp;sheet=A0&amp;row=3603&amp;col=7&amp;number=0&amp;sourceID=14","0")</f>
        <v>0</v>
      </c>
    </row>
    <row r="3604" spans="1:7">
      <c r="A3604" s="3">
        <v>12</v>
      </c>
      <c r="B3604" s="3">
        <v>4</v>
      </c>
      <c r="C3604" s="3">
        <v>67</v>
      </c>
      <c r="D3604" s="3">
        <v>54</v>
      </c>
      <c r="E3604" s="3">
        <v>-676.001</v>
      </c>
      <c r="F3604" s="4" t="str">
        <f>HYPERLINK("http://141.218.60.56/~jnz1568/getInfo.php?workbook=12_04.xlsx&amp;sheet=A0&amp;row=3604&amp;col=6&amp;number=0.163&amp;sourceID=14","0.163")</f>
        <v>0.163</v>
      </c>
      <c r="G3604" s="4" t="str">
        <f>HYPERLINK("http://141.218.60.56/~jnz1568/getInfo.php?workbook=12_04.xlsx&amp;sheet=A0&amp;row=3604&amp;col=7&amp;number=0&amp;sourceID=14","0")</f>
        <v>0</v>
      </c>
    </row>
    <row r="3605" spans="1:7">
      <c r="A3605" s="3">
        <v>12</v>
      </c>
      <c r="B3605" s="3">
        <v>4</v>
      </c>
      <c r="C3605" s="3">
        <v>68</v>
      </c>
      <c r="D3605" s="3">
        <v>54</v>
      </c>
      <c r="E3605" s="3">
        <v>667.736</v>
      </c>
      <c r="F3605" s="4" t="str">
        <f>HYPERLINK("http://141.218.60.56/~jnz1568/getInfo.php?workbook=12_04.xlsx&amp;sheet=A0&amp;row=3605&amp;col=6&amp;number=0.482&amp;sourceID=14","0.482")</f>
        <v>0.482</v>
      </c>
      <c r="G3605" s="4" t="str">
        <f>HYPERLINK("http://141.218.60.56/~jnz1568/getInfo.php?workbook=12_04.xlsx&amp;sheet=A0&amp;row=3605&amp;col=7&amp;number=0&amp;sourceID=14","0")</f>
        <v>0</v>
      </c>
    </row>
    <row r="3606" spans="1:7">
      <c r="A3606" s="3">
        <v>12</v>
      </c>
      <c r="B3606" s="3">
        <v>4</v>
      </c>
      <c r="C3606" s="3">
        <v>69</v>
      </c>
      <c r="D3606" s="3">
        <v>54</v>
      </c>
      <c r="E3606" s="3">
        <v>-652.466</v>
      </c>
      <c r="F3606" s="4" t="str">
        <f>HYPERLINK("http://141.218.60.56/~jnz1568/getInfo.php?workbook=12_04.xlsx&amp;sheet=A0&amp;row=3606&amp;col=6&amp;number=67.6&amp;sourceID=14","67.6")</f>
        <v>67.6</v>
      </c>
      <c r="G3606" s="4" t="str">
        <f>HYPERLINK("http://141.218.60.56/~jnz1568/getInfo.php?workbook=12_04.xlsx&amp;sheet=A0&amp;row=3606&amp;col=7&amp;number=0&amp;sourceID=14","0")</f>
        <v>0</v>
      </c>
    </row>
    <row r="3607" spans="1:7">
      <c r="A3607" s="3">
        <v>12</v>
      </c>
      <c r="B3607" s="3">
        <v>4</v>
      </c>
      <c r="C3607" s="3">
        <v>70</v>
      </c>
      <c r="D3607" s="3">
        <v>54</v>
      </c>
      <c r="E3607" s="3">
        <v>-649.786</v>
      </c>
      <c r="F3607" s="4" t="str">
        <f>HYPERLINK("http://141.218.60.56/~jnz1568/getInfo.php?workbook=12_04.xlsx&amp;sheet=A0&amp;row=3607&amp;col=6&amp;number=191&amp;sourceID=14","191")</f>
        <v>191</v>
      </c>
      <c r="G3607" s="4" t="str">
        <f>HYPERLINK("http://141.218.60.56/~jnz1568/getInfo.php?workbook=12_04.xlsx&amp;sheet=A0&amp;row=3607&amp;col=7&amp;number=0&amp;sourceID=14","0")</f>
        <v>0</v>
      </c>
    </row>
    <row r="3608" spans="1:7">
      <c r="A3608" s="3">
        <v>12</v>
      </c>
      <c r="B3608" s="3">
        <v>4</v>
      </c>
      <c r="C3608" s="3">
        <v>71</v>
      </c>
      <c r="D3608" s="3">
        <v>54</v>
      </c>
      <c r="E3608" s="3">
        <v>-641.734</v>
      </c>
      <c r="F3608" s="4" t="str">
        <f>HYPERLINK("http://141.218.60.56/~jnz1568/getInfo.php?workbook=12_04.xlsx&amp;sheet=A0&amp;row=3608&amp;col=6&amp;number=115&amp;sourceID=14","115")</f>
        <v>115</v>
      </c>
      <c r="G3608" s="4" t="str">
        <f>HYPERLINK("http://141.218.60.56/~jnz1568/getInfo.php?workbook=12_04.xlsx&amp;sheet=A0&amp;row=3608&amp;col=7&amp;number=0&amp;sourceID=14","0")</f>
        <v>0</v>
      </c>
    </row>
    <row r="3609" spans="1:7">
      <c r="A3609" s="3">
        <v>12</v>
      </c>
      <c r="B3609" s="3">
        <v>4</v>
      </c>
      <c r="C3609" s="3">
        <v>72</v>
      </c>
      <c r="D3609" s="3">
        <v>54</v>
      </c>
      <c r="E3609" s="3">
        <v>643.585</v>
      </c>
      <c r="F3609" s="4" t="str">
        <f>HYPERLINK("http://141.218.60.56/~jnz1568/getInfo.php?workbook=12_04.xlsx&amp;sheet=A0&amp;row=3609&amp;col=6&amp;number=70.1&amp;sourceID=14","70.1")</f>
        <v>70.1</v>
      </c>
      <c r="G3609" s="4" t="str">
        <f>HYPERLINK("http://141.218.60.56/~jnz1568/getInfo.php?workbook=12_04.xlsx&amp;sheet=A0&amp;row=3609&amp;col=7&amp;number=0&amp;sourceID=14","0")</f>
        <v>0</v>
      </c>
    </row>
    <row r="3610" spans="1:7">
      <c r="A3610" s="3">
        <v>12</v>
      </c>
      <c r="B3610" s="3">
        <v>4</v>
      </c>
      <c r="C3610" s="3">
        <v>73</v>
      </c>
      <c r="D3610" s="3">
        <v>54</v>
      </c>
      <c r="E3610" s="3">
        <v>-627.625</v>
      </c>
      <c r="F3610" s="4" t="str">
        <f>HYPERLINK("http://141.218.60.56/~jnz1568/getInfo.php?workbook=12_04.xlsx&amp;sheet=A0&amp;row=3610&amp;col=6&amp;number=94200000&amp;sourceID=14","94200000")</f>
        <v>94200000</v>
      </c>
      <c r="G3610" s="4" t="str">
        <f>HYPERLINK("http://141.218.60.56/~jnz1568/getInfo.php?workbook=12_04.xlsx&amp;sheet=A0&amp;row=3610&amp;col=7&amp;number=0&amp;sourceID=14","0")</f>
        <v>0</v>
      </c>
    </row>
    <row r="3611" spans="1:7">
      <c r="A3611" s="3">
        <v>12</v>
      </c>
      <c r="B3611" s="3">
        <v>4</v>
      </c>
      <c r="C3611" s="3">
        <v>74</v>
      </c>
      <c r="D3611" s="3">
        <v>54</v>
      </c>
      <c r="E3611" s="3">
        <v>-620.191</v>
      </c>
      <c r="F3611" s="4" t="str">
        <f>HYPERLINK("http://141.218.60.56/~jnz1568/getInfo.php?workbook=12_04.xlsx&amp;sheet=A0&amp;row=3611&amp;col=6&amp;number=367000000&amp;sourceID=14","367000000")</f>
        <v>367000000</v>
      </c>
      <c r="G3611" s="4" t="str">
        <f>HYPERLINK("http://141.218.60.56/~jnz1568/getInfo.php?workbook=12_04.xlsx&amp;sheet=A0&amp;row=3611&amp;col=7&amp;number=0&amp;sourceID=14","0")</f>
        <v>0</v>
      </c>
    </row>
    <row r="3612" spans="1:7">
      <c r="A3612" s="3">
        <v>12</v>
      </c>
      <c r="B3612" s="3">
        <v>4</v>
      </c>
      <c r="C3612" s="3">
        <v>75</v>
      </c>
      <c r="D3612" s="3">
        <v>54</v>
      </c>
      <c r="E3612" s="3">
        <v>620.195</v>
      </c>
      <c r="F3612" s="4" t="str">
        <f>HYPERLINK("http://141.218.60.56/~jnz1568/getInfo.php?workbook=12_04.xlsx&amp;sheet=A0&amp;row=3612&amp;col=6&amp;number=57800000&amp;sourceID=14","57800000")</f>
        <v>57800000</v>
      </c>
      <c r="G3612" s="4" t="str">
        <f>HYPERLINK("http://141.218.60.56/~jnz1568/getInfo.php?workbook=12_04.xlsx&amp;sheet=A0&amp;row=3612&amp;col=7&amp;number=0&amp;sourceID=14","0")</f>
        <v>0</v>
      </c>
    </row>
    <row r="3613" spans="1:7">
      <c r="A3613" s="3">
        <v>12</v>
      </c>
      <c r="B3613" s="3">
        <v>4</v>
      </c>
      <c r="C3613" s="3">
        <v>76</v>
      </c>
      <c r="D3613" s="3">
        <v>54</v>
      </c>
      <c r="E3613" s="3">
        <v>620.695</v>
      </c>
      <c r="F3613" s="4" t="str">
        <f>HYPERLINK("http://141.218.60.56/~jnz1568/getInfo.php?workbook=12_04.xlsx&amp;sheet=A0&amp;row=3613&amp;col=6&amp;number=1.02&amp;sourceID=14","1.02")</f>
        <v>1.02</v>
      </c>
      <c r="G3613" s="4" t="str">
        <f>HYPERLINK("http://141.218.60.56/~jnz1568/getInfo.php?workbook=12_04.xlsx&amp;sheet=A0&amp;row=3613&amp;col=7&amp;number=0&amp;sourceID=14","0")</f>
        <v>0</v>
      </c>
    </row>
    <row r="3614" spans="1:7">
      <c r="A3614" s="3">
        <v>12</v>
      </c>
      <c r="B3614" s="3">
        <v>4</v>
      </c>
      <c r="C3614" s="3">
        <v>77</v>
      </c>
      <c r="D3614" s="3">
        <v>54</v>
      </c>
      <c r="E3614" s="3">
        <v>-611.936</v>
      </c>
      <c r="F3614" s="4" t="str">
        <f>HYPERLINK("http://141.218.60.56/~jnz1568/getInfo.php?workbook=12_04.xlsx&amp;sheet=A0&amp;row=3614&amp;col=6&amp;number=0.0455&amp;sourceID=14","0.0455")</f>
        <v>0.0455</v>
      </c>
      <c r="G3614" s="4" t="str">
        <f>HYPERLINK("http://141.218.60.56/~jnz1568/getInfo.php?workbook=12_04.xlsx&amp;sheet=A0&amp;row=3614&amp;col=7&amp;number=0&amp;sourceID=14","0")</f>
        <v>0</v>
      </c>
    </row>
    <row r="3615" spans="1:7">
      <c r="A3615" s="3">
        <v>12</v>
      </c>
      <c r="B3615" s="3">
        <v>4</v>
      </c>
      <c r="C3615" s="3">
        <v>78</v>
      </c>
      <c r="D3615" s="3">
        <v>54</v>
      </c>
      <c r="E3615" s="3">
        <v>-600.89</v>
      </c>
      <c r="F3615" s="4" t="str">
        <f>HYPERLINK("http://141.218.60.56/~jnz1568/getInfo.php?workbook=12_04.xlsx&amp;sheet=A0&amp;row=3615&amp;col=6&amp;number=526000000&amp;sourceID=14","526000000")</f>
        <v>526000000</v>
      </c>
      <c r="G3615" s="4" t="str">
        <f>HYPERLINK("http://141.218.60.56/~jnz1568/getInfo.php?workbook=12_04.xlsx&amp;sheet=A0&amp;row=3615&amp;col=7&amp;number=0&amp;sourceID=14","0")</f>
        <v>0</v>
      </c>
    </row>
    <row r="3616" spans="1:7">
      <c r="A3616" s="3">
        <v>12</v>
      </c>
      <c r="B3616" s="3">
        <v>4</v>
      </c>
      <c r="C3616" s="3">
        <v>79</v>
      </c>
      <c r="D3616" s="3">
        <v>54</v>
      </c>
      <c r="E3616" s="3">
        <v>-598.664</v>
      </c>
      <c r="F3616" s="4" t="str">
        <f>HYPERLINK("http://141.218.60.56/~jnz1568/getInfo.php?workbook=12_04.xlsx&amp;sheet=A0&amp;row=3616&amp;col=6&amp;number=240000000&amp;sourceID=14","240000000")</f>
        <v>240000000</v>
      </c>
      <c r="G3616" s="4" t="str">
        <f>HYPERLINK("http://141.218.60.56/~jnz1568/getInfo.php?workbook=12_04.xlsx&amp;sheet=A0&amp;row=3616&amp;col=7&amp;number=0&amp;sourceID=14","0")</f>
        <v>0</v>
      </c>
    </row>
    <row r="3617" spans="1:7">
      <c r="A3617" s="3">
        <v>12</v>
      </c>
      <c r="B3617" s="3">
        <v>4</v>
      </c>
      <c r="C3617" s="3">
        <v>80</v>
      </c>
      <c r="D3617" s="3">
        <v>54</v>
      </c>
      <c r="E3617" s="3">
        <v>-594.249</v>
      </c>
      <c r="F3617" s="4" t="str">
        <f>HYPERLINK("http://141.218.60.56/~jnz1568/getInfo.php?workbook=12_04.xlsx&amp;sheet=A0&amp;row=3617&amp;col=6&amp;number=8.22&amp;sourceID=14","8.22")</f>
        <v>8.22</v>
      </c>
      <c r="G3617" s="4" t="str">
        <f>HYPERLINK("http://141.218.60.56/~jnz1568/getInfo.php?workbook=12_04.xlsx&amp;sheet=A0&amp;row=3617&amp;col=7&amp;number=0&amp;sourceID=14","0")</f>
        <v>0</v>
      </c>
    </row>
    <row r="3618" spans="1:7">
      <c r="A3618" s="3">
        <v>12</v>
      </c>
      <c r="B3618" s="3">
        <v>4</v>
      </c>
      <c r="C3618" s="3">
        <v>81</v>
      </c>
      <c r="D3618" s="3">
        <v>54</v>
      </c>
      <c r="E3618" s="3">
        <v>594.249</v>
      </c>
      <c r="F3618" s="4" t="str">
        <f>HYPERLINK("http://141.218.60.56/~jnz1568/getInfo.php?workbook=12_04.xlsx&amp;sheet=A0&amp;row=3618&amp;col=6&amp;number=221000000&amp;sourceID=14","221000000")</f>
        <v>221000000</v>
      </c>
      <c r="G3618" s="4" t="str">
        <f>HYPERLINK("http://141.218.60.56/~jnz1568/getInfo.php?workbook=12_04.xlsx&amp;sheet=A0&amp;row=3618&amp;col=7&amp;number=0&amp;sourceID=14","0")</f>
        <v>0</v>
      </c>
    </row>
    <row r="3619" spans="1:7">
      <c r="A3619" s="3">
        <v>12</v>
      </c>
      <c r="B3619" s="3">
        <v>4</v>
      </c>
      <c r="C3619" s="3">
        <v>82</v>
      </c>
      <c r="D3619" s="3">
        <v>54</v>
      </c>
      <c r="E3619" s="3">
        <v>-592.973</v>
      </c>
      <c r="F3619" s="4" t="str">
        <f>HYPERLINK("http://141.218.60.56/~jnz1568/getInfo.php?workbook=12_04.xlsx&amp;sheet=A0&amp;row=3619&amp;col=6&amp;number=12.2&amp;sourceID=14","12.2")</f>
        <v>12.2</v>
      </c>
      <c r="G3619" s="4" t="str">
        <f>HYPERLINK("http://141.218.60.56/~jnz1568/getInfo.php?workbook=12_04.xlsx&amp;sheet=A0&amp;row=3619&amp;col=7&amp;number=0&amp;sourceID=14","0")</f>
        <v>0</v>
      </c>
    </row>
    <row r="3620" spans="1:7">
      <c r="A3620" s="3">
        <v>12</v>
      </c>
      <c r="B3620" s="3">
        <v>4</v>
      </c>
      <c r="C3620" s="3">
        <v>83</v>
      </c>
      <c r="D3620" s="3">
        <v>54</v>
      </c>
      <c r="E3620" s="3">
        <v>-592.956</v>
      </c>
      <c r="F3620" s="4" t="str">
        <f>HYPERLINK("http://141.218.60.56/~jnz1568/getInfo.php?workbook=12_04.xlsx&amp;sheet=A0&amp;row=3620&amp;col=6&amp;number=0.00401&amp;sourceID=14","0.00401")</f>
        <v>0.00401</v>
      </c>
      <c r="G3620" s="4" t="str">
        <f>HYPERLINK("http://141.218.60.56/~jnz1568/getInfo.php?workbook=12_04.xlsx&amp;sheet=A0&amp;row=3620&amp;col=7&amp;number=0&amp;sourceID=14","0")</f>
        <v>0</v>
      </c>
    </row>
    <row r="3621" spans="1:7">
      <c r="A3621" s="3">
        <v>12</v>
      </c>
      <c r="B3621" s="3">
        <v>4</v>
      </c>
      <c r="C3621" s="3">
        <v>84</v>
      </c>
      <c r="D3621" s="3">
        <v>54</v>
      </c>
      <c r="E3621" s="3">
        <v>-591.815</v>
      </c>
      <c r="F3621" s="4" t="str">
        <f>HYPERLINK("http://141.218.60.56/~jnz1568/getInfo.php?workbook=12_04.xlsx&amp;sheet=A0&amp;row=3621&amp;col=6&amp;number=60.6&amp;sourceID=14","60.6")</f>
        <v>60.6</v>
      </c>
      <c r="G3621" s="4" t="str">
        <f>HYPERLINK("http://141.218.60.56/~jnz1568/getInfo.php?workbook=12_04.xlsx&amp;sheet=A0&amp;row=3621&amp;col=7&amp;number=0&amp;sourceID=14","0")</f>
        <v>0</v>
      </c>
    </row>
    <row r="3622" spans="1:7">
      <c r="A3622" s="3">
        <v>12</v>
      </c>
      <c r="B3622" s="3">
        <v>4</v>
      </c>
      <c r="C3622" s="3">
        <v>85</v>
      </c>
      <c r="D3622" s="3">
        <v>54</v>
      </c>
      <c r="E3622" s="3">
        <v>590.041</v>
      </c>
      <c r="F3622" s="4" t="str">
        <f>HYPERLINK("http://141.218.60.56/~jnz1568/getInfo.php?workbook=12_04.xlsx&amp;sheet=A0&amp;row=3622&amp;col=6&amp;number=564000000&amp;sourceID=14","564000000")</f>
        <v>564000000</v>
      </c>
      <c r="G3622" s="4" t="str">
        <f>HYPERLINK("http://141.218.60.56/~jnz1568/getInfo.php?workbook=12_04.xlsx&amp;sheet=A0&amp;row=3622&amp;col=7&amp;number=0&amp;sourceID=14","0")</f>
        <v>0</v>
      </c>
    </row>
    <row r="3623" spans="1:7">
      <c r="A3623" s="3">
        <v>12</v>
      </c>
      <c r="B3623" s="3">
        <v>4</v>
      </c>
      <c r="C3623" s="3">
        <v>86</v>
      </c>
      <c r="D3623" s="3">
        <v>54</v>
      </c>
      <c r="E3623" s="3">
        <v>588.236</v>
      </c>
      <c r="F3623" s="4" t="str">
        <f>HYPERLINK("http://141.218.60.56/~jnz1568/getInfo.php?workbook=12_04.xlsx&amp;sheet=A0&amp;row=3623&amp;col=6&amp;number=650000000&amp;sourceID=14","650000000")</f>
        <v>650000000</v>
      </c>
      <c r="G3623" s="4" t="str">
        <f>HYPERLINK("http://141.218.60.56/~jnz1568/getInfo.php?workbook=12_04.xlsx&amp;sheet=A0&amp;row=3623&amp;col=7&amp;number=0&amp;sourceID=14","0")</f>
        <v>0</v>
      </c>
    </row>
    <row r="3624" spans="1:7">
      <c r="A3624" s="3">
        <v>12</v>
      </c>
      <c r="B3624" s="3">
        <v>4</v>
      </c>
      <c r="C3624" s="3">
        <v>87</v>
      </c>
      <c r="D3624" s="3">
        <v>54</v>
      </c>
      <c r="E3624" s="3">
        <v>-583.425</v>
      </c>
      <c r="F3624" s="4" t="str">
        <f>HYPERLINK("http://141.218.60.56/~jnz1568/getInfo.php?workbook=12_04.xlsx&amp;sheet=A0&amp;row=3624&amp;col=6&amp;number=0.211&amp;sourceID=14","0.211")</f>
        <v>0.211</v>
      </c>
      <c r="G3624" s="4" t="str">
        <f>HYPERLINK("http://141.218.60.56/~jnz1568/getInfo.php?workbook=12_04.xlsx&amp;sheet=A0&amp;row=3624&amp;col=7&amp;number=0&amp;sourceID=14","0")</f>
        <v>0</v>
      </c>
    </row>
    <row r="3625" spans="1:7">
      <c r="A3625" s="3">
        <v>12</v>
      </c>
      <c r="B3625" s="3">
        <v>4</v>
      </c>
      <c r="C3625" s="3">
        <v>88</v>
      </c>
      <c r="D3625" s="3">
        <v>54</v>
      </c>
      <c r="E3625" s="3">
        <v>-580.772</v>
      </c>
      <c r="F3625" s="4" t="str">
        <f>HYPERLINK("http://141.218.60.56/~jnz1568/getInfo.php?workbook=12_04.xlsx&amp;sheet=A0&amp;row=3625&amp;col=6&amp;number=53.6&amp;sourceID=14","53.6")</f>
        <v>53.6</v>
      </c>
      <c r="G3625" s="4" t="str">
        <f>HYPERLINK("http://141.218.60.56/~jnz1568/getInfo.php?workbook=12_04.xlsx&amp;sheet=A0&amp;row=3625&amp;col=7&amp;number=0&amp;sourceID=14","0")</f>
        <v>0</v>
      </c>
    </row>
    <row r="3626" spans="1:7">
      <c r="A3626" s="3">
        <v>12</v>
      </c>
      <c r="B3626" s="3">
        <v>4</v>
      </c>
      <c r="C3626" s="3">
        <v>89</v>
      </c>
      <c r="D3626" s="3">
        <v>54</v>
      </c>
      <c r="E3626" s="3">
        <v>-579.214</v>
      </c>
      <c r="F3626" s="4" t="str">
        <f>HYPERLINK("http://141.218.60.56/~jnz1568/getInfo.php?workbook=12_04.xlsx&amp;sheet=A0&amp;row=3626&amp;col=6&amp;number=103&amp;sourceID=14","103")</f>
        <v>103</v>
      </c>
      <c r="G3626" s="4" t="str">
        <f>HYPERLINK("http://141.218.60.56/~jnz1568/getInfo.php?workbook=12_04.xlsx&amp;sheet=A0&amp;row=3626&amp;col=7&amp;number=0&amp;sourceID=14","0")</f>
        <v>0</v>
      </c>
    </row>
    <row r="3627" spans="1:7">
      <c r="A3627" s="3">
        <v>12</v>
      </c>
      <c r="B3627" s="3">
        <v>4</v>
      </c>
      <c r="C3627" s="3">
        <v>90</v>
      </c>
      <c r="D3627" s="3">
        <v>54</v>
      </c>
      <c r="E3627" s="3">
        <v>-574.641</v>
      </c>
      <c r="F3627" s="4" t="str">
        <f>HYPERLINK("http://141.218.60.56/~jnz1568/getInfo.php?workbook=12_04.xlsx&amp;sheet=A0&amp;row=3627&amp;col=6&amp;number=1.47e-08&amp;sourceID=14","1.47e-08")</f>
        <v>1.47e-08</v>
      </c>
      <c r="G3627" s="4" t="str">
        <f>HYPERLINK("http://141.218.60.56/~jnz1568/getInfo.php?workbook=12_04.xlsx&amp;sheet=A0&amp;row=3627&amp;col=7&amp;number=0&amp;sourceID=14","0")</f>
        <v>0</v>
      </c>
    </row>
    <row r="3628" spans="1:7">
      <c r="A3628" s="3">
        <v>12</v>
      </c>
      <c r="B3628" s="3">
        <v>4</v>
      </c>
      <c r="C3628" s="3">
        <v>91</v>
      </c>
      <c r="D3628" s="3">
        <v>54</v>
      </c>
      <c r="E3628" s="3">
        <v>-570.644</v>
      </c>
      <c r="F3628" s="4" t="str">
        <f>HYPERLINK("http://141.218.60.56/~jnz1568/getInfo.php?workbook=12_04.xlsx&amp;sheet=A0&amp;row=3628&amp;col=6&amp;number=3.57&amp;sourceID=14","3.57")</f>
        <v>3.57</v>
      </c>
      <c r="G3628" s="4" t="str">
        <f>HYPERLINK("http://141.218.60.56/~jnz1568/getInfo.php?workbook=12_04.xlsx&amp;sheet=A0&amp;row=3628&amp;col=7&amp;number=0&amp;sourceID=14","0")</f>
        <v>0</v>
      </c>
    </row>
    <row r="3629" spans="1:7">
      <c r="A3629" s="3">
        <v>12</v>
      </c>
      <c r="B3629" s="3">
        <v>4</v>
      </c>
      <c r="C3629" s="3">
        <v>92</v>
      </c>
      <c r="D3629" s="3">
        <v>54</v>
      </c>
      <c r="E3629" s="3">
        <v>-569.711</v>
      </c>
      <c r="F3629" s="4" t="str">
        <f>HYPERLINK("http://141.218.60.56/~jnz1568/getInfo.php?workbook=12_04.xlsx&amp;sheet=A0&amp;row=3629&amp;col=6&amp;number=32.6&amp;sourceID=14","32.6")</f>
        <v>32.6</v>
      </c>
      <c r="G3629" s="4" t="str">
        <f>HYPERLINK("http://141.218.60.56/~jnz1568/getInfo.php?workbook=12_04.xlsx&amp;sheet=A0&amp;row=3629&amp;col=7&amp;number=0&amp;sourceID=14","0")</f>
        <v>0</v>
      </c>
    </row>
    <row r="3630" spans="1:7">
      <c r="A3630" s="3">
        <v>12</v>
      </c>
      <c r="B3630" s="3">
        <v>4</v>
      </c>
      <c r="C3630" s="3">
        <v>93</v>
      </c>
      <c r="D3630" s="3">
        <v>54</v>
      </c>
      <c r="E3630" s="3">
        <v>-568.858</v>
      </c>
      <c r="F3630" s="4" t="str">
        <f>HYPERLINK("http://141.218.60.56/~jnz1568/getInfo.php?workbook=12_04.xlsx&amp;sheet=A0&amp;row=3630&amp;col=6&amp;number=0.00788&amp;sourceID=14","0.00788")</f>
        <v>0.00788</v>
      </c>
      <c r="G3630" s="4" t="str">
        <f>HYPERLINK("http://141.218.60.56/~jnz1568/getInfo.php?workbook=12_04.xlsx&amp;sheet=A0&amp;row=3630&amp;col=7&amp;number=0&amp;sourceID=14","0")</f>
        <v>0</v>
      </c>
    </row>
    <row r="3631" spans="1:7">
      <c r="A3631" s="3">
        <v>12</v>
      </c>
      <c r="B3631" s="3">
        <v>4</v>
      </c>
      <c r="C3631" s="3">
        <v>94</v>
      </c>
      <c r="D3631" s="3">
        <v>54</v>
      </c>
      <c r="E3631" s="3">
        <v>-565.746</v>
      </c>
      <c r="F3631" s="4" t="str">
        <f>HYPERLINK("http://141.218.60.56/~jnz1568/getInfo.php?workbook=12_04.xlsx&amp;sheet=A0&amp;row=3631&amp;col=6&amp;number=2.03&amp;sourceID=14","2.03")</f>
        <v>2.03</v>
      </c>
      <c r="G3631" s="4" t="str">
        <f>HYPERLINK("http://141.218.60.56/~jnz1568/getInfo.php?workbook=12_04.xlsx&amp;sheet=A0&amp;row=3631&amp;col=7&amp;number=0&amp;sourceID=14","0")</f>
        <v>0</v>
      </c>
    </row>
    <row r="3632" spans="1:7">
      <c r="A3632" s="3">
        <v>12</v>
      </c>
      <c r="B3632" s="3">
        <v>4</v>
      </c>
      <c r="C3632" s="3">
        <v>95</v>
      </c>
      <c r="D3632" s="3">
        <v>54</v>
      </c>
      <c r="E3632" s="3">
        <v>-563.724</v>
      </c>
      <c r="F3632" s="4" t="str">
        <f>HYPERLINK("http://141.218.60.56/~jnz1568/getInfo.php?workbook=12_04.xlsx&amp;sheet=A0&amp;row=3632&amp;col=6&amp;number=1.28&amp;sourceID=14","1.28")</f>
        <v>1.28</v>
      </c>
      <c r="G3632" s="4" t="str">
        <f>HYPERLINK("http://141.218.60.56/~jnz1568/getInfo.php?workbook=12_04.xlsx&amp;sheet=A0&amp;row=3632&amp;col=7&amp;number=0&amp;sourceID=14","0")</f>
        <v>0</v>
      </c>
    </row>
    <row r="3633" spans="1:7">
      <c r="A3633" s="3">
        <v>12</v>
      </c>
      <c r="B3633" s="3">
        <v>4</v>
      </c>
      <c r="C3633" s="3">
        <v>96</v>
      </c>
      <c r="D3633" s="3">
        <v>54</v>
      </c>
      <c r="E3633" s="3">
        <v>-561.865</v>
      </c>
      <c r="F3633" s="4" t="str">
        <f>HYPERLINK("http://141.218.60.56/~jnz1568/getInfo.php?workbook=12_04.xlsx&amp;sheet=A0&amp;row=3633&amp;col=6&amp;number=0.493&amp;sourceID=14","0.493")</f>
        <v>0.493</v>
      </c>
      <c r="G3633" s="4" t="str">
        <f>HYPERLINK("http://141.218.60.56/~jnz1568/getInfo.php?workbook=12_04.xlsx&amp;sheet=A0&amp;row=3633&amp;col=7&amp;number=0&amp;sourceID=14","0")</f>
        <v>0</v>
      </c>
    </row>
    <row r="3634" spans="1:7">
      <c r="A3634" s="3">
        <v>12</v>
      </c>
      <c r="B3634" s="3">
        <v>4</v>
      </c>
      <c r="C3634" s="3">
        <v>97</v>
      </c>
      <c r="D3634" s="3">
        <v>54</v>
      </c>
      <c r="E3634" s="3">
        <v>566.252</v>
      </c>
      <c r="F3634" s="4" t="str">
        <f>HYPERLINK("http://141.218.60.56/~jnz1568/getInfo.php?workbook=12_04.xlsx&amp;sheet=A0&amp;row=3634&amp;col=6&amp;number=1100000&amp;sourceID=14","1100000")</f>
        <v>1100000</v>
      </c>
      <c r="G3634" s="4" t="str">
        <f>HYPERLINK("http://141.218.60.56/~jnz1568/getInfo.php?workbook=12_04.xlsx&amp;sheet=A0&amp;row=3634&amp;col=7&amp;number=0&amp;sourceID=14","0")</f>
        <v>0</v>
      </c>
    </row>
    <row r="3635" spans="1:7">
      <c r="A3635" s="3">
        <v>12</v>
      </c>
      <c r="B3635" s="3">
        <v>4</v>
      </c>
      <c r="C3635" s="3">
        <v>98</v>
      </c>
      <c r="D3635" s="3">
        <v>54</v>
      </c>
      <c r="E3635" s="3">
        <v>560.728</v>
      </c>
      <c r="F3635" s="4" t="str">
        <f>HYPERLINK("http://141.218.60.56/~jnz1568/getInfo.php?workbook=12_04.xlsx&amp;sheet=A0&amp;row=3635&amp;col=6&amp;number=17300000&amp;sourceID=14","17300000")</f>
        <v>17300000</v>
      </c>
      <c r="G3635" s="4" t="str">
        <f>HYPERLINK("http://141.218.60.56/~jnz1568/getInfo.php?workbook=12_04.xlsx&amp;sheet=A0&amp;row=3635&amp;col=7&amp;number=0&amp;sourceID=14","0")</f>
        <v>0</v>
      </c>
    </row>
    <row r="3636" spans="1:7">
      <c r="A3636" s="3">
        <v>12</v>
      </c>
      <c r="B3636" s="3">
        <v>4</v>
      </c>
      <c r="C3636" s="3">
        <v>56</v>
      </c>
      <c r="D3636" s="3">
        <v>55</v>
      </c>
      <c r="E3636" s="3">
        <v>12755.126</v>
      </c>
      <c r="F3636" s="4" t="str">
        <f>HYPERLINK("http://141.218.60.56/~jnz1568/getInfo.php?workbook=12_04.xlsx&amp;sheet=A0&amp;row=3636&amp;col=6&amp;number=0.00041&amp;sourceID=14","0.00041")</f>
        <v>0.00041</v>
      </c>
      <c r="G3636" s="4" t="str">
        <f>HYPERLINK("http://141.218.60.56/~jnz1568/getInfo.php?workbook=12_04.xlsx&amp;sheet=A0&amp;row=3636&amp;col=7&amp;number=0&amp;sourceID=14","0")</f>
        <v>0</v>
      </c>
    </row>
    <row r="3637" spans="1:7">
      <c r="A3637" s="3">
        <v>12</v>
      </c>
      <c r="B3637" s="3">
        <v>4</v>
      </c>
      <c r="C3637" s="3">
        <v>57</v>
      </c>
      <c r="D3637" s="3">
        <v>55</v>
      </c>
      <c r="E3637" s="3">
        <v>-11251.146</v>
      </c>
      <c r="F3637" s="4" t="str">
        <f>HYPERLINK("http://141.218.60.56/~jnz1568/getInfo.php?workbook=12_04.xlsx&amp;sheet=A0&amp;row=3637&amp;col=6&amp;number=5740&amp;sourceID=14","5740")</f>
        <v>5740</v>
      </c>
      <c r="G3637" s="4" t="str">
        <f>HYPERLINK("http://141.218.60.56/~jnz1568/getInfo.php?workbook=12_04.xlsx&amp;sheet=A0&amp;row=3637&amp;col=7&amp;number=0&amp;sourceID=14","0")</f>
        <v>0</v>
      </c>
    </row>
    <row r="3638" spans="1:7">
      <c r="A3638" s="3">
        <v>12</v>
      </c>
      <c r="B3638" s="3">
        <v>4</v>
      </c>
      <c r="C3638" s="3">
        <v>58</v>
      </c>
      <c r="D3638" s="3">
        <v>55</v>
      </c>
      <c r="E3638" s="3">
        <v>-11214.555</v>
      </c>
      <c r="F3638" s="4" t="str">
        <f>HYPERLINK("http://141.218.60.56/~jnz1568/getInfo.php?workbook=12_04.xlsx&amp;sheet=A0&amp;row=3638&amp;col=6&amp;number=145000&amp;sourceID=14","145000")</f>
        <v>145000</v>
      </c>
      <c r="G3638" s="4" t="str">
        <f>HYPERLINK("http://141.218.60.56/~jnz1568/getInfo.php?workbook=12_04.xlsx&amp;sheet=A0&amp;row=3638&amp;col=7&amp;number=0&amp;sourceID=14","0")</f>
        <v>0</v>
      </c>
    </row>
    <row r="3639" spans="1:7">
      <c r="A3639" s="3">
        <v>12</v>
      </c>
      <c r="B3639" s="3">
        <v>4</v>
      </c>
      <c r="C3639" s="3">
        <v>59</v>
      </c>
      <c r="D3639" s="3">
        <v>55</v>
      </c>
      <c r="E3639" s="3">
        <v>-11166.967</v>
      </c>
      <c r="F3639" s="4" t="str">
        <f>HYPERLINK("http://141.218.60.56/~jnz1568/getInfo.php?workbook=12_04.xlsx&amp;sheet=A0&amp;row=3639&amp;col=6&amp;number=1330000&amp;sourceID=14","1330000")</f>
        <v>1330000</v>
      </c>
      <c r="G3639" s="4" t="str">
        <f>HYPERLINK("http://141.218.60.56/~jnz1568/getInfo.php?workbook=12_04.xlsx&amp;sheet=A0&amp;row=3639&amp;col=7&amp;number=0&amp;sourceID=14","0")</f>
        <v>0</v>
      </c>
    </row>
    <row r="3640" spans="1:7">
      <c r="A3640" s="3">
        <v>12</v>
      </c>
      <c r="B3640" s="3">
        <v>4</v>
      </c>
      <c r="C3640" s="3">
        <v>60</v>
      </c>
      <c r="D3640" s="3">
        <v>55</v>
      </c>
      <c r="E3640" s="3">
        <v>-8710.059</v>
      </c>
      <c r="F3640" s="4" t="str">
        <f>HYPERLINK("http://141.218.60.56/~jnz1568/getInfo.php?workbook=12_04.xlsx&amp;sheet=A0&amp;row=3640&amp;col=6&amp;number=25.2&amp;sourceID=14","25.2")</f>
        <v>25.2</v>
      </c>
      <c r="G3640" s="4" t="str">
        <f>HYPERLINK("http://141.218.60.56/~jnz1568/getInfo.php?workbook=12_04.xlsx&amp;sheet=A0&amp;row=3640&amp;col=7&amp;number=0&amp;sourceID=14","0")</f>
        <v>0</v>
      </c>
    </row>
    <row r="3641" spans="1:7">
      <c r="A3641" s="3">
        <v>12</v>
      </c>
      <c r="B3641" s="3">
        <v>4</v>
      </c>
      <c r="C3641" s="3">
        <v>61</v>
      </c>
      <c r="D3641" s="3">
        <v>55</v>
      </c>
      <c r="E3641" s="3">
        <v>-786.227</v>
      </c>
      <c r="F3641" s="4" t="str">
        <f>HYPERLINK("http://141.218.60.56/~jnz1568/getInfo.php?workbook=12_04.xlsx&amp;sheet=A0&amp;row=3641&amp;col=6&amp;number=0.000227&amp;sourceID=14","0.000227")</f>
        <v>0.000227</v>
      </c>
      <c r="G3641" s="4" t="str">
        <f>HYPERLINK("http://141.218.60.56/~jnz1568/getInfo.php?workbook=12_04.xlsx&amp;sheet=A0&amp;row=3641&amp;col=7&amp;number=0&amp;sourceID=14","0")</f>
        <v>0</v>
      </c>
    </row>
    <row r="3642" spans="1:7">
      <c r="A3642" s="3">
        <v>12</v>
      </c>
      <c r="B3642" s="3">
        <v>4</v>
      </c>
      <c r="C3642" s="3">
        <v>62</v>
      </c>
      <c r="D3642" s="3">
        <v>55</v>
      </c>
      <c r="E3642" s="3">
        <v>-780.593</v>
      </c>
      <c r="F3642" s="4" t="str">
        <f>HYPERLINK("http://141.218.60.56/~jnz1568/getInfo.php?workbook=12_04.xlsx&amp;sheet=A0&amp;row=3642&amp;col=6&amp;number=0.000883&amp;sourceID=14","0.000883")</f>
        <v>0.000883</v>
      </c>
      <c r="G3642" s="4" t="str">
        <f>HYPERLINK("http://141.218.60.56/~jnz1568/getInfo.php?workbook=12_04.xlsx&amp;sheet=A0&amp;row=3642&amp;col=7&amp;number=0&amp;sourceID=14","0")</f>
        <v>0</v>
      </c>
    </row>
    <row r="3643" spans="1:7">
      <c r="A3643" s="3">
        <v>12</v>
      </c>
      <c r="B3643" s="3">
        <v>4</v>
      </c>
      <c r="C3643" s="3">
        <v>63</v>
      </c>
      <c r="D3643" s="3">
        <v>55</v>
      </c>
      <c r="E3643" s="3">
        <v>-762.848</v>
      </c>
      <c r="F3643" s="4" t="str">
        <f>HYPERLINK("http://141.218.60.56/~jnz1568/getInfo.php?workbook=12_04.xlsx&amp;sheet=A0&amp;row=3643&amp;col=6&amp;number=9870000&amp;sourceID=14","9870000")</f>
        <v>9870000</v>
      </c>
      <c r="G3643" s="4" t="str">
        <f>HYPERLINK("http://141.218.60.56/~jnz1568/getInfo.php?workbook=12_04.xlsx&amp;sheet=A0&amp;row=3643&amp;col=7&amp;number=0&amp;sourceID=14","0")</f>
        <v>0</v>
      </c>
    </row>
    <row r="3644" spans="1:7">
      <c r="A3644" s="3">
        <v>12</v>
      </c>
      <c r="B3644" s="3">
        <v>4</v>
      </c>
      <c r="C3644" s="3">
        <v>64</v>
      </c>
      <c r="D3644" s="3">
        <v>55</v>
      </c>
      <c r="E3644" s="3">
        <v>-728.19</v>
      </c>
      <c r="F3644" s="4" t="str">
        <f>HYPERLINK("http://141.218.60.56/~jnz1568/getInfo.php?workbook=12_04.xlsx&amp;sheet=A0&amp;row=3644&amp;col=6&amp;number=0.0075&amp;sourceID=14","0.0075")</f>
        <v>0.0075</v>
      </c>
      <c r="G3644" s="4" t="str">
        <f>HYPERLINK("http://141.218.60.56/~jnz1568/getInfo.php?workbook=12_04.xlsx&amp;sheet=A0&amp;row=3644&amp;col=7&amp;number=0&amp;sourceID=14","0")</f>
        <v>0</v>
      </c>
    </row>
    <row r="3645" spans="1:7">
      <c r="A3645" s="3">
        <v>12</v>
      </c>
      <c r="B3645" s="3">
        <v>4</v>
      </c>
      <c r="C3645" s="3">
        <v>65</v>
      </c>
      <c r="D3645" s="3">
        <v>55</v>
      </c>
      <c r="E3645" s="3">
        <v>-690.352</v>
      </c>
      <c r="F3645" s="4" t="str">
        <f>HYPERLINK("http://141.218.60.56/~jnz1568/getInfo.php?workbook=12_04.xlsx&amp;sheet=A0&amp;row=3645&amp;col=6&amp;number=3.01&amp;sourceID=14","3.01")</f>
        <v>3.01</v>
      </c>
      <c r="G3645" s="4" t="str">
        <f>HYPERLINK("http://141.218.60.56/~jnz1568/getInfo.php?workbook=12_04.xlsx&amp;sheet=A0&amp;row=3645&amp;col=7&amp;number=0&amp;sourceID=14","0")</f>
        <v>0</v>
      </c>
    </row>
    <row r="3646" spans="1:7">
      <c r="A3646" s="3">
        <v>12</v>
      </c>
      <c r="B3646" s="3">
        <v>4</v>
      </c>
      <c r="C3646" s="3">
        <v>66</v>
      </c>
      <c r="D3646" s="3">
        <v>55</v>
      </c>
      <c r="E3646" s="3">
        <v>-678.4</v>
      </c>
      <c r="F3646" s="4" t="str">
        <f>HYPERLINK("http://141.218.60.56/~jnz1568/getInfo.php?workbook=12_04.xlsx&amp;sheet=A0&amp;row=3646&amp;col=6&amp;number=13.6&amp;sourceID=14","13.6")</f>
        <v>13.6</v>
      </c>
      <c r="G3646" s="4" t="str">
        <f>HYPERLINK("http://141.218.60.56/~jnz1568/getInfo.php?workbook=12_04.xlsx&amp;sheet=A0&amp;row=3646&amp;col=7&amp;number=0&amp;sourceID=14","0")</f>
        <v>0</v>
      </c>
    </row>
    <row r="3647" spans="1:7">
      <c r="A3647" s="3">
        <v>12</v>
      </c>
      <c r="B3647" s="3">
        <v>4</v>
      </c>
      <c r="C3647" s="3">
        <v>67</v>
      </c>
      <c r="D3647" s="3">
        <v>55</v>
      </c>
      <c r="E3647" s="3">
        <v>-676.33</v>
      </c>
      <c r="F3647" s="4" t="str">
        <f>HYPERLINK("http://141.218.60.56/~jnz1568/getInfo.php?workbook=12_04.xlsx&amp;sheet=A0&amp;row=3647&amp;col=6&amp;number=4.56&amp;sourceID=14","4.56")</f>
        <v>4.56</v>
      </c>
      <c r="G3647" s="4" t="str">
        <f>HYPERLINK("http://141.218.60.56/~jnz1568/getInfo.php?workbook=12_04.xlsx&amp;sheet=A0&amp;row=3647&amp;col=7&amp;number=0&amp;sourceID=14","0")</f>
        <v>0</v>
      </c>
    </row>
    <row r="3648" spans="1:7">
      <c r="A3648" s="3">
        <v>12</v>
      </c>
      <c r="B3648" s="3">
        <v>4</v>
      </c>
      <c r="C3648" s="3">
        <v>68</v>
      </c>
      <c r="D3648" s="3">
        <v>55</v>
      </c>
      <c r="E3648" s="3">
        <v>668.093</v>
      </c>
      <c r="F3648" s="4" t="str">
        <f>HYPERLINK("http://141.218.60.56/~jnz1568/getInfo.php?workbook=12_04.xlsx&amp;sheet=A0&amp;row=3648&amp;col=6&amp;number=1.2&amp;sourceID=14","1.2")</f>
        <v>1.2</v>
      </c>
      <c r="G3648" s="4" t="str">
        <f>HYPERLINK("http://141.218.60.56/~jnz1568/getInfo.php?workbook=12_04.xlsx&amp;sheet=A0&amp;row=3648&amp;col=7&amp;number=0&amp;sourceID=14","0")</f>
        <v>0</v>
      </c>
    </row>
    <row r="3649" spans="1:7">
      <c r="A3649" s="3">
        <v>12</v>
      </c>
      <c r="B3649" s="3">
        <v>4</v>
      </c>
      <c r="C3649" s="3">
        <v>69</v>
      </c>
      <c r="D3649" s="3">
        <v>55</v>
      </c>
      <c r="E3649" s="3">
        <v>-652.773</v>
      </c>
      <c r="F3649" s="4" t="str">
        <f>HYPERLINK("http://141.218.60.56/~jnz1568/getInfo.php?workbook=12_04.xlsx&amp;sheet=A0&amp;row=3649&amp;col=6&amp;number=298&amp;sourceID=14","298")</f>
        <v>298</v>
      </c>
      <c r="G3649" s="4" t="str">
        <f>HYPERLINK("http://141.218.60.56/~jnz1568/getInfo.php?workbook=12_04.xlsx&amp;sheet=A0&amp;row=3649&amp;col=7&amp;number=0&amp;sourceID=14","0")</f>
        <v>0</v>
      </c>
    </row>
    <row r="3650" spans="1:7">
      <c r="A3650" s="3">
        <v>12</v>
      </c>
      <c r="B3650" s="3">
        <v>4</v>
      </c>
      <c r="C3650" s="3">
        <v>71</v>
      </c>
      <c r="D3650" s="3">
        <v>55</v>
      </c>
      <c r="E3650" s="3">
        <v>-642.031</v>
      </c>
      <c r="F3650" s="4" t="str">
        <f>HYPERLINK("http://141.218.60.56/~jnz1568/getInfo.php?workbook=12_04.xlsx&amp;sheet=A0&amp;row=3650&amp;col=6&amp;number=0.922&amp;sourceID=14","0.922")</f>
        <v>0.922</v>
      </c>
      <c r="G3650" s="4" t="str">
        <f>HYPERLINK("http://141.218.60.56/~jnz1568/getInfo.php?workbook=12_04.xlsx&amp;sheet=A0&amp;row=3650&amp;col=7&amp;number=0&amp;sourceID=14","0")</f>
        <v>0</v>
      </c>
    </row>
    <row r="3651" spans="1:7">
      <c r="A3651" s="3">
        <v>12</v>
      </c>
      <c r="B3651" s="3">
        <v>4</v>
      </c>
      <c r="C3651" s="3">
        <v>72</v>
      </c>
      <c r="D3651" s="3">
        <v>55</v>
      </c>
      <c r="E3651" s="3">
        <v>643.916</v>
      </c>
      <c r="F3651" s="4" t="str">
        <f>HYPERLINK("http://141.218.60.56/~jnz1568/getInfo.php?workbook=12_04.xlsx&amp;sheet=A0&amp;row=3651&amp;col=6&amp;number=106&amp;sourceID=14","106")</f>
        <v>106</v>
      </c>
      <c r="G3651" s="4" t="str">
        <f>HYPERLINK("http://141.218.60.56/~jnz1568/getInfo.php?workbook=12_04.xlsx&amp;sheet=A0&amp;row=3651&amp;col=7&amp;number=0&amp;sourceID=14","0")</f>
        <v>0</v>
      </c>
    </row>
    <row r="3652" spans="1:7">
      <c r="A3652" s="3">
        <v>12</v>
      </c>
      <c r="B3652" s="3">
        <v>4</v>
      </c>
      <c r="C3652" s="3">
        <v>73</v>
      </c>
      <c r="D3652" s="3">
        <v>55</v>
      </c>
      <c r="E3652" s="3">
        <v>-627.909</v>
      </c>
      <c r="F3652" s="4" t="str">
        <f>HYPERLINK("http://141.218.60.56/~jnz1568/getInfo.php?workbook=12_04.xlsx&amp;sheet=A0&amp;row=3652&amp;col=6&amp;number=58800&amp;sourceID=14","58800")</f>
        <v>58800</v>
      </c>
      <c r="G3652" s="4" t="str">
        <f>HYPERLINK("http://141.218.60.56/~jnz1568/getInfo.php?workbook=12_04.xlsx&amp;sheet=A0&amp;row=3652&amp;col=7&amp;number=0&amp;sourceID=14","0")</f>
        <v>0</v>
      </c>
    </row>
    <row r="3653" spans="1:7">
      <c r="A3653" s="3">
        <v>12</v>
      </c>
      <c r="B3653" s="3">
        <v>4</v>
      </c>
      <c r="C3653" s="3">
        <v>74</v>
      </c>
      <c r="D3653" s="3">
        <v>55</v>
      </c>
      <c r="E3653" s="3">
        <v>-620.468</v>
      </c>
      <c r="F3653" s="4" t="str">
        <f>HYPERLINK("http://141.218.60.56/~jnz1568/getInfo.php?workbook=12_04.xlsx&amp;sheet=A0&amp;row=3653&amp;col=6&amp;number=160000000&amp;sourceID=14","160000000")</f>
        <v>160000000</v>
      </c>
      <c r="G3653" s="4" t="str">
        <f>HYPERLINK("http://141.218.60.56/~jnz1568/getInfo.php?workbook=12_04.xlsx&amp;sheet=A0&amp;row=3653&amp;col=7&amp;number=0&amp;sourceID=14","0")</f>
        <v>0</v>
      </c>
    </row>
    <row r="3654" spans="1:7">
      <c r="A3654" s="3">
        <v>12</v>
      </c>
      <c r="B3654" s="3">
        <v>4</v>
      </c>
      <c r="C3654" s="3">
        <v>75</v>
      </c>
      <c r="D3654" s="3">
        <v>55</v>
      </c>
      <c r="E3654" s="3">
        <v>620.503</v>
      </c>
      <c r="F3654" s="4" t="str">
        <f>HYPERLINK("http://141.218.60.56/~jnz1568/getInfo.php?workbook=12_04.xlsx&amp;sheet=A0&amp;row=3654&amp;col=6&amp;number=74000000&amp;sourceID=14","74000000")</f>
        <v>74000000</v>
      </c>
      <c r="G3654" s="4" t="str">
        <f>HYPERLINK("http://141.218.60.56/~jnz1568/getInfo.php?workbook=12_04.xlsx&amp;sheet=A0&amp;row=3654&amp;col=7&amp;number=0&amp;sourceID=14","0")</f>
        <v>0</v>
      </c>
    </row>
    <row r="3655" spans="1:7">
      <c r="A3655" s="3">
        <v>12</v>
      </c>
      <c r="B3655" s="3">
        <v>4</v>
      </c>
      <c r="C3655" s="3">
        <v>76</v>
      </c>
      <c r="D3655" s="3">
        <v>55</v>
      </c>
      <c r="E3655" s="3">
        <v>621.003</v>
      </c>
      <c r="F3655" s="4" t="str">
        <f>HYPERLINK("http://141.218.60.56/~jnz1568/getInfo.php?workbook=12_04.xlsx&amp;sheet=A0&amp;row=3655&amp;col=6&amp;number=2.86&amp;sourceID=14","2.86")</f>
        <v>2.86</v>
      </c>
      <c r="G3655" s="4" t="str">
        <f>HYPERLINK("http://141.218.60.56/~jnz1568/getInfo.php?workbook=12_04.xlsx&amp;sheet=A0&amp;row=3655&amp;col=7&amp;number=0&amp;sourceID=14","0")</f>
        <v>0</v>
      </c>
    </row>
    <row r="3656" spans="1:7">
      <c r="A3656" s="3">
        <v>12</v>
      </c>
      <c r="B3656" s="3">
        <v>4</v>
      </c>
      <c r="C3656" s="3">
        <v>77</v>
      </c>
      <c r="D3656" s="3">
        <v>55</v>
      </c>
      <c r="E3656" s="3">
        <v>-612.206</v>
      </c>
      <c r="F3656" s="4" t="str">
        <f>HYPERLINK("http://141.218.60.56/~jnz1568/getInfo.php?workbook=12_04.xlsx&amp;sheet=A0&amp;row=3656&amp;col=6&amp;number=543000000&amp;sourceID=14","543000000")</f>
        <v>543000000</v>
      </c>
      <c r="G3656" s="4" t="str">
        <f>HYPERLINK("http://141.218.60.56/~jnz1568/getInfo.php?workbook=12_04.xlsx&amp;sheet=A0&amp;row=3656&amp;col=7&amp;number=0&amp;sourceID=14","0")</f>
        <v>0</v>
      </c>
    </row>
    <row r="3657" spans="1:7">
      <c r="A3657" s="3">
        <v>12</v>
      </c>
      <c r="B3657" s="3">
        <v>4</v>
      </c>
      <c r="C3657" s="3">
        <v>78</v>
      </c>
      <c r="D3657" s="3">
        <v>55</v>
      </c>
      <c r="E3657" s="3">
        <v>-601.15</v>
      </c>
      <c r="F3657" s="4" t="str">
        <f>HYPERLINK("http://141.218.60.56/~jnz1568/getInfo.php?workbook=12_04.xlsx&amp;sheet=A0&amp;row=3657&amp;col=6&amp;number=0.00191&amp;sourceID=14","0.00191")</f>
        <v>0.00191</v>
      </c>
      <c r="G3657" s="4" t="str">
        <f>HYPERLINK("http://141.218.60.56/~jnz1568/getInfo.php?workbook=12_04.xlsx&amp;sheet=A0&amp;row=3657&amp;col=7&amp;number=0&amp;sourceID=14","0")</f>
        <v>0</v>
      </c>
    </row>
    <row r="3658" spans="1:7">
      <c r="A3658" s="3">
        <v>12</v>
      </c>
      <c r="B3658" s="3">
        <v>4</v>
      </c>
      <c r="C3658" s="3">
        <v>79</v>
      </c>
      <c r="D3658" s="3">
        <v>55</v>
      </c>
      <c r="E3658" s="3">
        <v>-598.922</v>
      </c>
      <c r="F3658" s="4" t="str">
        <f>HYPERLINK("http://141.218.60.56/~jnz1568/getInfo.php?workbook=12_04.xlsx&amp;sheet=A0&amp;row=3658&amp;col=6&amp;number=551000000&amp;sourceID=14","551000000")</f>
        <v>551000000</v>
      </c>
      <c r="G3658" s="4" t="str">
        <f>HYPERLINK("http://141.218.60.56/~jnz1568/getInfo.php?workbook=12_04.xlsx&amp;sheet=A0&amp;row=3658&amp;col=7&amp;number=0&amp;sourceID=14","0")</f>
        <v>0</v>
      </c>
    </row>
    <row r="3659" spans="1:7">
      <c r="A3659" s="3">
        <v>12</v>
      </c>
      <c r="B3659" s="3">
        <v>4</v>
      </c>
      <c r="C3659" s="3">
        <v>80</v>
      </c>
      <c r="D3659" s="3">
        <v>55</v>
      </c>
      <c r="E3659" s="3">
        <v>-594.503</v>
      </c>
      <c r="F3659" s="4" t="str">
        <f>HYPERLINK("http://141.218.60.56/~jnz1568/getInfo.php?workbook=12_04.xlsx&amp;sheet=A0&amp;row=3659&amp;col=6&amp;number=2.55&amp;sourceID=14","2.55")</f>
        <v>2.55</v>
      </c>
      <c r="G3659" s="4" t="str">
        <f>HYPERLINK("http://141.218.60.56/~jnz1568/getInfo.php?workbook=12_04.xlsx&amp;sheet=A0&amp;row=3659&amp;col=7&amp;number=0&amp;sourceID=14","0")</f>
        <v>0</v>
      </c>
    </row>
    <row r="3660" spans="1:7">
      <c r="A3660" s="3">
        <v>12</v>
      </c>
      <c r="B3660" s="3">
        <v>4</v>
      </c>
      <c r="C3660" s="3">
        <v>81</v>
      </c>
      <c r="D3660" s="3">
        <v>55</v>
      </c>
      <c r="E3660" s="3">
        <v>594.531</v>
      </c>
      <c r="F3660" s="4" t="str">
        <f>HYPERLINK("http://141.218.60.56/~jnz1568/getInfo.php?workbook=12_04.xlsx&amp;sheet=A0&amp;row=3660&amp;col=6&amp;number=766000000&amp;sourceID=14","766000000")</f>
        <v>766000000</v>
      </c>
      <c r="G3660" s="4" t="str">
        <f>HYPERLINK("http://141.218.60.56/~jnz1568/getInfo.php?workbook=12_04.xlsx&amp;sheet=A0&amp;row=3660&amp;col=7&amp;number=0&amp;sourceID=14","0")</f>
        <v>0</v>
      </c>
    </row>
    <row r="3661" spans="1:7">
      <c r="A3661" s="3">
        <v>12</v>
      </c>
      <c r="B3661" s="3">
        <v>4</v>
      </c>
      <c r="C3661" s="3">
        <v>82</v>
      </c>
      <c r="D3661" s="3">
        <v>55</v>
      </c>
      <c r="E3661" s="3">
        <v>-593.226</v>
      </c>
      <c r="F3661" s="4" t="str">
        <f>HYPERLINK("http://141.218.60.56/~jnz1568/getInfo.php?workbook=12_04.xlsx&amp;sheet=A0&amp;row=3661&amp;col=6&amp;number=1.37&amp;sourceID=14","1.37")</f>
        <v>1.37</v>
      </c>
      <c r="G3661" s="4" t="str">
        <f>HYPERLINK("http://141.218.60.56/~jnz1568/getInfo.php?workbook=12_04.xlsx&amp;sheet=A0&amp;row=3661&amp;col=7&amp;number=0&amp;sourceID=14","0")</f>
        <v>0</v>
      </c>
    </row>
    <row r="3662" spans="1:7">
      <c r="A3662" s="3">
        <v>12</v>
      </c>
      <c r="B3662" s="3">
        <v>4</v>
      </c>
      <c r="C3662" s="3">
        <v>83</v>
      </c>
      <c r="D3662" s="3">
        <v>55</v>
      </c>
      <c r="E3662" s="3">
        <v>-593.209</v>
      </c>
      <c r="F3662" s="4" t="str">
        <f>HYPERLINK("http://141.218.60.56/~jnz1568/getInfo.php?workbook=12_04.xlsx&amp;sheet=A0&amp;row=3662&amp;col=6&amp;number=3.84&amp;sourceID=14","3.84")</f>
        <v>3.84</v>
      </c>
      <c r="G3662" s="4" t="str">
        <f>HYPERLINK("http://141.218.60.56/~jnz1568/getInfo.php?workbook=12_04.xlsx&amp;sheet=A0&amp;row=3662&amp;col=7&amp;number=0&amp;sourceID=14","0")</f>
        <v>0</v>
      </c>
    </row>
    <row r="3663" spans="1:7">
      <c r="A3663" s="3">
        <v>12</v>
      </c>
      <c r="B3663" s="3">
        <v>4</v>
      </c>
      <c r="C3663" s="3">
        <v>84</v>
      </c>
      <c r="D3663" s="3">
        <v>55</v>
      </c>
      <c r="E3663" s="3">
        <v>-592.067</v>
      </c>
      <c r="F3663" s="4" t="str">
        <f>HYPERLINK("http://141.218.60.56/~jnz1568/getInfo.php?workbook=12_04.xlsx&amp;sheet=A0&amp;row=3663&amp;col=6&amp;number=2.45&amp;sourceID=14","2.45")</f>
        <v>2.45</v>
      </c>
      <c r="G3663" s="4" t="str">
        <f>HYPERLINK("http://141.218.60.56/~jnz1568/getInfo.php?workbook=12_04.xlsx&amp;sheet=A0&amp;row=3663&amp;col=7&amp;number=0&amp;sourceID=14","0")</f>
        <v>0</v>
      </c>
    </row>
    <row r="3664" spans="1:7">
      <c r="A3664" s="3">
        <v>12</v>
      </c>
      <c r="B3664" s="3">
        <v>4</v>
      </c>
      <c r="C3664" s="3">
        <v>85</v>
      </c>
      <c r="D3664" s="3">
        <v>55</v>
      </c>
      <c r="E3664" s="3">
        <v>590.32</v>
      </c>
      <c r="F3664" s="4" t="str">
        <f>HYPERLINK("http://141.218.60.56/~jnz1568/getInfo.php?workbook=12_04.xlsx&amp;sheet=A0&amp;row=3664&amp;col=6&amp;number=573000000&amp;sourceID=14","573000000")</f>
        <v>573000000</v>
      </c>
      <c r="G3664" s="4" t="str">
        <f>HYPERLINK("http://141.218.60.56/~jnz1568/getInfo.php?workbook=12_04.xlsx&amp;sheet=A0&amp;row=3664&amp;col=7&amp;number=0&amp;sourceID=14","0")</f>
        <v>0</v>
      </c>
    </row>
    <row r="3665" spans="1:7">
      <c r="A3665" s="3">
        <v>12</v>
      </c>
      <c r="B3665" s="3">
        <v>4</v>
      </c>
      <c r="C3665" s="3">
        <v>86</v>
      </c>
      <c r="D3665" s="3">
        <v>55</v>
      </c>
      <c r="E3665" s="3">
        <v>588.513</v>
      </c>
      <c r="F3665" s="4" t="str">
        <f>HYPERLINK("http://141.218.60.56/~jnz1568/getInfo.php?workbook=12_04.xlsx&amp;sheet=A0&amp;row=3665&amp;col=6&amp;number=0.13&amp;sourceID=14","0.13")</f>
        <v>0.13</v>
      </c>
      <c r="G3665" s="4" t="str">
        <f>HYPERLINK("http://141.218.60.56/~jnz1568/getInfo.php?workbook=12_04.xlsx&amp;sheet=A0&amp;row=3665&amp;col=7&amp;number=0&amp;sourceID=14","0")</f>
        <v>0</v>
      </c>
    </row>
    <row r="3666" spans="1:7">
      <c r="A3666" s="3">
        <v>12</v>
      </c>
      <c r="B3666" s="3">
        <v>4</v>
      </c>
      <c r="C3666" s="3">
        <v>87</v>
      </c>
      <c r="D3666" s="3">
        <v>55</v>
      </c>
      <c r="E3666" s="3">
        <v>-583.67</v>
      </c>
      <c r="F3666" s="4" t="str">
        <f>HYPERLINK("http://141.218.60.56/~jnz1568/getInfo.php?workbook=12_04.xlsx&amp;sheet=A0&amp;row=3666&amp;col=6&amp;number=0.000474&amp;sourceID=14","0.000474")</f>
        <v>0.000474</v>
      </c>
      <c r="G3666" s="4" t="str">
        <f>HYPERLINK("http://141.218.60.56/~jnz1568/getInfo.php?workbook=12_04.xlsx&amp;sheet=A0&amp;row=3666&amp;col=7&amp;number=0&amp;sourceID=14","0")</f>
        <v>0</v>
      </c>
    </row>
    <row r="3667" spans="1:7">
      <c r="A3667" s="3">
        <v>12</v>
      </c>
      <c r="B3667" s="3">
        <v>4</v>
      </c>
      <c r="C3667" s="3">
        <v>88</v>
      </c>
      <c r="D3667" s="3">
        <v>55</v>
      </c>
      <c r="E3667" s="3">
        <v>-581.015</v>
      </c>
      <c r="F3667" s="4" t="str">
        <f>HYPERLINK("http://141.218.60.56/~jnz1568/getInfo.php?workbook=12_04.xlsx&amp;sheet=A0&amp;row=3667&amp;col=6&amp;number=7.26&amp;sourceID=14","7.26")</f>
        <v>7.26</v>
      </c>
      <c r="G3667" s="4" t="str">
        <f>HYPERLINK("http://141.218.60.56/~jnz1568/getInfo.php?workbook=12_04.xlsx&amp;sheet=A0&amp;row=3667&amp;col=7&amp;number=0&amp;sourceID=14","0")</f>
        <v>0</v>
      </c>
    </row>
    <row r="3668" spans="1:7">
      <c r="A3668" s="3">
        <v>12</v>
      </c>
      <c r="B3668" s="3">
        <v>4</v>
      </c>
      <c r="C3668" s="3">
        <v>89</v>
      </c>
      <c r="D3668" s="3">
        <v>55</v>
      </c>
      <c r="E3668" s="3">
        <v>-579.456</v>
      </c>
      <c r="F3668" s="4" t="str">
        <f>HYPERLINK("http://141.218.60.56/~jnz1568/getInfo.php?workbook=12_04.xlsx&amp;sheet=A0&amp;row=3668&amp;col=6&amp;number=58.3&amp;sourceID=14","58.3")</f>
        <v>58.3</v>
      </c>
      <c r="G3668" s="4" t="str">
        <f>HYPERLINK("http://141.218.60.56/~jnz1568/getInfo.php?workbook=12_04.xlsx&amp;sheet=A0&amp;row=3668&amp;col=7&amp;number=0&amp;sourceID=14","0")</f>
        <v>0</v>
      </c>
    </row>
    <row r="3669" spans="1:7">
      <c r="A3669" s="3">
        <v>12</v>
      </c>
      <c r="B3669" s="3">
        <v>4</v>
      </c>
      <c r="C3669" s="3">
        <v>90</v>
      </c>
      <c r="D3669" s="3">
        <v>55</v>
      </c>
      <c r="E3669" s="3">
        <v>-574.879</v>
      </c>
      <c r="F3669" s="4" t="str">
        <f>HYPERLINK("http://141.218.60.56/~jnz1568/getInfo.php?workbook=12_04.xlsx&amp;sheet=A0&amp;row=3669&amp;col=6&amp;number=236&amp;sourceID=14","236")</f>
        <v>236</v>
      </c>
      <c r="G3669" s="4" t="str">
        <f>HYPERLINK("http://141.218.60.56/~jnz1568/getInfo.php?workbook=12_04.xlsx&amp;sheet=A0&amp;row=3669&amp;col=7&amp;number=0&amp;sourceID=14","0")</f>
        <v>0</v>
      </c>
    </row>
    <row r="3670" spans="1:7">
      <c r="A3670" s="3">
        <v>12</v>
      </c>
      <c r="B3670" s="3">
        <v>4</v>
      </c>
      <c r="C3670" s="3">
        <v>91</v>
      </c>
      <c r="D3670" s="3">
        <v>55</v>
      </c>
      <c r="E3670" s="3">
        <v>-570.878</v>
      </c>
      <c r="F3670" s="4" t="str">
        <f>HYPERLINK("http://141.218.60.56/~jnz1568/getInfo.php?workbook=12_04.xlsx&amp;sheet=A0&amp;row=3670&amp;col=6&amp;number=0.489&amp;sourceID=14","0.489")</f>
        <v>0.489</v>
      </c>
      <c r="G3670" s="4" t="str">
        <f>HYPERLINK("http://141.218.60.56/~jnz1568/getInfo.php?workbook=12_04.xlsx&amp;sheet=A0&amp;row=3670&amp;col=7&amp;number=0&amp;sourceID=14","0")</f>
        <v>0</v>
      </c>
    </row>
    <row r="3671" spans="1:7">
      <c r="A3671" s="3">
        <v>12</v>
      </c>
      <c r="B3671" s="3">
        <v>4</v>
      </c>
      <c r="C3671" s="3">
        <v>92</v>
      </c>
      <c r="D3671" s="3">
        <v>55</v>
      </c>
      <c r="E3671" s="3">
        <v>-569.944</v>
      </c>
      <c r="F3671" s="4" t="str">
        <f>HYPERLINK("http://141.218.60.56/~jnz1568/getInfo.php?workbook=12_04.xlsx&amp;sheet=A0&amp;row=3671&amp;col=6&amp;number=3.41&amp;sourceID=14","3.41")</f>
        <v>3.41</v>
      </c>
      <c r="G3671" s="4" t="str">
        <f>HYPERLINK("http://141.218.60.56/~jnz1568/getInfo.php?workbook=12_04.xlsx&amp;sheet=A0&amp;row=3671&amp;col=7&amp;number=0&amp;sourceID=14","0")</f>
        <v>0</v>
      </c>
    </row>
    <row r="3672" spans="1:7">
      <c r="A3672" s="3">
        <v>12</v>
      </c>
      <c r="B3672" s="3">
        <v>4</v>
      </c>
      <c r="C3672" s="3">
        <v>93</v>
      </c>
      <c r="D3672" s="3">
        <v>55</v>
      </c>
      <c r="E3672" s="3">
        <v>-569.091</v>
      </c>
      <c r="F3672" s="4" t="str">
        <f>HYPERLINK("http://141.218.60.56/~jnz1568/getInfo.php?workbook=12_04.xlsx&amp;sheet=A0&amp;row=3672&amp;col=6&amp;number=0.516&amp;sourceID=14","0.516")</f>
        <v>0.516</v>
      </c>
      <c r="G3672" s="4" t="str">
        <f>HYPERLINK("http://141.218.60.56/~jnz1568/getInfo.php?workbook=12_04.xlsx&amp;sheet=A0&amp;row=3672&amp;col=7&amp;number=0&amp;sourceID=14","0")</f>
        <v>0</v>
      </c>
    </row>
    <row r="3673" spans="1:7">
      <c r="A3673" s="3">
        <v>12</v>
      </c>
      <c r="B3673" s="3">
        <v>4</v>
      </c>
      <c r="C3673" s="3">
        <v>94</v>
      </c>
      <c r="D3673" s="3">
        <v>55</v>
      </c>
      <c r="E3673" s="3">
        <v>-565.977</v>
      </c>
      <c r="F3673" s="4" t="str">
        <f>HYPERLINK("http://141.218.60.56/~jnz1568/getInfo.php?workbook=12_04.xlsx&amp;sheet=A0&amp;row=3673&amp;col=6&amp;number=0.243&amp;sourceID=14","0.243")</f>
        <v>0.243</v>
      </c>
      <c r="G3673" s="4" t="str">
        <f>HYPERLINK("http://141.218.60.56/~jnz1568/getInfo.php?workbook=12_04.xlsx&amp;sheet=A0&amp;row=3673&amp;col=7&amp;number=0&amp;sourceID=14","0")</f>
        <v>0</v>
      </c>
    </row>
    <row r="3674" spans="1:7">
      <c r="A3674" s="3">
        <v>12</v>
      </c>
      <c r="B3674" s="3">
        <v>4</v>
      </c>
      <c r="C3674" s="3">
        <v>95</v>
      </c>
      <c r="D3674" s="3">
        <v>55</v>
      </c>
      <c r="E3674" s="3">
        <v>-563.953</v>
      </c>
      <c r="F3674" s="4" t="str">
        <f>HYPERLINK("http://141.218.60.56/~jnz1568/getInfo.php?workbook=12_04.xlsx&amp;sheet=A0&amp;row=3674&amp;col=6&amp;number=8.08e-07&amp;sourceID=14","8.08e-07")</f>
        <v>8.08e-07</v>
      </c>
      <c r="G3674" s="4" t="str">
        <f>HYPERLINK("http://141.218.60.56/~jnz1568/getInfo.php?workbook=12_04.xlsx&amp;sheet=A0&amp;row=3674&amp;col=7&amp;number=0&amp;sourceID=14","0")</f>
        <v>0</v>
      </c>
    </row>
    <row r="3675" spans="1:7">
      <c r="A3675" s="3">
        <v>12</v>
      </c>
      <c r="B3675" s="3">
        <v>4</v>
      </c>
      <c r="C3675" s="3">
        <v>96</v>
      </c>
      <c r="D3675" s="3">
        <v>55</v>
      </c>
      <c r="E3675" s="3">
        <v>-562.092</v>
      </c>
      <c r="F3675" s="4" t="str">
        <f>HYPERLINK("http://141.218.60.56/~jnz1568/getInfo.php?workbook=12_04.xlsx&amp;sheet=A0&amp;row=3675&amp;col=6&amp;number=0.491&amp;sourceID=14","0.491")</f>
        <v>0.491</v>
      </c>
      <c r="G3675" s="4" t="str">
        <f>HYPERLINK("http://141.218.60.56/~jnz1568/getInfo.php?workbook=12_04.xlsx&amp;sheet=A0&amp;row=3675&amp;col=7&amp;number=0&amp;sourceID=14","0")</f>
        <v>0</v>
      </c>
    </row>
    <row r="3676" spans="1:7">
      <c r="A3676" s="3">
        <v>12</v>
      </c>
      <c r="B3676" s="3">
        <v>4</v>
      </c>
      <c r="C3676" s="3">
        <v>97</v>
      </c>
      <c r="D3676" s="3">
        <v>55</v>
      </c>
      <c r="E3676" s="3">
        <v>566.509</v>
      </c>
      <c r="F3676" s="4" t="str">
        <f>HYPERLINK("http://141.218.60.56/~jnz1568/getInfo.php?workbook=12_04.xlsx&amp;sheet=A0&amp;row=3676&amp;col=6&amp;number=10500000&amp;sourceID=14","10500000")</f>
        <v>10500000</v>
      </c>
      <c r="G3676" s="4" t="str">
        <f>HYPERLINK("http://141.218.60.56/~jnz1568/getInfo.php?workbook=12_04.xlsx&amp;sheet=A0&amp;row=3676&amp;col=7&amp;number=0&amp;sourceID=14","0")</f>
        <v>0</v>
      </c>
    </row>
    <row r="3677" spans="1:7">
      <c r="A3677" s="3">
        <v>12</v>
      </c>
      <c r="B3677" s="3">
        <v>4</v>
      </c>
      <c r="C3677" s="3">
        <v>98</v>
      </c>
      <c r="D3677" s="3">
        <v>55</v>
      </c>
      <c r="E3677" s="3">
        <v>560.979</v>
      </c>
      <c r="F3677" s="4" t="str">
        <f>HYPERLINK("http://141.218.60.56/~jnz1568/getInfo.php?workbook=12_04.xlsx&amp;sheet=A0&amp;row=3677&amp;col=6&amp;number=0.106&amp;sourceID=14","0.106")</f>
        <v>0.106</v>
      </c>
      <c r="G3677" s="4" t="str">
        <f>HYPERLINK("http://141.218.60.56/~jnz1568/getInfo.php?workbook=12_04.xlsx&amp;sheet=A0&amp;row=3677&amp;col=7&amp;number=0&amp;sourceID=14","0")</f>
        <v>0</v>
      </c>
    </row>
    <row r="3678" spans="1:7">
      <c r="A3678" s="3">
        <v>12</v>
      </c>
      <c r="B3678" s="3">
        <v>4</v>
      </c>
      <c r="C3678" s="3">
        <v>57</v>
      </c>
      <c r="D3678" s="3">
        <v>56</v>
      </c>
      <c r="E3678" s="3">
        <v>-340136.688</v>
      </c>
      <c r="F3678" s="4" t="str">
        <f>HYPERLINK("http://141.218.60.56/~jnz1568/getInfo.php?workbook=12_04.xlsx&amp;sheet=A0&amp;row=3678&amp;col=6&amp;number=1.5e-06&amp;sourceID=14","1.5e-06")</f>
        <v>1.5e-06</v>
      </c>
      <c r="G3678" s="4" t="str">
        <f>HYPERLINK("http://141.218.60.56/~jnz1568/getInfo.php?workbook=12_04.xlsx&amp;sheet=A0&amp;row=3678&amp;col=7&amp;number=0&amp;sourceID=14","0")</f>
        <v>0</v>
      </c>
    </row>
    <row r="3679" spans="1:7">
      <c r="A3679" s="3">
        <v>12</v>
      </c>
      <c r="B3679" s="3">
        <v>4</v>
      </c>
      <c r="C3679" s="3">
        <v>58</v>
      </c>
      <c r="D3679" s="3">
        <v>56</v>
      </c>
      <c r="E3679" s="3">
        <v>-309598.094</v>
      </c>
      <c r="F3679" s="4" t="str">
        <f>HYPERLINK("http://141.218.60.56/~jnz1568/getInfo.php?workbook=12_04.xlsx&amp;sheet=A0&amp;row=3679&amp;col=6&amp;number=7.8e-08&amp;sourceID=14","7.8e-08")</f>
        <v>7.8e-08</v>
      </c>
      <c r="G3679" s="4" t="str">
        <f>HYPERLINK("http://141.218.60.56/~jnz1568/getInfo.php?workbook=12_04.xlsx&amp;sheet=A0&amp;row=3679&amp;col=7&amp;number=0&amp;sourceID=14","0")</f>
        <v>0</v>
      </c>
    </row>
    <row r="3680" spans="1:7">
      <c r="A3680" s="3">
        <v>12</v>
      </c>
      <c r="B3680" s="3">
        <v>4</v>
      </c>
      <c r="C3680" s="3">
        <v>59</v>
      </c>
      <c r="D3680" s="3">
        <v>56</v>
      </c>
      <c r="E3680" s="3">
        <v>-277008.812</v>
      </c>
      <c r="F3680" s="4" t="str">
        <f>HYPERLINK("http://141.218.60.56/~jnz1568/getInfo.php?workbook=12_04.xlsx&amp;sheet=A0&amp;row=3680&amp;col=6&amp;number=6.23e-20&amp;sourceID=14","6.23e-20")</f>
        <v>6.23e-20</v>
      </c>
      <c r="G3680" s="4" t="str">
        <f>HYPERLINK("http://141.218.60.56/~jnz1568/getInfo.php?workbook=12_04.xlsx&amp;sheet=A0&amp;row=3680&amp;col=7&amp;number=0&amp;sourceID=14","0")</f>
        <v>0</v>
      </c>
    </row>
    <row r="3681" spans="1:7">
      <c r="A3681" s="3">
        <v>12</v>
      </c>
      <c r="B3681" s="3">
        <v>4</v>
      </c>
      <c r="C3681" s="3">
        <v>60</v>
      </c>
      <c r="D3681" s="3">
        <v>56</v>
      </c>
      <c r="E3681" s="3">
        <v>-34638.098</v>
      </c>
      <c r="F3681" s="4" t="str">
        <f>HYPERLINK("http://141.218.60.56/~jnz1568/getInfo.php?workbook=12_04.xlsx&amp;sheet=A0&amp;row=3681&amp;col=6&amp;number=44000&amp;sourceID=14","44000")</f>
        <v>44000</v>
      </c>
      <c r="G3681" s="4" t="str">
        <f>HYPERLINK("http://141.218.60.56/~jnz1568/getInfo.php?workbook=12_04.xlsx&amp;sheet=A0&amp;row=3681&amp;col=7&amp;number=0&amp;sourceID=14","0")</f>
        <v>0</v>
      </c>
    </row>
    <row r="3682" spans="1:7">
      <c r="A3682" s="3">
        <v>12</v>
      </c>
      <c r="B3682" s="3">
        <v>4</v>
      </c>
      <c r="C3682" s="3">
        <v>61</v>
      </c>
      <c r="D3682" s="3">
        <v>56</v>
      </c>
      <c r="E3682" s="3">
        <v>-843.2</v>
      </c>
      <c r="F3682" s="4" t="str">
        <f>HYPERLINK("http://141.218.60.56/~jnz1568/getInfo.php?workbook=12_04.xlsx&amp;sheet=A0&amp;row=3682&amp;col=6&amp;number=2.73e-06&amp;sourceID=14","2.73e-06")</f>
        <v>2.73e-06</v>
      </c>
      <c r="G3682" s="4" t="str">
        <f>HYPERLINK("http://141.218.60.56/~jnz1568/getInfo.php?workbook=12_04.xlsx&amp;sheet=A0&amp;row=3682&amp;col=7&amp;number=0&amp;sourceID=14","0")</f>
        <v>0</v>
      </c>
    </row>
    <row r="3683" spans="1:7">
      <c r="A3683" s="3">
        <v>12</v>
      </c>
      <c r="B3683" s="3">
        <v>4</v>
      </c>
      <c r="C3683" s="3">
        <v>62</v>
      </c>
      <c r="D3683" s="3">
        <v>56</v>
      </c>
      <c r="E3683" s="3">
        <v>-836.724</v>
      </c>
      <c r="F3683" s="4" t="str">
        <f>HYPERLINK("http://141.218.60.56/~jnz1568/getInfo.php?workbook=12_04.xlsx&amp;sheet=A0&amp;row=3683&amp;col=6&amp;number=2040000&amp;sourceID=14","2040000")</f>
        <v>2040000</v>
      </c>
      <c r="G3683" s="4" t="str">
        <f>HYPERLINK("http://141.218.60.56/~jnz1568/getInfo.php?workbook=12_04.xlsx&amp;sheet=A0&amp;row=3683&amp;col=7&amp;number=0&amp;sourceID=14","0")</f>
        <v>0</v>
      </c>
    </row>
    <row r="3684" spans="1:7">
      <c r="A3684" s="3">
        <v>12</v>
      </c>
      <c r="B3684" s="3">
        <v>4</v>
      </c>
      <c r="C3684" s="3">
        <v>63</v>
      </c>
      <c r="D3684" s="3">
        <v>56</v>
      </c>
      <c r="E3684" s="3">
        <v>-816.368</v>
      </c>
      <c r="F3684" s="4" t="str">
        <f>HYPERLINK("http://141.218.60.56/~jnz1568/getInfo.php?workbook=12_04.xlsx&amp;sheet=A0&amp;row=3684&amp;col=6&amp;number=8820&amp;sourceID=14","8820")</f>
        <v>8820</v>
      </c>
      <c r="G3684" s="4" t="str">
        <f>HYPERLINK("http://141.218.60.56/~jnz1568/getInfo.php?workbook=12_04.xlsx&amp;sheet=A0&amp;row=3684&amp;col=7&amp;number=0&amp;sourceID=14","0")</f>
        <v>0</v>
      </c>
    </row>
    <row r="3685" spans="1:7">
      <c r="A3685" s="3">
        <v>12</v>
      </c>
      <c r="B3685" s="3">
        <v>4</v>
      </c>
      <c r="C3685" s="3">
        <v>64</v>
      </c>
      <c r="D3685" s="3">
        <v>56</v>
      </c>
      <c r="E3685" s="3">
        <v>-776.803</v>
      </c>
      <c r="F3685" s="4" t="str">
        <f>HYPERLINK("http://141.218.60.56/~jnz1568/getInfo.php?workbook=12_04.xlsx&amp;sheet=A0&amp;row=3685&amp;col=6&amp;number=51000000&amp;sourceID=14","51000000")</f>
        <v>51000000</v>
      </c>
      <c r="G3685" s="4" t="str">
        <f>HYPERLINK("http://141.218.60.56/~jnz1568/getInfo.php?workbook=12_04.xlsx&amp;sheet=A0&amp;row=3685&amp;col=7&amp;number=0&amp;sourceID=14","0")</f>
        <v>0</v>
      </c>
    </row>
    <row r="3686" spans="1:7">
      <c r="A3686" s="3">
        <v>12</v>
      </c>
      <c r="B3686" s="3">
        <v>4</v>
      </c>
      <c r="C3686" s="3">
        <v>65</v>
      </c>
      <c r="D3686" s="3">
        <v>56</v>
      </c>
      <c r="E3686" s="3">
        <v>-733.893</v>
      </c>
      <c r="F3686" s="4" t="str">
        <f>HYPERLINK("http://141.218.60.56/~jnz1568/getInfo.php?workbook=12_04.xlsx&amp;sheet=A0&amp;row=3686&amp;col=6&amp;number=118&amp;sourceID=14","118")</f>
        <v>118</v>
      </c>
      <c r="G3686" s="4" t="str">
        <f>HYPERLINK("http://141.218.60.56/~jnz1568/getInfo.php?workbook=12_04.xlsx&amp;sheet=A0&amp;row=3686&amp;col=7&amp;number=0&amp;sourceID=14","0")</f>
        <v>0</v>
      </c>
    </row>
    <row r="3687" spans="1:7">
      <c r="A3687" s="3">
        <v>12</v>
      </c>
      <c r="B3687" s="3">
        <v>4</v>
      </c>
      <c r="C3687" s="3">
        <v>66</v>
      </c>
      <c r="D3687" s="3">
        <v>56</v>
      </c>
      <c r="E3687" s="3">
        <v>-720.4</v>
      </c>
      <c r="F3687" s="4" t="str">
        <f>HYPERLINK("http://141.218.60.56/~jnz1568/getInfo.php?workbook=12_04.xlsx&amp;sheet=A0&amp;row=3687&amp;col=6&amp;number=52.6&amp;sourceID=14","52.6")</f>
        <v>52.6</v>
      </c>
      <c r="G3687" s="4" t="str">
        <f>HYPERLINK("http://141.218.60.56/~jnz1568/getInfo.php?workbook=12_04.xlsx&amp;sheet=A0&amp;row=3687&amp;col=7&amp;number=0&amp;sourceID=14","0")</f>
        <v>0</v>
      </c>
    </row>
    <row r="3688" spans="1:7">
      <c r="A3688" s="3">
        <v>12</v>
      </c>
      <c r="B3688" s="3">
        <v>4</v>
      </c>
      <c r="C3688" s="3">
        <v>67</v>
      </c>
      <c r="D3688" s="3">
        <v>56</v>
      </c>
      <c r="E3688" s="3">
        <v>-718.067</v>
      </c>
      <c r="F3688" s="4" t="str">
        <f>HYPERLINK("http://141.218.60.56/~jnz1568/getInfo.php?workbook=12_04.xlsx&amp;sheet=A0&amp;row=3688&amp;col=6&amp;number=0.0557&amp;sourceID=14","0.0557")</f>
        <v>0.0557</v>
      </c>
      <c r="G3688" s="4" t="str">
        <f>HYPERLINK("http://141.218.60.56/~jnz1568/getInfo.php?workbook=12_04.xlsx&amp;sheet=A0&amp;row=3688&amp;col=7&amp;number=0&amp;sourceID=14","0")</f>
        <v>0</v>
      </c>
    </row>
    <row r="3689" spans="1:7">
      <c r="A3689" s="3">
        <v>12</v>
      </c>
      <c r="B3689" s="3">
        <v>4</v>
      </c>
      <c r="C3689" s="3">
        <v>68</v>
      </c>
      <c r="D3689" s="3">
        <v>56</v>
      </c>
      <c r="E3689" s="3">
        <v>705.021</v>
      </c>
      <c r="F3689" s="4" t="str">
        <f>HYPERLINK("http://141.218.60.56/~jnz1568/getInfo.php?workbook=12_04.xlsx&amp;sheet=A0&amp;row=3689&amp;col=6&amp;number=0.0116&amp;sourceID=14","0.0116")</f>
        <v>0.0116</v>
      </c>
      <c r="G3689" s="4" t="str">
        <f>HYPERLINK("http://141.218.60.56/~jnz1568/getInfo.php?workbook=12_04.xlsx&amp;sheet=A0&amp;row=3689&amp;col=7&amp;number=0&amp;sourceID=14","0")</f>
        <v>0</v>
      </c>
    </row>
    <row r="3690" spans="1:7">
      <c r="A3690" s="3">
        <v>12</v>
      </c>
      <c r="B3690" s="3">
        <v>4</v>
      </c>
      <c r="C3690" s="3">
        <v>69</v>
      </c>
      <c r="D3690" s="3">
        <v>56</v>
      </c>
      <c r="E3690" s="3">
        <v>-691.569</v>
      </c>
      <c r="F3690" s="4" t="str">
        <f>HYPERLINK("http://141.218.60.56/~jnz1568/getInfo.php?workbook=12_04.xlsx&amp;sheet=A0&amp;row=3690&amp;col=6&amp;number=9.79&amp;sourceID=14","9.79")</f>
        <v>9.79</v>
      </c>
      <c r="G3690" s="4" t="str">
        <f>HYPERLINK("http://141.218.60.56/~jnz1568/getInfo.php?workbook=12_04.xlsx&amp;sheet=A0&amp;row=3690&amp;col=7&amp;number=0&amp;sourceID=14","0")</f>
        <v>0</v>
      </c>
    </row>
    <row r="3691" spans="1:7">
      <c r="A3691" s="3">
        <v>12</v>
      </c>
      <c r="B3691" s="3">
        <v>4</v>
      </c>
      <c r="C3691" s="3">
        <v>70</v>
      </c>
      <c r="D3691" s="3">
        <v>56</v>
      </c>
      <c r="E3691" s="3">
        <v>-688.559</v>
      </c>
      <c r="F3691" s="4" t="str">
        <f>HYPERLINK("http://141.218.60.56/~jnz1568/getInfo.php?workbook=12_04.xlsx&amp;sheet=A0&amp;row=3691&amp;col=6&amp;number=14.8&amp;sourceID=14","14.8")</f>
        <v>14.8</v>
      </c>
      <c r="G3691" s="4" t="str">
        <f>HYPERLINK("http://141.218.60.56/~jnz1568/getInfo.php?workbook=12_04.xlsx&amp;sheet=A0&amp;row=3691&amp;col=7&amp;number=0&amp;sourceID=14","0")</f>
        <v>0</v>
      </c>
    </row>
    <row r="3692" spans="1:7">
      <c r="A3692" s="3">
        <v>12</v>
      </c>
      <c r="B3692" s="3">
        <v>4</v>
      </c>
      <c r="C3692" s="3">
        <v>71</v>
      </c>
      <c r="D3692" s="3">
        <v>56</v>
      </c>
      <c r="E3692" s="3">
        <v>-679.524</v>
      </c>
      <c r="F3692" s="4" t="str">
        <f>HYPERLINK("http://141.218.60.56/~jnz1568/getInfo.php?workbook=12_04.xlsx&amp;sheet=A0&amp;row=3692&amp;col=6&amp;number=0.0156&amp;sourceID=14","0.0156")</f>
        <v>0.0156</v>
      </c>
      <c r="G3692" s="4" t="str">
        <f>HYPERLINK("http://141.218.60.56/~jnz1568/getInfo.php?workbook=12_04.xlsx&amp;sheet=A0&amp;row=3692&amp;col=7&amp;number=0&amp;sourceID=14","0")</f>
        <v>0</v>
      </c>
    </row>
    <row r="3693" spans="1:7">
      <c r="A3693" s="3">
        <v>12</v>
      </c>
      <c r="B3693" s="3">
        <v>4</v>
      </c>
      <c r="C3693" s="3">
        <v>72</v>
      </c>
      <c r="D3693" s="3">
        <v>56</v>
      </c>
      <c r="E3693" s="3">
        <v>678.151</v>
      </c>
      <c r="F3693" s="4" t="str">
        <f>HYPERLINK("http://141.218.60.56/~jnz1568/getInfo.php?workbook=12_04.xlsx&amp;sheet=A0&amp;row=3693&amp;col=6&amp;number=0.148&amp;sourceID=14","0.148")</f>
        <v>0.148</v>
      </c>
      <c r="G3693" s="4" t="str">
        <f>HYPERLINK("http://141.218.60.56/~jnz1568/getInfo.php?workbook=12_04.xlsx&amp;sheet=A0&amp;row=3693&amp;col=7&amp;number=0&amp;sourceID=14","0")</f>
        <v>0</v>
      </c>
    </row>
    <row r="3694" spans="1:7">
      <c r="A3694" s="3">
        <v>12</v>
      </c>
      <c r="B3694" s="3">
        <v>4</v>
      </c>
      <c r="C3694" s="3">
        <v>73</v>
      </c>
      <c r="D3694" s="3">
        <v>56</v>
      </c>
      <c r="E3694" s="3">
        <v>-663.725</v>
      </c>
      <c r="F3694" s="4" t="str">
        <f>HYPERLINK("http://141.218.60.56/~jnz1568/getInfo.php?workbook=12_04.xlsx&amp;sheet=A0&amp;row=3694&amp;col=6&amp;number=217000000&amp;sourceID=14","217000000")</f>
        <v>217000000</v>
      </c>
      <c r="G3694" s="4" t="str">
        <f>HYPERLINK("http://141.218.60.56/~jnz1568/getInfo.php?workbook=12_04.xlsx&amp;sheet=A0&amp;row=3694&amp;col=7&amp;number=0&amp;sourceID=14","0")</f>
        <v>0</v>
      </c>
    </row>
    <row r="3695" spans="1:7">
      <c r="A3695" s="3">
        <v>12</v>
      </c>
      <c r="B3695" s="3">
        <v>4</v>
      </c>
      <c r="C3695" s="3">
        <v>74</v>
      </c>
      <c r="D3695" s="3">
        <v>56</v>
      </c>
      <c r="E3695" s="3">
        <v>-655.417</v>
      </c>
      <c r="F3695" s="4" t="str">
        <f>HYPERLINK("http://141.218.60.56/~jnz1568/getInfo.php?workbook=12_04.xlsx&amp;sheet=A0&amp;row=3695&amp;col=6&amp;number=2620000&amp;sourceID=14","2620000")</f>
        <v>2620000</v>
      </c>
      <c r="G3695" s="4" t="str">
        <f>HYPERLINK("http://141.218.60.56/~jnz1568/getInfo.php?workbook=12_04.xlsx&amp;sheet=A0&amp;row=3695&amp;col=7&amp;number=0&amp;sourceID=14","0")</f>
        <v>0</v>
      </c>
    </row>
    <row r="3696" spans="1:7">
      <c r="A3696" s="3">
        <v>12</v>
      </c>
      <c r="B3696" s="3">
        <v>4</v>
      </c>
      <c r="C3696" s="3">
        <v>75</v>
      </c>
      <c r="D3696" s="3">
        <v>56</v>
      </c>
      <c r="E3696" s="3">
        <v>652.232</v>
      </c>
      <c r="F3696" s="4" t="str">
        <f>HYPERLINK("http://141.218.60.56/~jnz1568/getInfo.php?workbook=12_04.xlsx&amp;sheet=A0&amp;row=3696&amp;col=6&amp;number=521000000&amp;sourceID=14","521000000")</f>
        <v>521000000</v>
      </c>
      <c r="G3696" s="4" t="str">
        <f>HYPERLINK("http://141.218.60.56/~jnz1568/getInfo.php?workbook=12_04.xlsx&amp;sheet=A0&amp;row=3696&amp;col=7&amp;number=0&amp;sourceID=14","0")</f>
        <v>0</v>
      </c>
    </row>
    <row r="3697" spans="1:7">
      <c r="A3697" s="3">
        <v>12</v>
      </c>
      <c r="B3697" s="3">
        <v>4</v>
      </c>
      <c r="C3697" s="3">
        <v>76</v>
      </c>
      <c r="D3697" s="3">
        <v>56</v>
      </c>
      <c r="E3697" s="3">
        <v>652.785</v>
      </c>
      <c r="F3697" s="4" t="str">
        <f>HYPERLINK("http://141.218.60.56/~jnz1568/getInfo.php?workbook=12_04.xlsx&amp;sheet=A0&amp;row=3697&amp;col=6&amp;number=7&amp;sourceID=14","7")</f>
        <v>7</v>
      </c>
      <c r="G3697" s="4" t="str">
        <f>HYPERLINK("http://141.218.60.56/~jnz1568/getInfo.php?workbook=12_04.xlsx&amp;sheet=A0&amp;row=3697&amp;col=7&amp;number=0&amp;sourceID=14","0")</f>
        <v>0</v>
      </c>
    </row>
    <row r="3698" spans="1:7">
      <c r="A3698" s="3">
        <v>12</v>
      </c>
      <c r="B3698" s="3">
        <v>4</v>
      </c>
      <c r="C3698" s="3">
        <v>77</v>
      </c>
      <c r="D3698" s="3">
        <v>56</v>
      </c>
      <c r="E3698" s="3">
        <v>-646.205</v>
      </c>
      <c r="F3698" s="4" t="str">
        <f>HYPERLINK("http://141.218.60.56/~jnz1568/getInfo.php?workbook=12_04.xlsx&amp;sheet=A0&amp;row=3698&amp;col=6&amp;number=0.0887&amp;sourceID=14","0.0887")</f>
        <v>0.0887</v>
      </c>
      <c r="G3698" s="4" t="str">
        <f>HYPERLINK("http://141.218.60.56/~jnz1568/getInfo.php?workbook=12_04.xlsx&amp;sheet=A0&amp;row=3698&amp;col=7&amp;number=0&amp;sourceID=14","0")</f>
        <v>0</v>
      </c>
    </row>
    <row r="3699" spans="1:7">
      <c r="A3699" s="3">
        <v>12</v>
      </c>
      <c r="B3699" s="3">
        <v>4</v>
      </c>
      <c r="C3699" s="3">
        <v>78</v>
      </c>
      <c r="D3699" s="3">
        <v>56</v>
      </c>
      <c r="E3699" s="3">
        <v>-633.899</v>
      </c>
      <c r="F3699" s="4" t="str">
        <f>HYPERLINK("http://141.218.60.56/~jnz1568/getInfo.php?workbook=12_04.xlsx&amp;sheet=A0&amp;row=3699&amp;col=6&amp;number=17200000&amp;sourceID=14","17200000")</f>
        <v>17200000</v>
      </c>
      <c r="G3699" s="4" t="str">
        <f>HYPERLINK("http://141.218.60.56/~jnz1568/getInfo.php?workbook=12_04.xlsx&amp;sheet=A0&amp;row=3699&amp;col=7&amp;number=0&amp;sourceID=14","0")</f>
        <v>0</v>
      </c>
    </row>
    <row r="3700" spans="1:7">
      <c r="A3700" s="3">
        <v>12</v>
      </c>
      <c r="B3700" s="3">
        <v>4</v>
      </c>
      <c r="C3700" s="3">
        <v>79</v>
      </c>
      <c r="D3700" s="3">
        <v>56</v>
      </c>
      <c r="E3700" s="3">
        <v>-631.422</v>
      </c>
      <c r="F3700" s="4" t="str">
        <f>HYPERLINK("http://141.218.60.56/~jnz1568/getInfo.php?workbook=12_04.xlsx&amp;sheet=A0&amp;row=3700&amp;col=6&amp;number=36000000&amp;sourceID=14","36000000")</f>
        <v>36000000</v>
      </c>
      <c r="G3700" s="4" t="str">
        <f>HYPERLINK("http://141.218.60.56/~jnz1568/getInfo.php?workbook=12_04.xlsx&amp;sheet=A0&amp;row=3700&amp;col=7&amp;number=0&amp;sourceID=14","0")</f>
        <v>0</v>
      </c>
    </row>
    <row r="3701" spans="1:7">
      <c r="A3701" s="3">
        <v>12</v>
      </c>
      <c r="B3701" s="3">
        <v>4</v>
      </c>
      <c r="C3701" s="3">
        <v>80</v>
      </c>
      <c r="D3701" s="3">
        <v>56</v>
      </c>
      <c r="E3701" s="3">
        <v>-626.513</v>
      </c>
      <c r="F3701" s="4" t="str">
        <f>HYPERLINK("http://141.218.60.56/~jnz1568/getInfo.php?workbook=12_04.xlsx&amp;sheet=A0&amp;row=3701&amp;col=6&amp;number=37.6&amp;sourceID=14","37.6")</f>
        <v>37.6</v>
      </c>
      <c r="G3701" s="4" t="str">
        <f>HYPERLINK("http://141.218.60.56/~jnz1568/getInfo.php?workbook=12_04.xlsx&amp;sheet=A0&amp;row=3701&amp;col=7&amp;number=0&amp;sourceID=14","0")</f>
        <v>0</v>
      </c>
    </row>
    <row r="3702" spans="1:7">
      <c r="A3702" s="3">
        <v>12</v>
      </c>
      <c r="B3702" s="3">
        <v>4</v>
      </c>
      <c r="C3702" s="3">
        <v>81</v>
      </c>
      <c r="D3702" s="3">
        <v>56</v>
      </c>
      <c r="E3702" s="3">
        <v>623.598</v>
      </c>
      <c r="F3702" s="4" t="str">
        <f>HYPERLINK("http://141.218.60.56/~jnz1568/getInfo.php?workbook=12_04.xlsx&amp;sheet=A0&amp;row=3702&amp;col=6&amp;number=1380000&amp;sourceID=14","1380000")</f>
        <v>1380000</v>
      </c>
      <c r="G3702" s="4" t="str">
        <f>HYPERLINK("http://141.218.60.56/~jnz1568/getInfo.php?workbook=12_04.xlsx&amp;sheet=A0&amp;row=3702&amp;col=7&amp;number=0&amp;sourceID=14","0")</f>
        <v>0</v>
      </c>
    </row>
    <row r="3703" spans="1:7">
      <c r="A3703" s="3">
        <v>12</v>
      </c>
      <c r="B3703" s="3">
        <v>4</v>
      </c>
      <c r="C3703" s="3">
        <v>82</v>
      </c>
      <c r="D3703" s="3">
        <v>56</v>
      </c>
      <c r="E3703" s="3">
        <v>-625.095</v>
      </c>
      <c r="F3703" s="4" t="str">
        <f>HYPERLINK("http://141.218.60.56/~jnz1568/getInfo.php?workbook=12_04.xlsx&amp;sheet=A0&amp;row=3703&amp;col=6&amp;number=0.0855&amp;sourceID=14","0.0855")</f>
        <v>0.0855</v>
      </c>
      <c r="G3703" s="4" t="str">
        <f>HYPERLINK("http://141.218.60.56/~jnz1568/getInfo.php?workbook=12_04.xlsx&amp;sheet=A0&amp;row=3703&amp;col=7&amp;number=0&amp;sourceID=14","0")</f>
        <v>0</v>
      </c>
    </row>
    <row r="3704" spans="1:7">
      <c r="A3704" s="3">
        <v>12</v>
      </c>
      <c r="B3704" s="3">
        <v>4</v>
      </c>
      <c r="C3704" s="3">
        <v>83</v>
      </c>
      <c r="D3704" s="3">
        <v>56</v>
      </c>
      <c r="E3704" s="3">
        <v>-625.075</v>
      </c>
      <c r="F3704" s="4" t="str">
        <f>HYPERLINK("http://141.218.60.56/~jnz1568/getInfo.php?workbook=12_04.xlsx&amp;sheet=A0&amp;row=3704&amp;col=6&amp;number=0.641&amp;sourceID=14","0.641")</f>
        <v>0.641</v>
      </c>
      <c r="G3704" s="4" t="str">
        <f>HYPERLINK("http://141.218.60.56/~jnz1568/getInfo.php?workbook=12_04.xlsx&amp;sheet=A0&amp;row=3704&amp;col=7&amp;number=0&amp;sourceID=14","0")</f>
        <v>0</v>
      </c>
    </row>
    <row r="3705" spans="1:7">
      <c r="A3705" s="3">
        <v>12</v>
      </c>
      <c r="B3705" s="3">
        <v>4</v>
      </c>
      <c r="C3705" s="3">
        <v>84</v>
      </c>
      <c r="D3705" s="3">
        <v>56</v>
      </c>
      <c r="E3705" s="3">
        <v>-623.808</v>
      </c>
      <c r="F3705" s="4" t="str">
        <f>HYPERLINK("http://141.218.60.56/~jnz1568/getInfo.php?workbook=12_04.xlsx&amp;sheet=A0&amp;row=3705&amp;col=6&amp;number=12.7&amp;sourceID=14","12.7")</f>
        <v>12.7</v>
      </c>
      <c r="G3705" s="4" t="str">
        <f>HYPERLINK("http://141.218.60.56/~jnz1568/getInfo.php?workbook=12_04.xlsx&amp;sheet=A0&amp;row=3705&amp;col=7&amp;number=0&amp;sourceID=14","0")</f>
        <v>0</v>
      </c>
    </row>
    <row r="3706" spans="1:7">
      <c r="A3706" s="3">
        <v>12</v>
      </c>
      <c r="B3706" s="3">
        <v>4</v>
      </c>
      <c r="C3706" s="3">
        <v>85</v>
      </c>
      <c r="D3706" s="3">
        <v>56</v>
      </c>
      <c r="E3706" s="3">
        <v>618.966</v>
      </c>
      <c r="F3706" s="4" t="str">
        <f>HYPERLINK("http://141.218.60.56/~jnz1568/getInfo.php?workbook=12_04.xlsx&amp;sheet=A0&amp;row=3706&amp;col=6&amp;number=9300000&amp;sourceID=14","9300000")</f>
        <v>9300000</v>
      </c>
      <c r="G3706" s="4" t="str">
        <f>HYPERLINK("http://141.218.60.56/~jnz1568/getInfo.php?workbook=12_04.xlsx&amp;sheet=A0&amp;row=3706&amp;col=7&amp;number=0&amp;sourceID=14","0")</f>
        <v>0</v>
      </c>
    </row>
    <row r="3707" spans="1:7">
      <c r="A3707" s="3">
        <v>12</v>
      </c>
      <c r="B3707" s="3">
        <v>4</v>
      </c>
      <c r="C3707" s="3">
        <v>86</v>
      </c>
      <c r="D3707" s="3">
        <v>56</v>
      </c>
      <c r="E3707" s="3">
        <v>616.98</v>
      </c>
      <c r="F3707" s="4" t="str">
        <f>HYPERLINK("http://141.218.60.56/~jnz1568/getInfo.php?workbook=12_04.xlsx&amp;sheet=A0&amp;row=3707&amp;col=6&amp;number=2500000&amp;sourceID=14","2500000")</f>
        <v>2500000</v>
      </c>
      <c r="G3707" s="4" t="str">
        <f>HYPERLINK("http://141.218.60.56/~jnz1568/getInfo.php?workbook=12_04.xlsx&amp;sheet=A0&amp;row=3707&amp;col=7&amp;number=0&amp;sourceID=14","0")</f>
        <v>0</v>
      </c>
    </row>
    <row r="3708" spans="1:7">
      <c r="A3708" s="3">
        <v>12</v>
      </c>
      <c r="B3708" s="3">
        <v>4</v>
      </c>
      <c r="C3708" s="3">
        <v>87</v>
      </c>
      <c r="D3708" s="3">
        <v>56</v>
      </c>
      <c r="E3708" s="3">
        <v>-614.493</v>
      </c>
      <c r="F3708" s="4" t="str">
        <f>HYPERLINK("http://141.218.60.56/~jnz1568/getInfo.php?workbook=12_04.xlsx&amp;sheet=A0&amp;row=3708&amp;col=6&amp;number=0.0416&amp;sourceID=14","0.0416")</f>
        <v>0.0416</v>
      </c>
      <c r="G3708" s="4" t="str">
        <f>HYPERLINK("http://141.218.60.56/~jnz1568/getInfo.php?workbook=12_04.xlsx&amp;sheet=A0&amp;row=3708&amp;col=7&amp;number=0&amp;sourceID=14","0")</f>
        <v>0</v>
      </c>
    </row>
    <row r="3709" spans="1:7">
      <c r="A3709" s="3">
        <v>12</v>
      </c>
      <c r="B3709" s="3">
        <v>4</v>
      </c>
      <c r="C3709" s="3">
        <v>88</v>
      </c>
      <c r="D3709" s="3">
        <v>56</v>
      </c>
      <c r="E3709" s="3">
        <v>-611.551</v>
      </c>
      <c r="F3709" s="4" t="str">
        <f>HYPERLINK("http://141.218.60.56/~jnz1568/getInfo.php?workbook=12_04.xlsx&amp;sheet=A0&amp;row=3709&amp;col=6&amp;number=8.63&amp;sourceID=14","8.63")</f>
        <v>8.63</v>
      </c>
      <c r="G3709" s="4" t="str">
        <f>HYPERLINK("http://141.218.60.56/~jnz1568/getInfo.php?workbook=12_04.xlsx&amp;sheet=A0&amp;row=3709&amp;col=7&amp;number=0&amp;sourceID=14","0")</f>
        <v>0</v>
      </c>
    </row>
    <row r="3710" spans="1:7">
      <c r="A3710" s="3">
        <v>12</v>
      </c>
      <c r="B3710" s="3">
        <v>4</v>
      </c>
      <c r="C3710" s="3">
        <v>89</v>
      </c>
      <c r="D3710" s="3">
        <v>56</v>
      </c>
      <c r="E3710" s="3">
        <v>-609.824</v>
      </c>
      <c r="F3710" s="4" t="str">
        <f>HYPERLINK("http://141.218.60.56/~jnz1568/getInfo.php?workbook=12_04.xlsx&amp;sheet=A0&amp;row=3710&amp;col=6&amp;number=13&amp;sourceID=14","13")</f>
        <v>13</v>
      </c>
      <c r="G3710" s="4" t="str">
        <f>HYPERLINK("http://141.218.60.56/~jnz1568/getInfo.php?workbook=12_04.xlsx&amp;sheet=A0&amp;row=3710&amp;col=7&amp;number=0&amp;sourceID=14","0")</f>
        <v>0</v>
      </c>
    </row>
    <row r="3711" spans="1:7">
      <c r="A3711" s="3">
        <v>12</v>
      </c>
      <c r="B3711" s="3">
        <v>4</v>
      </c>
      <c r="C3711" s="3">
        <v>91</v>
      </c>
      <c r="D3711" s="3">
        <v>56</v>
      </c>
      <c r="E3711" s="3">
        <v>-600.331</v>
      </c>
      <c r="F3711" s="4" t="str">
        <f>HYPERLINK("http://141.218.60.56/~jnz1568/getInfo.php?workbook=12_04.xlsx&amp;sheet=A0&amp;row=3711&amp;col=6&amp;number=1.87&amp;sourceID=14","1.87")</f>
        <v>1.87</v>
      </c>
      <c r="G3711" s="4" t="str">
        <f>HYPERLINK("http://141.218.60.56/~jnz1568/getInfo.php?workbook=12_04.xlsx&amp;sheet=A0&amp;row=3711&amp;col=7&amp;number=0&amp;sourceID=14","0")</f>
        <v>0</v>
      </c>
    </row>
    <row r="3712" spans="1:7">
      <c r="A3712" s="3">
        <v>12</v>
      </c>
      <c r="B3712" s="3">
        <v>4</v>
      </c>
      <c r="C3712" s="3">
        <v>92</v>
      </c>
      <c r="D3712" s="3">
        <v>56</v>
      </c>
      <c r="E3712" s="3">
        <v>-599.299</v>
      </c>
      <c r="F3712" s="4" t="str">
        <f>HYPERLINK("http://141.218.60.56/~jnz1568/getInfo.php?workbook=12_04.xlsx&amp;sheet=A0&amp;row=3712&amp;col=6&amp;number=150&amp;sourceID=14","150")</f>
        <v>150</v>
      </c>
      <c r="G3712" s="4" t="str">
        <f>HYPERLINK("http://141.218.60.56/~jnz1568/getInfo.php?workbook=12_04.xlsx&amp;sheet=A0&amp;row=3712&amp;col=7&amp;number=0&amp;sourceID=14","0")</f>
        <v>0</v>
      </c>
    </row>
    <row r="3713" spans="1:7">
      <c r="A3713" s="3">
        <v>12</v>
      </c>
      <c r="B3713" s="3">
        <v>4</v>
      </c>
      <c r="C3713" s="3">
        <v>93</v>
      </c>
      <c r="D3713" s="3">
        <v>56</v>
      </c>
      <c r="E3713" s="3">
        <v>-598.356</v>
      </c>
      <c r="F3713" s="4" t="str">
        <f>HYPERLINK("http://141.218.60.56/~jnz1568/getInfo.php?workbook=12_04.xlsx&amp;sheet=A0&amp;row=3713&amp;col=6&amp;number=0.126&amp;sourceID=14","0.126")</f>
        <v>0.126</v>
      </c>
      <c r="G3713" s="4" t="str">
        <f>HYPERLINK("http://141.218.60.56/~jnz1568/getInfo.php?workbook=12_04.xlsx&amp;sheet=A0&amp;row=3713&amp;col=7&amp;number=0&amp;sourceID=14","0")</f>
        <v>0</v>
      </c>
    </row>
    <row r="3714" spans="1:7">
      <c r="A3714" s="3">
        <v>12</v>
      </c>
      <c r="B3714" s="3">
        <v>4</v>
      </c>
      <c r="C3714" s="3">
        <v>94</v>
      </c>
      <c r="D3714" s="3">
        <v>56</v>
      </c>
      <c r="E3714" s="3">
        <v>-594.913</v>
      </c>
      <c r="F3714" s="4" t="str">
        <f>HYPERLINK("http://141.218.60.56/~jnz1568/getInfo.php?workbook=12_04.xlsx&amp;sheet=A0&amp;row=3714&amp;col=6&amp;number=0.00041&amp;sourceID=14","0.00041")</f>
        <v>0.00041</v>
      </c>
      <c r="G3714" s="4" t="str">
        <f>HYPERLINK("http://141.218.60.56/~jnz1568/getInfo.php?workbook=12_04.xlsx&amp;sheet=A0&amp;row=3714&amp;col=7&amp;number=0&amp;sourceID=14","0")</f>
        <v>0</v>
      </c>
    </row>
    <row r="3715" spans="1:7">
      <c r="A3715" s="3">
        <v>12</v>
      </c>
      <c r="B3715" s="3">
        <v>4</v>
      </c>
      <c r="C3715" s="3">
        <v>95</v>
      </c>
      <c r="D3715" s="3">
        <v>56</v>
      </c>
      <c r="E3715" s="3">
        <v>-592.678</v>
      </c>
      <c r="F3715" s="4" t="str">
        <f>HYPERLINK("http://141.218.60.56/~jnz1568/getInfo.php?workbook=12_04.xlsx&amp;sheet=A0&amp;row=3715&amp;col=6&amp;number=3250&amp;sourceID=14","3250")</f>
        <v>3250</v>
      </c>
      <c r="G3715" s="4" t="str">
        <f>HYPERLINK("http://141.218.60.56/~jnz1568/getInfo.php?workbook=12_04.xlsx&amp;sheet=A0&amp;row=3715&amp;col=7&amp;number=0&amp;sourceID=14","0")</f>
        <v>0</v>
      </c>
    </row>
    <row r="3716" spans="1:7">
      <c r="A3716" s="3">
        <v>12</v>
      </c>
      <c r="B3716" s="3">
        <v>4</v>
      </c>
      <c r="C3716" s="3">
        <v>96</v>
      </c>
      <c r="D3716" s="3">
        <v>56</v>
      </c>
      <c r="E3716" s="3">
        <v>-590.623</v>
      </c>
      <c r="F3716" s="4" t="str">
        <f>HYPERLINK("http://141.218.60.56/~jnz1568/getInfo.php?workbook=12_04.xlsx&amp;sheet=A0&amp;row=3716&amp;col=6&amp;number=0.424&amp;sourceID=14","0.424")</f>
        <v>0.424</v>
      </c>
      <c r="G3716" s="4" t="str">
        <f>HYPERLINK("http://141.218.60.56/~jnz1568/getInfo.php?workbook=12_04.xlsx&amp;sheet=A0&amp;row=3716&amp;col=7&amp;number=0&amp;sourceID=14","0")</f>
        <v>0</v>
      </c>
    </row>
    <row r="3717" spans="1:7">
      <c r="A3717" s="3">
        <v>12</v>
      </c>
      <c r="B3717" s="3">
        <v>4</v>
      </c>
      <c r="C3717" s="3">
        <v>97</v>
      </c>
      <c r="D3717" s="3">
        <v>56</v>
      </c>
      <c r="E3717" s="3">
        <v>592.84</v>
      </c>
      <c r="F3717" s="4" t="str">
        <f>HYPERLINK("http://141.218.60.56/~jnz1568/getInfo.php?workbook=12_04.xlsx&amp;sheet=A0&amp;row=3717&amp;col=6&amp;number=459000000&amp;sourceID=14","459000000")</f>
        <v>459000000</v>
      </c>
      <c r="G3717" s="4" t="str">
        <f>HYPERLINK("http://141.218.60.56/~jnz1568/getInfo.php?workbook=12_04.xlsx&amp;sheet=A0&amp;row=3717&amp;col=7&amp;number=0&amp;sourceID=14","0")</f>
        <v>0</v>
      </c>
    </row>
    <row r="3718" spans="1:7">
      <c r="A3718" s="3">
        <v>12</v>
      </c>
      <c r="B3718" s="3">
        <v>4</v>
      </c>
      <c r="C3718" s="3">
        <v>98</v>
      </c>
      <c r="D3718" s="3">
        <v>56</v>
      </c>
      <c r="E3718" s="3">
        <v>586.787</v>
      </c>
      <c r="F3718" s="4" t="str">
        <f>HYPERLINK("http://141.218.60.56/~jnz1568/getInfo.php?workbook=12_04.xlsx&amp;sheet=A0&amp;row=3718&amp;col=6&amp;number=1480000000&amp;sourceID=14","1480000000")</f>
        <v>1480000000</v>
      </c>
      <c r="G3718" s="4" t="str">
        <f>HYPERLINK("http://141.218.60.56/~jnz1568/getInfo.php?workbook=12_04.xlsx&amp;sheet=A0&amp;row=3718&amp;col=7&amp;number=0&amp;sourceID=14","0")</f>
        <v>0</v>
      </c>
    </row>
    <row r="3719" spans="1:7">
      <c r="A3719" s="3">
        <v>12</v>
      </c>
      <c r="B3719" s="3">
        <v>4</v>
      </c>
      <c r="C3719" s="3">
        <v>58</v>
      </c>
      <c r="D3719" s="3">
        <v>57</v>
      </c>
      <c r="E3719" s="3">
        <v>-3448282.25</v>
      </c>
      <c r="F3719" s="4" t="str">
        <f>HYPERLINK("http://141.218.60.56/~jnz1568/getInfo.php?workbook=12_04.xlsx&amp;sheet=A0&amp;row=3719&amp;col=6&amp;number=5.92e-07&amp;sourceID=14","5.92e-07")</f>
        <v>5.92e-07</v>
      </c>
      <c r="G3719" s="4" t="str">
        <f>HYPERLINK("http://141.218.60.56/~jnz1568/getInfo.php?workbook=12_04.xlsx&amp;sheet=A0&amp;row=3719&amp;col=7&amp;number=0&amp;sourceID=14","0")</f>
        <v>0</v>
      </c>
    </row>
    <row r="3720" spans="1:7">
      <c r="A3720" s="3">
        <v>12</v>
      </c>
      <c r="B3720" s="3">
        <v>4</v>
      </c>
      <c r="C3720" s="3">
        <v>59</v>
      </c>
      <c r="D3720" s="3">
        <v>57</v>
      </c>
      <c r="E3720" s="3">
        <v>-1492540</v>
      </c>
      <c r="F3720" s="4" t="str">
        <f>HYPERLINK("http://141.218.60.56/~jnz1568/getInfo.php?workbook=12_04.xlsx&amp;sheet=A0&amp;row=3720&amp;col=6&amp;number=6.21e-15&amp;sourceID=14","6.21e-15")</f>
        <v>6.21e-15</v>
      </c>
      <c r="G3720" s="4" t="str">
        <f>HYPERLINK("http://141.218.60.56/~jnz1568/getInfo.php?workbook=12_04.xlsx&amp;sheet=A0&amp;row=3720&amp;col=7&amp;number=0&amp;sourceID=14","0")</f>
        <v>0</v>
      </c>
    </row>
    <row r="3721" spans="1:7">
      <c r="A3721" s="3">
        <v>12</v>
      </c>
      <c r="B3721" s="3">
        <v>4</v>
      </c>
      <c r="C3721" s="3">
        <v>60</v>
      </c>
      <c r="D3721" s="3">
        <v>57</v>
      </c>
      <c r="E3721" s="3">
        <v>-38565.438</v>
      </c>
      <c r="F3721" s="4" t="str">
        <f>HYPERLINK("http://141.218.60.56/~jnz1568/getInfo.php?workbook=12_04.xlsx&amp;sheet=A0&amp;row=3721&amp;col=6&amp;number=3.37e-05&amp;sourceID=14","3.37e-05")</f>
        <v>3.37e-05</v>
      </c>
      <c r="G3721" s="4" t="str">
        <f>HYPERLINK("http://141.218.60.56/~jnz1568/getInfo.php?workbook=12_04.xlsx&amp;sheet=A0&amp;row=3721&amp;col=7&amp;number=0&amp;sourceID=14","0")</f>
        <v>0</v>
      </c>
    </row>
    <row r="3722" spans="1:7">
      <c r="A3722" s="3">
        <v>12</v>
      </c>
      <c r="B3722" s="3">
        <v>4</v>
      </c>
      <c r="C3722" s="3">
        <v>61</v>
      </c>
      <c r="D3722" s="3">
        <v>57</v>
      </c>
      <c r="E3722" s="3">
        <v>-845.296</v>
      </c>
      <c r="F3722" s="4" t="str">
        <f>HYPERLINK("http://141.218.60.56/~jnz1568/getInfo.php?workbook=12_04.xlsx&amp;sheet=A0&amp;row=3722&amp;col=6&amp;number=5.48&amp;sourceID=14","5.48")</f>
        <v>5.48</v>
      </c>
      <c r="G3722" s="4" t="str">
        <f>HYPERLINK("http://141.218.60.56/~jnz1568/getInfo.php?workbook=12_04.xlsx&amp;sheet=A0&amp;row=3722&amp;col=7&amp;number=0&amp;sourceID=14","0")</f>
        <v>0</v>
      </c>
    </row>
    <row r="3723" spans="1:7">
      <c r="A3723" s="3">
        <v>12</v>
      </c>
      <c r="B3723" s="3">
        <v>4</v>
      </c>
      <c r="C3723" s="3">
        <v>62</v>
      </c>
      <c r="D3723" s="3">
        <v>57</v>
      </c>
      <c r="E3723" s="3">
        <v>-838.787</v>
      </c>
      <c r="F3723" s="4" t="str">
        <f>HYPERLINK("http://141.218.60.56/~jnz1568/getInfo.php?workbook=12_04.xlsx&amp;sheet=A0&amp;row=3723&amp;col=6&amp;number=1.77&amp;sourceID=14","1.77")</f>
        <v>1.77</v>
      </c>
      <c r="G3723" s="4" t="str">
        <f>HYPERLINK("http://141.218.60.56/~jnz1568/getInfo.php?workbook=12_04.xlsx&amp;sheet=A0&amp;row=3723&amp;col=7&amp;number=0&amp;sourceID=14","0")</f>
        <v>0</v>
      </c>
    </row>
    <row r="3724" spans="1:7">
      <c r="A3724" s="3">
        <v>12</v>
      </c>
      <c r="B3724" s="3">
        <v>4</v>
      </c>
      <c r="C3724" s="3">
        <v>63</v>
      </c>
      <c r="D3724" s="3">
        <v>57</v>
      </c>
      <c r="E3724" s="3">
        <v>-818.332</v>
      </c>
      <c r="F3724" s="4" t="str">
        <f>HYPERLINK("http://141.218.60.56/~jnz1568/getInfo.php?workbook=12_04.xlsx&amp;sheet=A0&amp;row=3724&amp;col=6&amp;number=0.161&amp;sourceID=14","0.161")</f>
        <v>0.161</v>
      </c>
      <c r="G3724" s="4" t="str">
        <f>HYPERLINK("http://141.218.60.56/~jnz1568/getInfo.php?workbook=12_04.xlsx&amp;sheet=A0&amp;row=3724&amp;col=7&amp;number=0&amp;sourceID=14","0")</f>
        <v>0</v>
      </c>
    </row>
    <row r="3725" spans="1:7">
      <c r="A3725" s="3">
        <v>12</v>
      </c>
      <c r="B3725" s="3">
        <v>4</v>
      </c>
      <c r="C3725" s="3">
        <v>64</v>
      </c>
      <c r="D3725" s="3">
        <v>57</v>
      </c>
      <c r="E3725" s="3">
        <v>-778.581</v>
      </c>
      <c r="F3725" s="4" t="str">
        <f>HYPERLINK("http://141.218.60.56/~jnz1568/getInfo.php?workbook=12_04.xlsx&amp;sheet=A0&amp;row=3725&amp;col=6&amp;number=0.0727&amp;sourceID=14","0.0727")</f>
        <v>0.0727</v>
      </c>
      <c r="G3725" s="4" t="str">
        <f>HYPERLINK("http://141.218.60.56/~jnz1568/getInfo.php?workbook=12_04.xlsx&amp;sheet=A0&amp;row=3725&amp;col=7&amp;number=0&amp;sourceID=14","0")</f>
        <v>0</v>
      </c>
    </row>
    <row r="3726" spans="1:7">
      <c r="A3726" s="3">
        <v>12</v>
      </c>
      <c r="B3726" s="3">
        <v>4</v>
      </c>
      <c r="C3726" s="3">
        <v>65</v>
      </c>
      <c r="D3726" s="3">
        <v>57</v>
      </c>
      <c r="E3726" s="3">
        <v>-735.479</v>
      </c>
      <c r="F3726" s="4" t="str">
        <f>HYPERLINK("http://141.218.60.56/~jnz1568/getInfo.php?workbook=12_04.xlsx&amp;sheet=A0&amp;row=3726&amp;col=6&amp;number=1740000&amp;sourceID=14","1740000")</f>
        <v>1740000</v>
      </c>
      <c r="G3726" s="4" t="str">
        <f>HYPERLINK("http://141.218.60.56/~jnz1568/getInfo.php?workbook=12_04.xlsx&amp;sheet=A0&amp;row=3726&amp;col=7&amp;number=0&amp;sourceID=14","0")</f>
        <v>0</v>
      </c>
    </row>
    <row r="3727" spans="1:7">
      <c r="A3727" s="3">
        <v>12</v>
      </c>
      <c r="B3727" s="3">
        <v>4</v>
      </c>
      <c r="C3727" s="3">
        <v>66</v>
      </c>
      <c r="D3727" s="3">
        <v>57</v>
      </c>
      <c r="E3727" s="3">
        <v>-721.929</v>
      </c>
      <c r="F3727" s="4" t="str">
        <f>HYPERLINK("http://141.218.60.56/~jnz1568/getInfo.php?workbook=12_04.xlsx&amp;sheet=A0&amp;row=3727&amp;col=6&amp;number=3970000&amp;sourceID=14","3970000")</f>
        <v>3970000</v>
      </c>
      <c r="G3727" s="4" t="str">
        <f>HYPERLINK("http://141.218.60.56/~jnz1568/getInfo.php?workbook=12_04.xlsx&amp;sheet=A0&amp;row=3727&amp;col=7&amp;number=0&amp;sourceID=14","0")</f>
        <v>0</v>
      </c>
    </row>
    <row r="3728" spans="1:7">
      <c r="A3728" s="3">
        <v>12</v>
      </c>
      <c r="B3728" s="3">
        <v>4</v>
      </c>
      <c r="C3728" s="3">
        <v>67</v>
      </c>
      <c r="D3728" s="3">
        <v>57</v>
      </c>
      <c r="E3728" s="3">
        <v>-719.586</v>
      </c>
      <c r="F3728" s="4" t="str">
        <f>HYPERLINK("http://141.218.60.56/~jnz1568/getInfo.php?workbook=12_04.xlsx&amp;sheet=A0&amp;row=3728&amp;col=6&amp;number=630000&amp;sourceID=14","630000")</f>
        <v>630000</v>
      </c>
      <c r="G3728" s="4" t="str">
        <f>HYPERLINK("http://141.218.60.56/~jnz1568/getInfo.php?workbook=12_04.xlsx&amp;sheet=A0&amp;row=3728&amp;col=7&amp;number=0&amp;sourceID=14","0")</f>
        <v>0</v>
      </c>
    </row>
    <row r="3729" spans="1:7">
      <c r="A3729" s="3">
        <v>12</v>
      </c>
      <c r="B3729" s="3">
        <v>4</v>
      </c>
      <c r="C3729" s="3">
        <v>68</v>
      </c>
      <c r="D3729" s="3">
        <v>57</v>
      </c>
      <c r="E3729" s="3">
        <v>-707.17</v>
      </c>
      <c r="F3729" s="4" t="str">
        <f>HYPERLINK("http://141.218.60.56/~jnz1568/getInfo.php?workbook=12_04.xlsx&amp;sheet=A0&amp;row=3729&amp;col=6&amp;number=12600&amp;sourceID=14","12600")</f>
        <v>12600</v>
      </c>
      <c r="G3729" s="4" t="str">
        <f>HYPERLINK("http://141.218.60.56/~jnz1568/getInfo.php?workbook=12_04.xlsx&amp;sheet=A0&amp;row=3729&amp;col=7&amp;number=0&amp;sourceID=14","0")</f>
        <v>0</v>
      </c>
    </row>
    <row r="3730" spans="1:7">
      <c r="A3730" s="3">
        <v>12</v>
      </c>
      <c r="B3730" s="3">
        <v>4</v>
      </c>
      <c r="C3730" s="3">
        <v>69</v>
      </c>
      <c r="D3730" s="3">
        <v>57</v>
      </c>
      <c r="E3730" s="3">
        <v>-692.978</v>
      </c>
      <c r="F3730" s="4" t="str">
        <f>HYPERLINK("http://141.218.60.56/~jnz1568/getInfo.php?workbook=12_04.xlsx&amp;sheet=A0&amp;row=3730&amp;col=6&amp;number=80300&amp;sourceID=14","80300")</f>
        <v>80300</v>
      </c>
      <c r="G3730" s="4" t="str">
        <f>HYPERLINK("http://141.218.60.56/~jnz1568/getInfo.php?workbook=12_04.xlsx&amp;sheet=A0&amp;row=3730&amp;col=7&amp;number=0&amp;sourceID=14","0")</f>
        <v>0</v>
      </c>
    </row>
    <row r="3731" spans="1:7">
      <c r="A3731" s="3">
        <v>12</v>
      </c>
      <c r="B3731" s="3">
        <v>4</v>
      </c>
      <c r="C3731" s="3">
        <v>70</v>
      </c>
      <c r="D3731" s="3">
        <v>57</v>
      </c>
      <c r="E3731" s="3">
        <v>-689.956</v>
      </c>
      <c r="F3731" s="4" t="str">
        <f>HYPERLINK("http://141.218.60.56/~jnz1568/getInfo.php?workbook=12_04.xlsx&amp;sheet=A0&amp;row=3731&amp;col=6&amp;number=0.000257&amp;sourceID=14","0.000257")</f>
        <v>0.000257</v>
      </c>
      <c r="G3731" s="4" t="str">
        <f>HYPERLINK("http://141.218.60.56/~jnz1568/getInfo.php?workbook=12_04.xlsx&amp;sheet=A0&amp;row=3731&amp;col=7&amp;number=0&amp;sourceID=14","0")</f>
        <v>0</v>
      </c>
    </row>
    <row r="3732" spans="1:7">
      <c r="A3732" s="3">
        <v>12</v>
      </c>
      <c r="B3732" s="3">
        <v>4</v>
      </c>
      <c r="C3732" s="3">
        <v>71</v>
      </c>
      <c r="D3732" s="3">
        <v>57</v>
      </c>
      <c r="E3732" s="3">
        <v>-680.885</v>
      </c>
      <c r="F3732" s="4" t="str">
        <f>HYPERLINK("http://141.218.60.56/~jnz1568/getInfo.php?workbook=12_04.xlsx&amp;sheet=A0&amp;row=3732&amp;col=6&amp;number=39400&amp;sourceID=14","39400")</f>
        <v>39400</v>
      </c>
      <c r="G3732" s="4" t="str">
        <f>HYPERLINK("http://141.218.60.56/~jnz1568/getInfo.php?workbook=12_04.xlsx&amp;sheet=A0&amp;row=3732&amp;col=7&amp;number=0&amp;sourceID=14","0")</f>
        <v>0</v>
      </c>
    </row>
    <row r="3733" spans="1:7">
      <c r="A3733" s="3">
        <v>12</v>
      </c>
      <c r="B3733" s="3">
        <v>4</v>
      </c>
      <c r="C3733" s="3">
        <v>72</v>
      </c>
      <c r="D3733" s="3">
        <v>57</v>
      </c>
      <c r="E3733" s="3">
        <v>-678.727</v>
      </c>
      <c r="F3733" s="4" t="str">
        <f>HYPERLINK("http://141.218.60.56/~jnz1568/getInfo.php?workbook=12_04.xlsx&amp;sheet=A0&amp;row=3733&amp;col=6&amp;number=10500&amp;sourceID=14","10500")</f>
        <v>10500</v>
      </c>
      <c r="G3733" s="4" t="str">
        <f>HYPERLINK("http://141.218.60.56/~jnz1568/getInfo.php?workbook=12_04.xlsx&amp;sheet=A0&amp;row=3733&amp;col=7&amp;number=0&amp;sourceID=14","0")</f>
        <v>0</v>
      </c>
    </row>
    <row r="3734" spans="1:7">
      <c r="A3734" s="3">
        <v>12</v>
      </c>
      <c r="B3734" s="3">
        <v>4</v>
      </c>
      <c r="C3734" s="3">
        <v>73</v>
      </c>
      <c r="D3734" s="3">
        <v>57</v>
      </c>
      <c r="E3734" s="3">
        <v>-665.023</v>
      </c>
      <c r="F3734" s="4" t="str">
        <f>HYPERLINK("http://141.218.60.56/~jnz1568/getInfo.php?workbook=12_04.xlsx&amp;sheet=A0&amp;row=3734&amp;col=6&amp;number=0.125&amp;sourceID=14","0.125")</f>
        <v>0.125</v>
      </c>
      <c r="G3734" s="4" t="str">
        <f>HYPERLINK("http://141.218.60.56/~jnz1568/getInfo.php?workbook=12_04.xlsx&amp;sheet=A0&amp;row=3734&amp;col=7&amp;number=0&amp;sourceID=14","0")</f>
        <v>0</v>
      </c>
    </row>
    <row r="3735" spans="1:7">
      <c r="A3735" s="3">
        <v>12</v>
      </c>
      <c r="B3735" s="3">
        <v>4</v>
      </c>
      <c r="C3735" s="3">
        <v>74</v>
      </c>
      <c r="D3735" s="3">
        <v>57</v>
      </c>
      <c r="E3735" s="3">
        <v>-656.682</v>
      </c>
      <c r="F3735" s="4" t="str">
        <f>HYPERLINK("http://141.218.60.56/~jnz1568/getInfo.php?workbook=12_04.xlsx&amp;sheet=A0&amp;row=3735&amp;col=6&amp;number=0.128&amp;sourceID=14","0.128")</f>
        <v>0.128</v>
      </c>
      <c r="G3735" s="4" t="str">
        <f>HYPERLINK("http://141.218.60.56/~jnz1568/getInfo.php?workbook=12_04.xlsx&amp;sheet=A0&amp;row=3735&amp;col=7&amp;number=0&amp;sourceID=14","0")</f>
        <v>0</v>
      </c>
    </row>
    <row r="3736" spans="1:7">
      <c r="A3736" s="3">
        <v>12</v>
      </c>
      <c r="B3736" s="3">
        <v>4</v>
      </c>
      <c r="C3736" s="3">
        <v>75</v>
      </c>
      <c r="D3736" s="3">
        <v>57</v>
      </c>
      <c r="E3736" s="3">
        <v>-654.096</v>
      </c>
      <c r="F3736" s="4" t="str">
        <f>HYPERLINK("http://141.218.60.56/~jnz1568/getInfo.php?workbook=12_04.xlsx&amp;sheet=A0&amp;row=3736&amp;col=6&amp;number=0.419&amp;sourceID=14","0.419")</f>
        <v>0.419</v>
      </c>
      <c r="G3736" s="4" t="str">
        <f>HYPERLINK("http://141.218.60.56/~jnz1568/getInfo.php?workbook=12_04.xlsx&amp;sheet=A0&amp;row=3736&amp;col=7&amp;number=0&amp;sourceID=14","0")</f>
        <v>0</v>
      </c>
    </row>
    <row r="3737" spans="1:7">
      <c r="A3737" s="3">
        <v>12</v>
      </c>
      <c r="B3737" s="3">
        <v>4</v>
      </c>
      <c r="C3737" s="3">
        <v>76</v>
      </c>
      <c r="D3737" s="3">
        <v>57</v>
      </c>
      <c r="E3737" s="3">
        <v>-649.525</v>
      </c>
      <c r="F3737" s="4" t="str">
        <f>HYPERLINK("http://141.218.60.56/~jnz1568/getInfo.php?workbook=12_04.xlsx&amp;sheet=A0&amp;row=3737&amp;col=6&amp;number=492000&amp;sourceID=14","492000")</f>
        <v>492000</v>
      </c>
      <c r="G3737" s="4" t="str">
        <f>HYPERLINK("http://141.218.60.56/~jnz1568/getInfo.php?workbook=12_04.xlsx&amp;sheet=A0&amp;row=3737&amp;col=7&amp;number=0&amp;sourceID=14","0")</f>
        <v>0</v>
      </c>
    </row>
    <row r="3738" spans="1:7">
      <c r="A3738" s="3">
        <v>12</v>
      </c>
      <c r="B3738" s="3">
        <v>4</v>
      </c>
      <c r="C3738" s="3">
        <v>77</v>
      </c>
      <c r="D3738" s="3">
        <v>57</v>
      </c>
      <c r="E3738" s="3">
        <v>-647.435</v>
      </c>
      <c r="F3738" s="4" t="str">
        <f>HYPERLINK("http://141.218.60.56/~jnz1568/getInfo.php?workbook=12_04.xlsx&amp;sheet=A0&amp;row=3738&amp;col=6&amp;number=0.00801&amp;sourceID=14","0.00801")</f>
        <v>0.00801</v>
      </c>
      <c r="G3738" s="4" t="str">
        <f>HYPERLINK("http://141.218.60.56/~jnz1568/getInfo.php?workbook=12_04.xlsx&amp;sheet=A0&amp;row=3738&amp;col=7&amp;number=0&amp;sourceID=14","0")</f>
        <v>0</v>
      </c>
    </row>
    <row r="3739" spans="1:7">
      <c r="A3739" s="3">
        <v>12</v>
      </c>
      <c r="B3739" s="3">
        <v>4</v>
      </c>
      <c r="C3739" s="3">
        <v>78</v>
      </c>
      <c r="D3739" s="3">
        <v>57</v>
      </c>
      <c r="E3739" s="3">
        <v>-635.083</v>
      </c>
      <c r="F3739" s="4" t="str">
        <f>HYPERLINK("http://141.218.60.56/~jnz1568/getInfo.php?workbook=12_04.xlsx&amp;sheet=A0&amp;row=3739&amp;col=6&amp;number=0.615&amp;sourceID=14","0.615")</f>
        <v>0.615</v>
      </c>
      <c r="G3739" s="4" t="str">
        <f>HYPERLINK("http://141.218.60.56/~jnz1568/getInfo.php?workbook=12_04.xlsx&amp;sheet=A0&amp;row=3739&amp;col=7&amp;number=0&amp;sourceID=14","0")</f>
        <v>0</v>
      </c>
    </row>
    <row r="3740" spans="1:7">
      <c r="A3740" s="3">
        <v>12</v>
      </c>
      <c r="B3740" s="3">
        <v>4</v>
      </c>
      <c r="C3740" s="3">
        <v>79</v>
      </c>
      <c r="D3740" s="3">
        <v>57</v>
      </c>
      <c r="E3740" s="3">
        <v>-632.596</v>
      </c>
      <c r="F3740" s="4" t="str">
        <f>HYPERLINK("http://141.218.60.56/~jnz1568/getInfo.php?workbook=12_04.xlsx&amp;sheet=A0&amp;row=3740&amp;col=6&amp;number=0.0321&amp;sourceID=14","0.0321")</f>
        <v>0.0321</v>
      </c>
      <c r="G3740" s="4" t="str">
        <f>HYPERLINK("http://141.218.60.56/~jnz1568/getInfo.php?workbook=12_04.xlsx&amp;sheet=A0&amp;row=3740&amp;col=7&amp;number=0&amp;sourceID=14","0")</f>
        <v>0</v>
      </c>
    </row>
    <row r="3741" spans="1:7">
      <c r="A3741" s="3">
        <v>12</v>
      </c>
      <c r="B3741" s="3">
        <v>4</v>
      </c>
      <c r="C3741" s="3">
        <v>80</v>
      </c>
      <c r="D3741" s="3">
        <v>57</v>
      </c>
      <c r="E3741" s="3">
        <v>-627.669</v>
      </c>
      <c r="F3741" s="4" t="str">
        <f>HYPERLINK("http://141.218.60.56/~jnz1568/getInfo.php?workbook=12_04.xlsx&amp;sheet=A0&amp;row=3741&amp;col=6&amp;number=99300000&amp;sourceID=14","99300000")</f>
        <v>99300000</v>
      </c>
      <c r="G3741" s="4" t="str">
        <f>HYPERLINK("http://141.218.60.56/~jnz1568/getInfo.php?workbook=12_04.xlsx&amp;sheet=A0&amp;row=3741&amp;col=7&amp;number=0&amp;sourceID=14","0")</f>
        <v>0</v>
      </c>
    </row>
    <row r="3742" spans="1:7">
      <c r="A3742" s="3">
        <v>12</v>
      </c>
      <c r="B3742" s="3">
        <v>4</v>
      </c>
      <c r="C3742" s="3">
        <v>81</v>
      </c>
      <c r="D3742" s="3">
        <v>57</v>
      </c>
      <c r="E3742" s="3">
        <v>-627.562</v>
      </c>
      <c r="F3742" s="4" t="str">
        <f>HYPERLINK("http://141.218.60.56/~jnz1568/getInfo.php?workbook=12_04.xlsx&amp;sheet=A0&amp;row=3742&amp;col=6&amp;number=0.285&amp;sourceID=14","0.285")</f>
        <v>0.285</v>
      </c>
      <c r="G3742" s="4" t="str">
        <f>HYPERLINK("http://141.218.60.56/~jnz1568/getInfo.php?workbook=12_04.xlsx&amp;sheet=A0&amp;row=3742&amp;col=7&amp;number=0&amp;sourceID=14","0")</f>
        <v>0</v>
      </c>
    </row>
    <row r="3743" spans="1:7">
      <c r="A3743" s="3">
        <v>12</v>
      </c>
      <c r="B3743" s="3">
        <v>4</v>
      </c>
      <c r="C3743" s="3">
        <v>82</v>
      </c>
      <c r="D3743" s="3">
        <v>57</v>
      </c>
      <c r="E3743" s="3">
        <v>-626.246</v>
      </c>
      <c r="F3743" s="4" t="str">
        <f>HYPERLINK("http://141.218.60.56/~jnz1568/getInfo.php?workbook=12_04.xlsx&amp;sheet=A0&amp;row=3743&amp;col=6&amp;number=488000000&amp;sourceID=14","488000000")</f>
        <v>488000000</v>
      </c>
      <c r="G3743" s="4" t="str">
        <f>HYPERLINK("http://141.218.60.56/~jnz1568/getInfo.php?workbook=12_04.xlsx&amp;sheet=A0&amp;row=3743&amp;col=7&amp;number=0&amp;sourceID=14","0")</f>
        <v>0</v>
      </c>
    </row>
    <row r="3744" spans="1:7">
      <c r="A3744" s="3">
        <v>12</v>
      </c>
      <c r="B3744" s="3">
        <v>4</v>
      </c>
      <c r="C3744" s="3">
        <v>83</v>
      </c>
      <c r="D3744" s="3">
        <v>57</v>
      </c>
      <c r="E3744" s="3">
        <v>-626.226</v>
      </c>
      <c r="F3744" s="4" t="str">
        <f>HYPERLINK("http://141.218.60.56/~jnz1568/getInfo.php?workbook=12_04.xlsx&amp;sheet=A0&amp;row=3744&amp;col=6&amp;number=38600000&amp;sourceID=14","38600000")</f>
        <v>38600000</v>
      </c>
      <c r="G3744" s="4" t="str">
        <f>HYPERLINK("http://141.218.60.56/~jnz1568/getInfo.php?workbook=12_04.xlsx&amp;sheet=A0&amp;row=3744&amp;col=7&amp;number=0&amp;sourceID=14","0")</f>
        <v>0</v>
      </c>
    </row>
    <row r="3745" spans="1:7">
      <c r="A3745" s="3">
        <v>12</v>
      </c>
      <c r="B3745" s="3">
        <v>4</v>
      </c>
      <c r="C3745" s="3">
        <v>84</v>
      </c>
      <c r="D3745" s="3">
        <v>57</v>
      </c>
      <c r="E3745" s="3">
        <v>-624.954</v>
      </c>
      <c r="F3745" s="4" t="str">
        <f>HYPERLINK("http://141.218.60.56/~jnz1568/getInfo.php?workbook=12_04.xlsx&amp;sheet=A0&amp;row=3745&amp;col=6&amp;number=0.0605&amp;sourceID=14","0.0605")</f>
        <v>0.0605</v>
      </c>
      <c r="G3745" s="4" t="str">
        <f>HYPERLINK("http://141.218.60.56/~jnz1568/getInfo.php?workbook=12_04.xlsx&amp;sheet=A0&amp;row=3745&amp;col=7&amp;number=0&amp;sourceID=14","0")</f>
        <v>0</v>
      </c>
    </row>
    <row r="3746" spans="1:7">
      <c r="A3746" s="3">
        <v>12</v>
      </c>
      <c r="B3746" s="3">
        <v>4</v>
      </c>
      <c r="C3746" s="3">
        <v>85</v>
      </c>
      <c r="D3746" s="3">
        <v>57</v>
      </c>
      <c r="E3746" s="3">
        <v>-619.235</v>
      </c>
      <c r="F3746" s="4" t="str">
        <f>HYPERLINK("http://141.218.60.56/~jnz1568/getInfo.php?workbook=12_04.xlsx&amp;sheet=A0&amp;row=3746&amp;col=6&amp;number=15&amp;sourceID=14","15")</f>
        <v>15</v>
      </c>
      <c r="G3746" s="4" t="str">
        <f>HYPERLINK("http://141.218.60.56/~jnz1568/getInfo.php?workbook=12_04.xlsx&amp;sheet=A0&amp;row=3746&amp;col=7&amp;number=0&amp;sourceID=14","0")</f>
        <v>0</v>
      </c>
    </row>
    <row r="3747" spans="1:7">
      <c r="A3747" s="3">
        <v>12</v>
      </c>
      <c r="B3747" s="3">
        <v>4</v>
      </c>
      <c r="C3747" s="3">
        <v>86</v>
      </c>
      <c r="D3747" s="3">
        <v>57</v>
      </c>
      <c r="E3747" s="3">
        <v>-616.866</v>
      </c>
      <c r="F3747" s="4" t="str">
        <f>HYPERLINK("http://141.218.60.56/~jnz1568/getInfo.php?workbook=12_04.xlsx&amp;sheet=A0&amp;row=3747&amp;col=6&amp;number=149&amp;sourceID=14","149")</f>
        <v>149</v>
      </c>
      <c r="G3747" s="4" t="str">
        <f>HYPERLINK("http://141.218.60.56/~jnz1568/getInfo.php?workbook=12_04.xlsx&amp;sheet=A0&amp;row=3747&amp;col=7&amp;number=0&amp;sourceID=14","0")</f>
        <v>0</v>
      </c>
    </row>
    <row r="3748" spans="1:7">
      <c r="A3748" s="3">
        <v>12</v>
      </c>
      <c r="B3748" s="3">
        <v>4</v>
      </c>
      <c r="C3748" s="3">
        <v>87</v>
      </c>
      <c r="D3748" s="3">
        <v>57</v>
      </c>
      <c r="E3748" s="3">
        <v>-615.606</v>
      </c>
      <c r="F3748" s="4" t="str">
        <f>HYPERLINK("http://141.218.60.56/~jnz1568/getInfo.php?workbook=12_04.xlsx&amp;sheet=A0&amp;row=3748&amp;col=6&amp;number=436&amp;sourceID=14","436")</f>
        <v>436</v>
      </c>
      <c r="G3748" s="4" t="str">
        <f>HYPERLINK("http://141.218.60.56/~jnz1568/getInfo.php?workbook=12_04.xlsx&amp;sheet=A0&amp;row=3748&amp;col=7&amp;number=0&amp;sourceID=14","0")</f>
        <v>0</v>
      </c>
    </row>
    <row r="3749" spans="1:7">
      <c r="A3749" s="3">
        <v>12</v>
      </c>
      <c r="B3749" s="3">
        <v>4</v>
      </c>
      <c r="C3749" s="3">
        <v>88</v>
      </c>
      <c r="D3749" s="3">
        <v>57</v>
      </c>
      <c r="E3749" s="3">
        <v>-612.652</v>
      </c>
      <c r="F3749" s="4" t="str">
        <f>HYPERLINK("http://141.218.60.56/~jnz1568/getInfo.php?workbook=12_04.xlsx&amp;sheet=A0&amp;row=3749&amp;col=6&amp;number=652000000&amp;sourceID=14","652000000")</f>
        <v>652000000</v>
      </c>
      <c r="G3749" s="4" t="str">
        <f>HYPERLINK("http://141.218.60.56/~jnz1568/getInfo.php?workbook=12_04.xlsx&amp;sheet=A0&amp;row=3749&amp;col=7&amp;number=0&amp;sourceID=14","0")</f>
        <v>0</v>
      </c>
    </row>
    <row r="3750" spans="1:7">
      <c r="A3750" s="3">
        <v>12</v>
      </c>
      <c r="B3750" s="3">
        <v>4</v>
      </c>
      <c r="C3750" s="3">
        <v>89</v>
      </c>
      <c r="D3750" s="3">
        <v>57</v>
      </c>
      <c r="E3750" s="3">
        <v>-610.919</v>
      </c>
      <c r="F3750" s="4" t="str">
        <f>HYPERLINK("http://141.218.60.56/~jnz1568/getInfo.php?workbook=12_04.xlsx&amp;sheet=A0&amp;row=3750&amp;col=6&amp;number=0.0719&amp;sourceID=14","0.0719")</f>
        <v>0.0719</v>
      </c>
      <c r="G3750" s="4" t="str">
        <f>HYPERLINK("http://141.218.60.56/~jnz1568/getInfo.php?workbook=12_04.xlsx&amp;sheet=A0&amp;row=3750&amp;col=7&amp;number=0&amp;sourceID=14","0")</f>
        <v>0</v>
      </c>
    </row>
    <row r="3751" spans="1:7">
      <c r="A3751" s="3">
        <v>12</v>
      </c>
      <c r="B3751" s="3">
        <v>4</v>
      </c>
      <c r="C3751" s="3">
        <v>90</v>
      </c>
      <c r="D3751" s="3">
        <v>57</v>
      </c>
      <c r="E3751" s="3">
        <v>-605.834</v>
      </c>
      <c r="F3751" s="4" t="str">
        <f>HYPERLINK("http://141.218.60.56/~jnz1568/getInfo.php?workbook=12_04.xlsx&amp;sheet=A0&amp;row=3751&amp;col=6&amp;number=2.74e-07&amp;sourceID=14","2.74e-07")</f>
        <v>2.74e-07</v>
      </c>
      <c r="G3751" s="4" t="str">
        <f>HYPERLINK("http://141.218.60.56/~jnz1568/getInfo.php?workbook=12_04.xlsx&amp;sheet=A0&amp;row=3751&amp;col=7&amp;number=0&amp;sourceID=14","0")</f>
        <v>0</v>
      </c>
    </row>
    <row r="3752" spans="1:7">
      <c r="A3752" s="3">
        <v>12</v>
      </c>
      <c r="B3752" s="3">
        <v>4</v>
      </c>
      <c r="C3752" s="3">
        <v>91</v>
      </c>
      <c r="D3752" s="3">
        <v>57</v>
      </c>
      <c r="E3752" s="3">
        <v>-601.393</v>
      </c>
      <c r="F3752" s="4" t="str">
        <f>HYPERLINK("http://141.218.60.56/~jnz1568/getInfo.php?workbook=12_04.xlsx&amp;sheet=A0&amp;row=3752&amp;col=6&amp;number=12200000&amp;sourceID=14","12200000")</f>
        <v>12200000</v>
      </c>
      <c r="G3752" s="4" t="str">
        <f>HYPERLINK("http://141.218.60.56/~jnz1568/getInfo.php?workbook=12_04.xlsx&amp;sheet=A0&amp;row=3752&amp;col=7&amp;number=0&amp;sourceID=14","0")</f>
        <v>0</v>
      </c>
    </row>
    <row r="3753" spans="1:7">
      <c r="A3753" s="3">
        <v>12</v>
      </c>
      <c r="B3753" s="3">
        <v>4</v>
      </c>
      <c r="C3753" s="3">
        <v>92</v>
      </c>
      <c r="D3753" s="3">
        <v>57</v>
      </c>
      <c r="E3753" s="3">
        <v>-600.356</v>
      </c>
      <c r="F3753" s="4" t="str">
        <f>HYPERLINK("http://141.218.60.56/~jnz1568/getInfo.php?workbook=12_04.xlsx&amp;sheet=A0&amp;row=3753&amp;col=6&amp;number=0.0135&amp;sourceID=14","0.0135")</f>
        <v>0.0135</v>
      </c>
      <c r="G3753" s="4" t="str">
        <f>HYPERLINK("http://141.218.60.56/~jnz1568/getInfo.php?workbook=12_04.xlsx&amp;sheet=A0&amp;row=3753&amp;col=7&amp;number=0&amp;sourceID=14","0")</f>
        <v>0</v>
      </c>
    </row>
    <row r="3754" spans="1:7">
      <c r="A3754" s="3">
        <v>12</v>
      </c>
      <c r="B3754" s="3">
        <v>4</v>
      </c>
      <c r="C3754" s="3">
        <v>93</v>
      </c>
      <c r="D3754" s="3">
        <v>57</v>
      </c>
      <c r="E3754" s="3">
        <v>-599.41</v>
      </c>
      <c r="F3754" s="4" t="str">
        <f>HYPERLINK("http://141.218.60.56/~jnz1568/getInfo.php?workbook=12_04.xlsx&amp;sheet=A0&amp;row=3754&amp;col=6&amp;number=282000000&amp;sourceID=14","282000000")</f>
        <v>282000000</v>
      </c>
      <c r="G3754" s="4" t="str">
        <f>HYPERLINK("http://141.218.60.56/~jnz1568/getInfo.php?workbook=12_04.xlsx&amp;sheet=A0&amp;row=3754&amp;col=7&amp;number=0&amp;sourceID=14","0")</f>
        <v>0</v>
      </c>
    </row>
    <row r="3755" spans="1:7">
      <c r="A3755" s="3">
        <v>12</v>
      </c>
      <c r="B3755" s="3">
        <v>4</v>
      </c>
      <c r="C3755" s="3">
        <v>94</v>
      </c>
      <c r="D3755" s="3">
        <v>57</v>
      </c>
      <c r="E3755" s="3">
        <v>-595.956</v>
      </c>
      <c r="F3755" s="4" t="str">
        <f>HYPERLINK("http://141.218.60.56/~jnz1568/getInfo.php?workbook=12_04.xlsx&amp;sheet=A0&amp;row=3755&amp;col=6&amp;number=1170000000&amp;sourceID=14","1170000000")</f>
        <v>1170000000</v>
      </c>
      <c r="G3755" s="4" t="str">
        <f>HYPERLINK("http://141.218.60.56/~jnz1568/getInfo.php?workbook=12_04.xlsx&amp;sheet=A0&amp;row=3755&amp;col=7&amp;number=0&amp;sourceID=14","0")</f>
        <v>0</v>
      </c>
    </row>
    <row r="3756" spans="1:7">
      <c r="A3756" s="3">
        <v>12</v>
      </c>
      <c r="B3756" s="3">
        <v>4</v>
      </c>
      <c r="C3756" s="3">
        <v>95</v>
      </c>
      <c r="D3756" s="3">
        <v>57</v>
      </c>
      <c r="E3756" s="3">
        <v>-593.712</v>
      </c>
      <c r="F3756" s="4" t="str">
        <f>HYPERLINK("http://141.218.60.56/~jnz1568/getInfo.php?workbook=12_04.xlsx&amp;sheet=A0&amp;row=3756&amp;col=6&amp;number=3e-06&amp;sourceID=14","3e-06")</f>
        <v>3e-06</v>
      </c>
      <c r="G3756" s="4" t="str">
        <f>HYPERLINK("http://141.218.60.56/~jnz1568/getInfo.php?workbook=12_04.xlsx&amp;sheet=A0&amp;row=3756&amp;col=7&amp;number=0&amp;sourceID=14","0")</f>
        <v>0</v>
      </c>
    </row>
    <row r="3757" spans="1:7">
      <c r="A3757" s="3">
        <v>12</v>
      </c>
      <c r="B3757" s="3">
        <v>4</v>
      </c>
      <c r="C3757" s="3">
        <v>96</v>
      </c>
      <c r="D3757" s="3">
        <v>57</v>
      </c>
      <c r="E3757" s="3">
        <v>-591.651</v>
      </c>
      <c r="F3757" s="4" t="str">
        <f>HYPERLINK("http://141.218.60.56/~jnz1568/getInfo.php?workbook=12_04.xlsx&amp;sheet=A0&amp;row=3757&amp;col=6&amp;number=4520000&amp;sourceID=14","4520000")</f>
        <v>4520000</v>
      </c>
      <c r="G3757" s="4" t="str">
        <f>HYPERLINK("http://141.218.60.56/~jnz1568/getInfo.php?workbook=12_04.xlsx&amp;sheet=A0&amp;row=3757&amp;col=7&amp;number=0&amp;sourceID=14","0")</f>
        <v>0</v>
      </c>
    </row>
    <row r="3758" spans="1:7">
      <c r="A3758" s="3">
        <v>12</v>
      </c>
      <c r="B3758" s="3">
        <v>4</v>
      </c>
      <c r="C3758" s="3">
        <v>97</v>
      </c>
      <c r="D3758" s="3">
        <v>57</v>
      </c>
      <c r="E3758" s="3">
        <v>-583.037</v>
      </c>
      <c r="F3758" s="4" t="str">
        <f>HYPERLINK("http://141.218.60.56/~jnz1568/getInfo.php?workbook=12_04.xlsx&amp;sheet=A0&amp;row=3758&amp;col=6&amp;number=0.0059&amp;sourceID=14","0.0059")</f>
        <v>0.0059</v>
      </c>
      <c r="G3758" s="4" t="str">
        <f>HYPERLINK("http://141.218.60.56/~jnz1568/getInfo.php?workbook=12_04.xlsx&amp;sheet=A0&amp;row=3758&amp;col=7&amp;number=0&amp;sourceID=14","0")</f>
        <v>0</v>
      </c>
    </row>
    <row r="3759" spans="1:7">
      <c r="A3759" s="3">
        <v>12</v>
      </c>
      <c r="B3759" s="3">
        <v>4</v>
      </c>
      <c r="C3759" s="3">
        <v>98</v>
      </c>
      <c r="D3759" s="3">
        <v>57</v>
      </c>
      <c r="E3759" s="3">
        <v>-579</v>
      </c>
      <c r="F3759" s="4" t="str">
        <f>HYPERLINK("http://141.218.60.56/~jnz1568/getInfo.php?workbook=12_04.xlsx&amp;sheet=A0&amp;row=3759&amp;col=6&amp;number=0.596&amp;sourceID=14","0.596")</f>
        <v>0.596</v>
      </c>
      <c r="G3759" s="4" t="str">
        <f>HYPERLINK("http://141.218.60.56/~jnz1568/getInfo.php?workbook=12_04.xlsx&amp;sheet=A0&amp;row=3759&amp;col=7&amp;number=0&amp;sourceID=14","0")</f>
        <v>0</v>
      </c>
    </row>
    <row r="3760" spans="1:7">
      <c r="A3760" s="3">
        <v>12</v>
      </c>
      <c r="B3760" s="3">
        <v>4</v>
      </c>
      <c r="C3760" s="3">
        <v>59</v>
      </c>
      <c r="D3760" s="3">
        <v>58</v>
      </c>
      <c r="E3760" s="3">
        <v>-2631583.75</v>
      </c>
      <c r="F3760" s="4" t="str">
        <f>HYPERLINK("http://141.218.60.56/~jnz1568/getInfo.php?workbook=12_04.xlsx&amp;sheet=A0&amp;row=3760&amp;col=6&amp;number=1.14e-06&amp;sourceID=14","1.14e-06")</f>
        <v>1.14e-06</v>
      </c>
      <c r="G3760" s="4" t="str">
        <f>HYPERLINK("http://141.218.60.56/~jnz1568/getInfo.php?workbook=12_04.xlsx&amp;sheet=A0&amp;row=3760&amp;col=7&amp;number=0&amp;sourceID=14","0")</f>
        <v>0</v>
      </c>
    </row>
    <row r="3761" spans="1:7">
      <c r="A3761" s="3">
        <v>12</v>
      </c>
      <c r="B3761" s="3">
        <v>4</v>
      </c>
      <c r="C3761" s="3">
        <v>60</v>
      </c>
      <c r="D3761" s="3">
        <v>58</v>
      </c>
      <c r="E3761" s="3">
        <v>-39001.633</v>
      </c>
      <c r="F3761" s="4" t="str">
        <f>HYPERLINK("http://141.218.60.56/~jnz1568/getInfo.php?workbook=12_04.xlsx&amp;sheet=A0&amp;row=3761&amp;col=6&amp;number=3.61e-06&amp;sourceID=14","3.61e-06")</f>
        <v>3.61e-06</v>
      </c>
      <c r="G3761" s="4" t="str">
        <f>HYPERLINK("http://141.218.60.56/~jnz1568/getInfo.php?workbook=12_04.xlsx&amp;sheet=A0&amp;row=3761&amp;col=7&amp;number=0&amp;sourceID=14","0")</f>
        <v>0</v>
      </c>
    </row>
    <row r="3762" spans="1:7">
      <c r="A3762" s="3">
        <v>12</v>
      </c>
      <c r="B3762" s="3">
        <v>4</v>
      </c>
      <c r="C3762" s="3">
        <v>62</v>
      </c>
      <c r="D3762" s="3">
        <v>58</v>
      </c>
      <c r="E3762" s="3">
        <v>-838.991</v>
      </c>
      <c r="F3762" s="4" t="str">
        <f>HYPERLINK("http://141.218.60.56/~jnz1568/getInfo.php?workbook=12_04.xlsx&amp;sheet=A0&amp;row=3762&amp;col=6&amp;number=3.37&amp;sourceID=14","3.37")</f>
        <v>3.37</v>
      </c>
      <c r="G3762" s="4" t="str">
        <f>HYPERLINK("http://141.218.60.56/~jnz1568/getInfo.php?workbook=12_04.xlsx&amp;sheet=A0&amp;row=3762&amp;col=7&amp;number=0&amp;sourceID=14","0")</f>
        <v>0</v>
      </c>
    </row>
    <row r="3763" spans="1:7">
      <c r="A3763" s="3">
        <v>12</v>
      </c>
      <c r="B3763" s="3">
        <v>4</v>
      </c>
      <c r="C3763" s="3">
        <v>63</v>
      </c>
      <c r="D3763" s="3">
        <v>58</v>
      </c>
      <c r="E3763" s="3">
        <v>-818.526</v>
      </c>
      <c r="F3763" s="4" t="str">
        <f>HYPERLINK("http://141.218.60.56/~jnz1568/getInfo.php?workbook=12_04.xlsx&amp;sheet=A0&amp;row=3763&amp;col=6&amp;number=1.12&amp;sourceID=14","1.12")</f>
        <v>1.12</v>
      </c>
      <c r="G3763" s="4" t="str">
        <f>HYPERLINK("http://141.218.60.56/~jnz1568/getInfo.php?workbook=12_04.xlsx&amp;sheet=A0&amp;row=3763&amp;col=7&amp;number=0&amp;sourceID=14","0")</f>
        <v>0</v>
      </c>
    </row>
    <row r="3764" spans="1:7">
      <c r="A3764" s="3">
        <v>12</v>
      </c>
      <c r="B3764" s="3">
        <v>4</v>
      </c>
      <c r="C3764" s="3">
        <v>64</v>
      </c>
      <c r="D3764" s="3">
        <v>58</v>
      </c>
      <c r="E3764" s="3">
        <v>-778.757</v>
      </c>
      <c r="F3764" s="4" t="str">
        <f>HYPERLINK("http://141.218.60.56/~jnz1568/getInfo.php?workbook=12_04.xlsx&amp;sheet=A0&amp;row=3764&amp;col=6&amp;number=0.369&amp;sourceID=14","0.369")</f>
        <v>0.369</v>
      </c>
      <c r="G3764" s="4" t="str">
        <f>HYPERLINK("http://141.218.60.56/~jnz1568/getInfo.php?workbook=12_04.xlsx&amp;sheet=A0&amp;row=3764&amp;col=7&amp;number=0&amp;sourceID=14","0")</f>
        <v>0</v>
      </c>
    </row>
    <row r="3765" spans="1:7">
      <c r="A3765" s="3">
        <v>12</v>
      </c>
      <c r="B3765" s="3">
        <v>4</v>
      </c>
      <c r="C3765" s="3">
        <v>65</v>
      </c>
      <c r="D3765" s="3">
        <v>58</v>
      </c>
      <c r="E3765" s="3">
        <v>-735.636</v>
      </c>
      <c r="F3765" s="4" t="str">
        <f>HYPERLINK("http://141.218.60.56/~jnz1568/getInfo.php?workbook=12_04.xlsx&amp;sheet=A0&amp;row=3765&amp;col=6&amp;number=6.16e-05&amp;sourceID=14","6.16e-05")</f>
        <v>6.16e-05</v>
      </c>
      <c r="G3765" s="4" t="str">
        <f>HYPERLINK("http://141.218.60.56/~jnz1568/getInfo.php?workbook=12_04.xlsx&amp;sheet=A0&amp;row=3765&amp;col=7&amp;number=0&amp;sourceID=14","0")</f>
        <v>0</v>
      </c>
    </row>
    <row r="3766" spans="1:7">
      <c r="A3766" s="3">
        <v>12</v>
      </c>
      <c r="B3766" s="3">
        <v>4</v>
      </c>
      <c r="C3766" s="3">
        <v>66</v>
      </c>
      <c r="D3766" s="3">
        <v>58</v>
      </c>
      <c r="E3766" s="3">
        <v>-722.08</v>
      </c>
      <c r="F3766" s="4" t="str">
        <f>HYPERLINK("http://141.218.60.56/~jnz1568/getInfo.php?workbook=12_04.xlsx&amp;sheet=A0&amp;row=3766&amp;col=6&amp;number=3.95e-05&amp;sourceID=14","3.95e-05")</f>
        <v>3.95e-05</v>
      </c>
      <c r="G3766" s="4" t="str">
        <f>HYPERLINK("http://141.218.60.56/~jnz1568/getInfo.php?workbook=12_04.xlsx&amp;sheet=A0&amp;row=3766&amp;col=7&amp;number=0&amp;sourceID=14","0")</f>
        <v>0</v>
      </c>
    </row>
    <row r="3767" spans="1:7">
      <c r="A3767" s="3">
        <v>12</v>
      </c>
      <c r="B3767" s="3">
        <v>4</v>
      </c>
      <c r="C3767" s="3">
        <v>67</v>
      </c>
      <c r="D3767" s="3">
        <v>58</v>
      </c>
      <c r="E3767" s="3">
        <v>-719.736</v>
      </c>
      <c r="F3767" s="4" t="str">
        <f>HYPERLINK("http://141.218.60.56/~jnz1568/getInfo.php?workbook=12_04.xlsx&amp;sheet=A0&amp;row=3767&amp;col=6&amp;number=5200000&amp;sourceID=14","5200000")</f>
        <v>5200000</v>
      </c>
      <c r="G3767" s="4" t="str">
        <f>HYPERLINK("http://141.218.60.56/~jnz1568/getInfo.php?workbook=12_04.xlsx&amp;sheet=A0&amp;row=3767&amp;col=7&amp;number=0&amp;sourceID=14","0")</f>
        <v>0</v>
      </c>
    </row>
    <row r="3768" spans="1:7">
      <c r="A3768" s="3">
        <v>12</v>
      </c>
      <c r="B3768" s="3">
        <v>4</v>
      </c>
      <c r="C3768" s="3">
        <v>68</v>
      </c>
      <c r="D3768" s="3">
        <v>58</v>
      </c>
      <c r="E3768" s="3">
        <v>-707.315</v>
      </c>
      <c r="F3768" s="4" t="str">
        <f>HYPERLINK("http://141.218.60.56/~jnz1568/getInfo.php?workbook=12_04.xlsx&amp;sheet=A0&amp;row=3768&amp;col=6&amp;number=483000&amp;sourceID=14","483000")</f>
        <v>483000</v>
      </c>
      <c r="G3768" s="4" t="str">
        <f>HYPERLINK("http://141.218.60.56/~jnz1568/getInfo.php?workbook=12_04.xlsx&amp;sheet=A0&amp;row=3768&amp;col=7&amp;number=0&amp;sourceID=14","0")</f>
        <v>0</v>
      </c>
    </row>
    <row r="3769" spans="1:7">
      <c r="A3769" s="3">
        <v>12</v>
      </c>
      <c r="B3769" s="3">
        <v>4</v>
      </c>
      <c r="C3769" s="3">
        <v>69</v>
      </c>
      <c r="D3769" s="3">
        <v>58</v>
      </c>
      <c r="E3769" s="3">
        <v>-693.117</v>
      </c>
      <c r="F3769" s="4" t="str">
        <f>HYPERLINK("http://141.218.60.56/~jnz1568/getInfo.php?workbook=12_04.xlsx&amp;sheet=A0&amp;row=3769&amp;col=6&amp;number=0.000666&amp;sourceID=14","0.000666")</f>
        <v>0.000666</v>
      </c>
      <c r="G3769" s="4" t="str">
        <f>HYPERLINK("http://141.218.60.56/~jnz1568/getInfo.php?workbook=12_04.xlsx&amp;sheet=A0&amp;row=3769&amp;col=7&amp;number=0&amp;sourceID=14","0")</f>
        <v>0</v>
      </c>
    </row>
    <row r="3770" spans="1:7">
      <c r="A3770" s="3">
        <v>12</v>
      </c>
      <c r="B3770" s="3">
        <v>4</v>
      </c>
      <c r="C3770" s="3">
        <v>70</v>
      </c>
      <c r="D3770" s="3">
        <v>58</v>
      </c>
      <c r="E3770" s="3">
        <v>-690.094</v>
      </c>
      <c r="F3770" s="4" t="str">
        <f>HYPERLINK("http://141.218.60.56/~jnz1568/getInfo.php?workbook=12_04.xlsx&amp;sheet=A0&amp;row=3770&amp;col=6&amp;number=0.00015&amp;sourceID=14","0.00015")</f>
        <v>0.00015</v>
      </c>
      <c r="G3770" s="4" t="str">
        <f>HYPERLINK("http://141.218.60.56/~jnz1568/getInfo.php?workbook=12_04.xlsx&amp;sheet=A0&amp;row=3770&amp;col=7&amp;number=0&amp;sourceID=14","0")</f>
        <v>0</v>
      </c>
    </row>
    <row r="3771" spans="1:7">
      <c r="A3771" s="3">
        <v>12</v>
      </c>
      <c r="B3771" s="3">
        <v>4</v>
      </c>
      <c r="C3771" s="3">
        <v>71</v>
      </c>
      <c r="D3771" s="3">
        <v>58</v>
      </c>
      <c r="E3771" s="3">
        <v>-681.019</v>
      </c>
      <c r="F3771" s="4" t="str">
        <f>HYPERLINK("http://141.218.60.56/~jnz1568/getInfo.php?workbook=12_04.xlsx&amp;sheet=A0&amp;row=3771&amp;col=6&amp;number=0.000509&amp;sourceID=14","0.000509")</f>
        <v>0.000509</v>
      </c>
      <c r="G3771" s="4" t="str">
        <f>HYPERLINK("http://141.218.60.56/~jnz1568/getInfo.php?workbook=12_04.xlsx&amp;sheet=A0&amp;row=3771&amp;col=7&amp;number=0&amp;sourceID=14","0")</f>
        <v>0</v>
      </c>
    </row>
    <row r="3772" spans="1:7">
      <c r="A3772" s="3">
        <v>12</v>
      </c>
      <c r="B3772" s="3">
        <v>4</v>
      </c>
      <c r="C3772" s="3">
        <v>72</v>
      </c>
      <c r="D3772" s="3">
        <v>58</v>
      </c>
      <c r="E3772" s="3">
        <v>-678.86</v>
      </c>
      <c r="F3772" s="4" t="str">
        <f>HYPERLINK("http://141.218.60.56/~jnz1568/getInfo.php?workbook=12_04.xlsx&amp;sheet=A0&amp;row=3772&amp;col=6&amp;number=197000&amp;sourceID=14","197000")</f>
        <v>197000</v>
      </c>
      <c r="G3772" s="4" t="str">
        <f>HYPERLINK("http://141.218.60.56/~jnz1568/getInfo.php?workbook=12_04.xlsx&amp;sheet=A0&amp;row=3772&amp;col=7&amp;number=0&amp;sourceID=14","0")</f>
        <v>0</v>
      </c>
    </row>
    <row r="3773" spans="1:7">
      <c r="A3773" s="3">
        <v>12</v>
      </c>
      <c r="B3773" s="3">
        <v>4</v>
      </c>
      <c r="C3773" s="3">
        <v>73</v>
      </c>
      <c r="D3773" s="3">
        <v>58</v>
      </c>
      <c r="E3773" s="3">
        <v>-665.151</v>
      </c>
      <c r="F3773" s="4" t="str">
        <f>HYPERLINK("http://141.218.60.56/~jnz1568/getInfo.php?workbook=12_04.xlsx&amp;sheet=A0&amp;row=3773&amp;col=6&amp;number=1.02&amp;sourceID=14","1.02")</f>
        <v>1.02</v>
      </c>
      <c r="G3773" s="4" t="str">
        <f>HYPERLINK("http://141.218.60.56/~jnz1568/getInfo.php?workbook=12_04.xlsx&amp;sheet=A0&amp;row=3773&amp;col=7&amp;number=0&amp;sourceID=14","0")</f>
        <v>0</v>
      </c>
    </row>
    <row r="3774" spans="1:7">
      <c r="A3774" s="3">
        <v>12</v>
      </c>
      <c r="B3774" s="3">
        <v>4</v>
      </c>
      <c r="C3774" s="3">
        <v>74</v>
      </c>
      <c r="D3774" s="3">
        <v>58</v>
      </c>
      <c r="E3774" s="3">
        <v>-656.807</v>
      </c>
      <c r="F3774" s="4" t="str">
        <f>HYPERLINK("http://141.218.60.56/~jnz1568/getInfo.php?workbook=12_04.xlsx&amp;sheet=A0&amp;row=3774&amp;col=6&amp;number=0.204&amp;sourceID=14","0.204")</f>
        <v>0.204</v>
      </c>
      <c r="G3774" s="4" t="str">
        <f>HYPERLINK("http://141.218.60.56/~jnz1568/getInfo.php?workbook=12_04.xlsx&amp;sheet=A0&amp;row=3774&amp;col=7&amp;number=0&amp;sourceID=14","0")</f>
        <v>0</v>
      </c>
    </row>
    <row r="3775" spans="1:7">
      <c r="A3775" s="3">
        <v>12</v>
      </c>
      <c r="B3775" s="3">
        <v>4</v>
      </c>
      <c r="C3775" s="3">
        <v>75</v>
      </c>
      <c r="D3775" s="3">
        <v>58</v>
      </c>
      <c r="E3775" s="3">
        <v>-654.22</v>
      </c>
      <c r="F3775" s="4" t="str">
        <f>HYPERLINK("http://141.218.60.56/~jnz1568/getInfo.php?workbook=12_04.xlsx&amp;sheet=A0&amp;row=3775&amp;col=6&amp;number=0.522&amp;sourceID=14","0.522")</f>
        <v>0.522</v>
      </c>
      <c r="G3775" s="4" t="str">
        <f>HYPERLINK("http://141.218.60.56/~jnz1568/getInfo.php?workbook=12_04.xlsx&amp;sheet=A0&amp;row=3775&amp;col=7&amp;number=0&amp;sourceID=14","0")</f>
        <v>0</v>
      </c>
    </row>
    <row r="3776" spans="1:7">
      <c r="A3776" s="3">
        <v>12</v>
      </c>
      <c r="B3776" s="3">
        <v>4</v>
      </c>
      <c r="C3776" s="3">
        <v>76</v>
      </c>
      <c r="D3776" s="3">
        <v>58</v>
      </c>
      <c r="E3776" s="3">
        <v>-649.647</v>
      </c>
      <c r="F3776" s="4" t="str">
        <f>HYPERLINK("http://141.218.60.56/~jnz1568/getInfo.php?workbook=12_04.xlsx&amp;sheet=A0&amp;row=3776&amp;col=6&amp;number=1400000&amp;sourceID=14","1400000")</f>
        <v>1400000</v>
      </c>
      <c r="G3776" s="4" t="str">
        <f>HYPERLINK("http://141.218.60.56/~jnz1568/getInfo.php?workbook=12_04.xlsx&amp;sheet=A0&amp;row=3776&amp;col=7&amp;number=0&amp;sourceID=14","0")</f>
        <v>0</v>
      </c>
    </row>
    <row r="3777" spans="1:7">
      <c r="A3777" s="3">
        <v>12</v>
      </c>
      <c r="B3777" s="3">
        <v>4</v>
      </c>
      <c r="C3777" s="3">
        <v>77</v>
      </c>
      <c r="D3777" s="3">
        <v>58</v>
      </c>
      <c r="E3777" s="3">
        <v>-647.556</v>
      </c>
      <c r="F3777" s="4" t="str">
        <f>HYPERLINK("http://141.218.60.56/~jnz1568/getInfo.php?workbook=12_04.xlsx&amp;sheet=A0&amp;row=3777&amp;col=6&amp;number=0.187&amp;sourceID=14","0.187")</f>
        <v>0.187</v>
      </c>
      <c r="G3777" s="4" t="str">
        <f>HYPERLINK("http://141.218.60.56/~jnz1568/getInfo.php?workbook=12_04.xlsx&amp;sheet=A0&amp;row=3777&amp;col=7&amp;number=0&amp;sourceID=14","0")</f>
        <v>0</v>
      </c>
    </row>
    <row r="3778" spans="1:7">
      <c r="A3778" s="3">
        <v>12</v>
      </c>
      <c r="B3778" s="3">
        <v>4</v>
      </c>
      <c r="C3778" s="3">
        <v>78</v>
      </c>
      <c r="D3778" s="3">
        <v>58</v>
      </c>
      <c r="E3778" s="3">
        <v>-635.2</v>
      </c>
      <c r="F3778" s="4" t="str">
        <f>HYPERLINK("http://141.218.60.56/~jnz1568/getInfo.php?workbook=12_04.xlsx&amp;sheet=A0&amp;row=3778&amp;col=6&amp;number=36.7&amp;sourceID=14","36.7")</f>
        <v>36.7</v>
      </c>
      <c r="G3778" s="4" t="str">
        <f>HYPERLINK("http://141.218.60.56/~jnz1568/getInfo.php?workbook=12_04.xlsx&amp;sheet=A0&amp;row=3778&amp;col=7&amp;number=0&amp;sourceID=14","0")</f>
        <v>0</v>
      </c>
    </row>
    <row r="3779" spans="1:7">
      <c r="A3779" s="3">
        <v>12</v>
      </c>
      <c r="B3779" s="3">
        <v>4</v>
      </c>
      <c r="C3779" s="3">
        <v>79</v>
      </c>
      <c r="D3779" s="3">
        <v>58</v>
      </c>
      <c r="E3779" s="3">
        <v>-632.712</v>
      </c>
      <c r="F3779" s="4" t="str">
        <f>HYPERLINK("http://141.218.60.56/~jnz1568/getInfo.php?workbook=12_04.xlsx&amp;sheet=A0&amp;row=3779&amp;col=6&amp;number=3.79&amp;sourceID=14","3.79")</f>
        <v>3.79</v>
      </c>
      <c r="G3779" s="4" t="str">
        <f>HYPERLINK("http://141.218.60.56/~jnz1568/getInfo.php?workbook=12_04.xlsx&amp;sheet=A0&amp;row=3779&amp;col=7&amp;number=0&amp;sourceID=14","0")</f>
        <v>0</v>
      </c>
    </row>
    <row r="3780" spans="1:7">
      <c r="A3780" s="3">
        <v>12</v>
      </c>
      <c r="B3780" s="3">
        <v>4</v>
      </c>
      <c r="C3780" s="3">
        <v>80</v>
      </c>
      <c r="D3780" s="3">
        <v>58</v>
      </c>
      <c r="E3780" s="3">
        <v>-627.783</v>
      </c>
      <c r="F3780" s="4" t="str">
        <f>HYPERLINK("http://141.218.60.56/~jnz1568/getInfo.php?workbook=12_04.xlsx&amp;sheet=A0&amp;row=3780&amp;col=6&amp;number=1110000&amp;sourceID=14","1110000")</f>
        <v>1110000</v>
      </c>
      <c r="G3780" s="4" t="str">
        <f>HYPERLINK("http://141.218.60.56/~jnz1568/getInfo.php?workbook=12_04.xlsx&amp;sheet=A0&amp;row=3780&amp;col=7&amp;number=0&amp;sourceID=14","0")</f>
        <v>0</v>
      </c>
    </row>
    <row r="3781" spans="1:7">
      <c r="A3781" s="3">
        <v>12</v>
      </c>
      <c r="B3781" s="3">
        <v>4</v>
      </c>
      <c r="C3781" s="3">
        <v>81</v>
      </c>
      <c r="D3781" s="3">
        <v>58</v>
      </c>
      <c r="E3781" s="3">
        <v>-627.677</v>
      </c>
      <c r="F3781" s="4" t="str">
        <f>HYPERLINK("http://141.218.60.56/~jnz1568/getInfo.php?workbook=12_04.xlsx&amp;sheet=A0&amp;row=3781&amp;col=6&amp;number=2.43&amp;sourceID=14","2.43")</f>
        <v>2.43</v>
      </c>
      <c r="G3781" s="4" t="str">
        <f>HYPERLINK("http://141.218.60.56/~jnz1568/getInfo.php?workbook=12_04.xlsx&amp;sheet=A0&amp;row=3781&amp;col=7&amp;number=0&amp;sourceID=14","0")</f>
        <v>0</v>
      </c>
    </row>
    <row r="3782" spans="1:7">
      <c r="A3782" s="3">
        <v>12</v>
      </c>
      <c r="B3782" s="3">
        <v>4</v>
      </c>
      <c r="C3782" s="3">
        <v>82</v>
      </c>
      <c r="D3782" s="3">
        <v>58</v>
      </c>
      <c r="E3782" s="3">
        <v>-626.36</v>
      </c>
      <c r="F3782" s="4" t="str">
        <f>HYPERLINK("http://141.218.60.56/~jnz1568/getInfo.php?workbook=12_04.xlsx&amp;sheet=A0&amp;row=3782&amp;col=6&amp;number=204000000&amp;sourceID=14","204000000")</f>
        <v>204000000</v>
      </c>
      <c r="G3782" s="4" t="str">
        <f>HYPERLINK("http://141.218.60.56/~jnz1568/getInfo.php?workbook=12_04.xlsx&amp;sheet=A0&amp;row=3782&amp;col=7&amp;number=0&amp;sourceID=14","0")</f>
        <v>0</v>
      </c>
    </row>
    <row r="3783" spans="1:7">
      <c r="A3783" s="3">
        <v>12</v>
      </c>
      <c r="B3783" s="3">
        <v>4</v>
      </c>
      <c r="C3783" s="3">
        <v>83</v>
      </c>
      <c r="D3783" s="3">
        <v>58</v>
      </c>
      <c r="E3783" s="3">
        <v>-626.34</v>
      </c>
      <c r="F3783" s="4" t="str">
        <f>HYPERLINK("http://141.218.60.56/~jnz1568/getInfo.php?workbook=12_04.xlsx&amp;sheet=A0&amp;row=3783&amp;col=6&amp;number=523000000&amp;sourceID=14","523000000")</f>
        <v>523000000</v>
      </c>
      <c r="G3783" s="4" t="str">
        <f>HYPERLINK("http://141.218.60.56/~jnz1568/getInfo.php?workbook=12_04.xlsx&amp;sheet=A0&amp;row=3783&amp;col=7&amp;number=0&amp;sourceID=14","0")</f>
        <v>0</v>
      </c>
    </row>
    <row r="3784" spans="1:7">
      <c r="A3784" s="3">
        <v>12</v>
      </c>
      <c r="B3784" s="3">
        <v>4</v>
      </c>
      <c r="C3784" s="3">
        <v>84</v>
      </c>
      <c r="D3784" s="3">
        <v>58</v>
      </c>
      <c r="E3784" s="3">
        <v>-625.068</v>
      </c>
      <c r="F3784" s="4" t="str">
        <f>HYPERLINK("http://141.218.60.56/~jnz1568/getInfo.php?workbook=12_04.xlsx&amp;sheet=A0&amp;row=3784&amp;col=6&amp;number=36200000&amp;sourceID=14","36200000")</f>
        <v>36200000</v>
      </c>
      <c r="G3784" s="4" t="str">
        <f>HYPERLINK("http://141.218.60.56/~jnz1568/getInfo.php?workbook=12_04.xlsx&amp;sheet=A0&amp;row=3784&amp;col=7&amp;number=0&amp;sourceID=14","0")</f>
        <v>0</v>
      </c>
    </row>
    <row r="3785" spans="1:7">
      <c r="A3785" s="3">
        <v>12</v>
      </c>
      <c r="B3785" s="3">
        <v>4</v>
      </c>
      <c r="C3785" s="3">
        <v>85</v>
      </c>
      <c r="D3785" s="3">
        <v>58</v>
      </c>
      <c r="E3785" s="3">
        <v>-619.346</v>
      </c>
      <c r="F3785" s="4" t="str">
        <f>HYPERLINK("http://141.218.60.56/~jnz1568/getInfo.php?workbook=12_04.xlsx&amp;sheet=A0&amp;row=3785&amp;col=6&amp;number=85&amp;sourceID=14","85")</f>
        <v>85</v>
      </c>
      <c r="G3785" s="4" t="str">
        <f>HYPERLINK("http://141.218.60.56/~jnz1568/getInfo.php?workbook=12_04.xlsx&amp;sheet=A0&amp;row=3785&amp;col=7&amp;number=0&amp;sourceID=14","0")</f>
        <v>0</v>
      </c>
    </row>
    <row r="3786" spans="1:7">
      <c r="A3786" s="3">
        <v>12</v>
      </c>
      <c r="B3786" s="3">
        <v>4</v>
      </c>
      <c r="C3786" s="3">
        <v>86</v>
      </c>
      <c r="D3786" s="3">
        <v>58</v>
      </c>
      <c r="E3786" s="3">
        <v>-616.977</v>
      </c>
      <c r="F3786" s="4" t="str">
        <f>HYPERLINK("http://141.218.60.56/~jnz1568/getInfo.php?workbook=12_04.xlsx&amp;sheet=A0&amp;row=3786&amp;col=6&amp;number=251&amp;sourceID=14","251")</f>
        <v>251</v>
      </c>
      <c r="G3786" s="4" t="str">
        <f>HYPERLINK("http://141.218.60.56/~jnz1568/getInfo.php?workbook=12_04.xlsx&amp;sheet=A0&amp;row=3786&amp;col=7&amp;number=0&amp;sourceID=14","0")</f>
        <v>0</v>
      </c>
    </row>
    <row r="3787" spans="1:7">
      <c r="A3787" s="3">
        <v>12</v>
      </c>
      <c r="B3787" s="3">
        <v>4</v>
      </c>
      <c r="C3787" s="3">
        <v>88</v>
      </c>
      <c r="D3787" s="3">
        <v>58</v>
      </c>
      <c r="E3787" s="3">
        <v>-612.761</v>
      </c>
      <c r="F3787" s="4" t="str">
        <f>HYPERLINK("http://141.218.60.56/~jnz1568/getInfo.php?workbook=12_04.xlsx&amp;sheet=A0&amp;row=3787&amp;col=6&amp;number=9460000&amp;sourceID=14","9460000")</f>
        <v>9460000</v>
      </c>
      <c r="G3787" s="4" t="str">
        <f>HYPERLINK("http://141.218.60.56/~jnz1568/getInfo.php?workbook=12_04.xlsx&amp;sheet=A0&amp;row=3787&amp;col=7&amp;number=0&amp;sourceID=14","0")</f>
        <v>0</v>
      </c>
    </row>
    <row r="3788" spans="1:7">
      <c r="A3788" s="3">
        <v>12</v>
      </c>
      <c r="B3788" s="3">
        <v>4</v>
      </c>
      <c r="C3788" s="3">
        <v>89</v>
      </c>
      <c r="D3788" s="3">
        <v>58</v>
      </c>
      <c r="E3788" s="3">
        <v>-611.028</v>
      </c>
      <c r="F3788" s="4" t="str">
        <f>HYPERLINK("http://141.218.60.56/~jnz1568/getInfo.php?workbook=12_04.xlsx&amp;sheet=A0&amp;row=3788&amp;col=6&amp;number=681000000&amp;sourceID=14","681000000")</f>
        <v>681000000</v>
      </c>
      <c r="G3788" s="4" t="str">
        <f>HYPERLINK("http://141.218.60.56/~jnz1568/getInfo.php?workbook=12_04.xlsx&amp;sheet=A0&amp;row=3788&amp;col=7&amp;number=0&amp;sourceID=14","0")</f>
        <v>0</v>
      </c>
    </row>
    <row r="3789" spans="1:7">
      <c r="A3789" s="3">
        <v>12</v>
      </c>
      <c r="B3789" s="3">
        <v>4</v>
      </c>
      <c r="C3789" s="3">
        <v>90</v>
      </c>
      <c r="D3789" s="3">
        <v>58</v>
      </c>
      <c r="E3789" s="3">
        <v>-605.941</v>
      </c>
      <c r="F3789" s="4" t="str">
        <f>HYPERLINK("http://141.218.60.56/~jnz1568/getInfo.php?workbook=12_04.xlsx&amp;sheet=A0&amp;row=3789&amp;col=6&amp;number=0.0752&amp;sourceID=14","0.0752")</f>
        <v>0.0752</v>
      </c>
      <c r="G3789" s="4" t="str">
        <f>HYPERLINK("http://141.218.60.56/~jnz1568/getInfo.php?workbook=12_04.xlsx&amp;sheet=A0&amp;row=3789&amp;col=7&amp;number=0&amp;sourceID=14","0")</f>
        <v>0</v>
      </c>
    </row>
    <row r="3790" spans="1:7">
      <c r="A3790" s="3">
        <v>12</v>
      </c>
      <c r="B3790" s="3">
        <v>4</v>
      </c>
      <c r="C3790" s="3">
        <v>91</v>
      </c>
      <c r="D3790" s="3">
        <v>58</v>
      </c>
      <c r="E3790" s="3">
        <v>-601.498</v>
      </c>
      <c r="F3790" s="4" t="str">
        <f>HYPERLINK("http://141.218.60.56/~jnz1568/getInfo.php?workbook=12_04.xlsx&amp;sheet=A0&amp;row=3790&amp;col=6&amp;number=226000000&amp;sourceID=14","226000000")</f>
        <v>226000000</v>
      </c>
      <c r="G3790" s="4" t="str">
        <f>HYPERLINK("http://141.218.60.56/~jnz1568/getInfo.php?workbook=12_04.xlsx&amp;sheet=A0&amp;row=3790&amp;col=7&amp;number=0&amp;sourceID=14","0")</f>
        <v>0</v>
      </c>
    </row>
    <row r="3791" spans="1:7">
      <c r="A3791" s="3">
        <v>12</v>
      </c>
      <c r="B3791" s="3">
        <v>4</v>
      </c>
      <c r="C3791" s="3">
        <v>92</v>
      </c>
      <c r="D3791" s="3">
        <v>58</v>
      </c>
      <c r="E3791" s="3">
        <v>-600.461</v>
      </c>
      <c r="F3791" s="4" t="str">
        <f>HYPERLINK("http://141.218.60.56/~jnz1568/getInfo.php?workbook=12_04.xlsx&amp;sheet=A0&amp;row=3791&amp;col=6&amp;number=107000000&amp;sourceID=14","107000000")</f>
        <v>107000000</v>
      </c>
      <c r="G3791" s="4" t="str">
        <f>HYPERLINK("http://141.218.60.56/~jnz1568/getInfo.php?workbook=12_04.xlsx&amp;sheet=A0&amp;row=3791&amp;col=7&amp;number=0&amp;sourceID=14","0")</f>
        <v>0</v>
      </c>
    </row>
    <row r="3792" spans="1:7">
      <c r="A3792" s="3">
        <v>12</v>
      </c>
      <c r="B3792" s="3">
        <v>4</v>
      </c>
      <c r="C3792" s="3">
        <v>93</v>
      </c>
      <c r="D3792" s="3">
        <v>58</v>
      </c>
      <c r="E3792" s="3">
        <v>-599.514</v>
      </c>
      <c r="F3792" s="4" t="str">
        <f>HYPERLINK("http://141.218.60.56/~jnz1568/getInfo.php?workbook=12_04.xlsx&amp;sheet=A0&amp;row=3792&amp;col=6&amp;number=681000000&amp;sourceID=14","681000000")</f>
        <v>681000000</v>
      </c>
      <c r="G3792" s="4" t="str">
        <f>HYPERLINK("http://141.218.60.56/~jnz1568/getInfo.php?workbook=12_04.xlsx&amp;sheet=A0&amp;row=3792&amp;col=7&amp;number=0&amp;sourceID=14","0")</f>
        <v>0</v>
      </c>
    </row>
    <row r="3793" spans="1:7">
      <c r="A3793" s="3">
        <v>12</v>
      </c>
      <c r="B3793" s="3">
        <v>4</v>
      </c>
      <c r="C3793" s="3">
        <v>94</v>
      </c>
      <c r="D3793" s="3">
        <v>58</v>
      </c>
      <c r="E3793" s="3">
        <v>-596.059</v>
      </c>
      <c r="F3793" s="4" t="str">
        <f>HYPERLINK("http://141.218.60.56/~jnz1568/getInfo.php?workbook=12_04.xlsx&amp;sheet=A0&amp;row=3793&amp;col=6&amp;number=0.154&amp;sourceID=14","0.154")</f>
        <v>0.154</v>
      </c>
      <c r="G3793" s="4" t="str">
        <f>HYPERLINK("http://141.218.60.56/~jnz1568/getInfo.php?workbook=12_04.xlsx&amp;sheet=A0&amp;row=3793&amp;col=7&amp;number=0&amp;sourceID=14","0")</f>
        <v>0</v>
      </c>
    </row>
    <row r="3794" spans="1:7">
      <c r="A3794" s="3">
        <v>12</v>
      </c>
      <c r="B3794" s="3">
        <v>4</v>
      </c>
      <c r="C3794" s="3">
        <v>95</v>
      </c>
      <c r="D3794" s="3">
        <v>58</v>
      </c>
      <c r="E3794" s="3">
        <v>-593.815</v>
      </c>
      <c r="F3794" s="4" t="str">
        <f>HYPERLINK("http://141.218.60.56/~jnz1568/getInfo.php?workbook=12_04.xlsx&amp;sheet=A0&amp;row=3794&amp;col=6&amp;number=9.09e-10&amp;sourceID=14","9.09e-10")</f>
        <v>9.09e-10</v>
      </c>
      <c r="G3794" s="4" t="str">
        <f>HYPERLINK("http://141.218.60.56/~jnz1568/getInfo.php?workbook=12_04.xlsx&amp;sheet=A0&amp;row=3794&amp;col=7&amp;number=0&amp;sourceID=14","0")</f>
        <v>0</v>
      </c>
    </row>
    <row r="3795" spans="1:7">
      <c r="A3795" s="3">
        <v>12</v>
      </c>
      <c r="B3795" s="3">
        <v>4</v>
      </c>
      <c r="C3795" s="3">
        <v>96</v>
      </c>
      <c r="D3795" s="3">
        <v>58</v>
      </c>
      <c r="E3795" s="3">
        <v>-591.752</v>
      </c>
      <c r="F3795" s="4" t="str">
        <f>HYPERLINK("http://141.218.60.56/~jnz1568/getInfo.php?workbook=12_04.xlsx&amp;sheet=A0&amp;row=3795&amp;col=6&amp;number=202000000&amp;sourceID=14","202000000")</f>
        <v>202000000</v>
      </c>
      <c r="G3795" s="4" t="str">
        <f>HYPERLINK("http://141.218.60.56/~jnz1568/getInfo.php?workbook=12_04.xlsx&amp;sheet=A0&amp;row=3795&amp;col=7&amp;number=0&amp;sourceID=14","0")</f>
        <v>0</v>
      </c>
    </row>
    <row r="3796" spans="1:7">
      <c r="A3796" s="3">
        <v>12</v>
      </c>
      <c r="B3796" s="3">
        <v>4</v>
      </c>
      <c r="C3796" s="3">
        <v>97</v>
      </c>
      <c r="D3796" s="3">
        <v>58</v>
      </c>
      <c r="E3796" s="3">
        <v>-583.136</v>
      </c>
      <c r="F3796" s="4" t="str">
        <f>HYPERLINK("http://141.218.60.56/~jnz1568/getInfo.php?workbook=12_04.xlsx&amp;sheet=A0&amp;row=3796&amp;col=6&amp;number=0.00205&amp;sourceID=14","0.00205")</f>
        <v>0.00205</v>
      </c>
      <c r="G3796" s="4" t="str">
        <f>HYPERLINK("http://141.218.60.56/~jnz1568/getInfo.php?workbook=12_04.xlsx&amp;sheet=A0&amp;row=3796&amp;col=7&amp;number=0&amp;sourceID=14","0")</f>
        <v>0</v>
      </c>
    </row>
    <row r="3797" spans="1:7">
      <c r="A3797" s="3">
        <v>12</v>
      </c>
      <c r="B3797" s="3">
        <v>4</v>
      </c>
      <c r="C3797" s="3">
        <v>98</v>
      </c>
      <c r="D3797" s="3">
        <v>58</v>
      </c>
      <c r="E3797" s="3">
        <v>-579.097</v>
      </c>
      <c r="F3797" s="4" t="str">
        <f>HYPERLINK("http://141.218.60.56/~jnz1568/getInfo.php?workbook=12_04.xlsx&amp;sheet=A0&amp;row=3797&amp;col=6&amp;number=1.93&amp;sourceID=14","1.93")</f>
        <v>1.93</v>
      </c>
      <c r="G3797" s="4" t="str">
        <f>HYPERLINK("http://141.218.60.56/~jnz1568/getInfo.php?workbook=12_04.xlsx&amp;sheet=A0&amp;row=3797&amp;col=7&amp;number=0&amp;sourceID=14","0")</f>
        <v>0</v>
      </c>
    </row>
    <row r="3798" spans="1:7">
      <c r="A3798" s="3">
        <v>12</v>
      </c>
      <c r="B3798" s="3">
        <v>4</v>
      </c>
      <c r="C3798" s="3">
        <v>60</v>
      </c>
      <c r="D3798" s="3">
        <v>59</v>
      </c>
      <c r="E3798" s="3">
        <v>-39588.355</v>
      </c>
      <c r="F3798" s="4" t="str">
        <f>HYPERLINK("http://141.218.60.56/~jnz1568/getInfo.php?workbook=12_04.xlsx&amp;sheet=A0&amp;row=3798&amp;col=6&amp;number=2.7e-05&amp;sourceID=14","2.7e-05")</f>
        <v>2.7e-05</v>
      </c>
      <c r="G3798" s="4" t="str">
        <f>HYPERLINK("http://141.218.60.56/~jnz1568/getInfo.php?workbook=12_04.xlsx&amp;sheet=A0&amp;row=3798&amp;col=7&amp;number=0&amp;sourceID=14","0")</f>
        <v>0</v>
      </c>
    </row>
    <row r="3799" spans="1:7">
      <c r="A3799" s="3">
        <v>12</v>
      </c>
      <c r="B3799" s="3">
        <v>4</v>
      </c>
      <c r="C3799" s="3">
        <v>61</v>
      </c>
      <c r="D3799" s="3">
        <v>59</v>
      </c>
      <c r="E3799" s="3">
        <v>-845.775</v>
      </c>
      <c r="F3799" s="4" t="str">
        <f>HYPERLINK("http://141.218.60.56/~jnz1568/getInfo.php?workbook=12_04.xlsx&amp;sheet=A0&amp;row=3799&amp;col=6&amp;number=2.43e-10&amp;sourceID=14","2.43e-10")</f>
        <v>2.43e-10</v>
      </c>
      <c r="G3799" s="4" t="str">
        <f>HYPERLINK("http://141.218.60.56/~jnz1568/getInfo.php?workbook=12_04.xlsx&amp;sheet=A0&amp;row=3799&amp;col=7&amp;number=0&amp;sourceID=14","0")</f>
        <v>0</v>
      </c>
    </row>
    <row r="3800" spans="1:7">
      <c r="A3800" s="3">
        <v>12</v>
      </c>
      <c r="B3800" s="3">
        <v>4</v>
      </c>
      <c r="C3800" s="3">
        <v>62</v>
      </c>
      <c r="D3800" s="3">
        <v>59</v>
      </c>
      <c r="E3800" s="3">
        <v>-839.259</v>
      </c>
      <c r="F3800" s="4" t="str">
        <f>HYPERLINK("http://141.218.60.56/~jnz1568/getInfo.php?workbook=12_04.xlsx&amp;sheet=A0&amp;row=3800&amp;col=6&amp;number=8.26e-10&amp;sourceID=14","8.26e-10")</f>
        <v>8.26e-10</v>
      </c>
      <c r="G3800" s="4" t="str">
        <f>HYPERLINK("http://141.218.60.56/~jnz1568/getInfo.php?workbook=12_04.xlsx&amp;sheet=A0&amp;row=3800&amp;col=7&amp;number=0&amp;sourceID=14","0")</f>
        <v>0</v>
      </c>
    </row>
    <row r="3801" spans="1:7">
      <c r="A3801" s="3">
        <v>12</v>
      </c>
      <c r="B3801" s="3">
        <v>4</v>
      </c>
      <c r="C3801" s="3">
        <v>63</v>
      </c>
      <c r="D3801" s="3">
        <v>59</v>
      </c>
      <c r="E3801" s="3">
        <v>-818.781</v>
      </c>
      <c r="F3801" s="4" t="str">
        <f>HYPERLINK("http://141.218.60.56/~jnz1568/getInfo.php?workbook=12_04.xlsx&amp;sheet=A0&amp;row=3801&amp;col=6&amp;number=4.27&amp;sourceID=14","4.27")</f>
        <v>4.27</v>
      </c>
      <c r="G3801" s="4" t="str">
        <f>HYPERLINK("http://141.218.60.56/~jnz1568/getInfo.php?workbook=12_04.xlsx&amp;sheet=A0&amp;row=3801&amp;col=7&amp;number=0&amp;sourceID=14","0")</f>
        <v>0</v>
      </c>
    </row>
    <row r="3802" spans="1:7">
      <c r="A3802" s="3">
        <v>12</v>
      </c>
      <c r="B3802" s="3">
        <v>4</v>
      </c>
      <c r="C3802" s="3">
        <v>64</v>
      </c>
      <c r="D3802" s="3">
        <v>59</v>
      </c>
      <c r="E3802" s="3">
        <v>-778.987</v>
      </c>
      <c r="F3802" s="4" t="str">
        <f>HYPERLINK("http://141.218.60.56/~jnz1568/getInfo.php?workbook=12_04.xlsx&amp;sheet=A0&amp;row=3802&amp;col=6&amp;number=3.35e-08&amp;sourceID=14","3.35e-08")</f>
        <v>3.35e-08</v>
      </c>
      <c r="G3802" s="4" t="str">
        <f>HYPERLINK("http://141.218.60.56/~jnz1568/getInfo.php?workbook=12_04.xlsx&amp;sheet=A0&amp;row=3802&amp;col=7&amp;number=0&amp;sourceID=14","0")</f>
        <v>0</v>
      </c>
    </row>
    <row r="3803" spans="1:7">
      <c r="A3803" s="3">
        <v>12</v>
      </c>
      <c r="B3803" s="3">
        <v>4</v>
      </c>
      <c r="C3803" s="3">
        <v>65</v>
      </c>
      <c r="D3803" s="3">
        <v>59</v>
      </c>
      <c r="E3803" s="3">
        <v>-735.842</v>
      </c>
      <c r="F3803" s="4" t="str">
        <f>HYPERLINK("http://141.218.60.56/~jnz1568/getInfo.php?workbook=12_04.xlsx&amp;sheet=A0&amp;row=3803&amp;col=6&amp;number=3.3e-06&amp;sourceID=14","3.3e-06")</f>
        <v>3.3e-06</v>
      </c>
      <c r="G3803" s="4" t="str">
        <f>HYPERLINK("http://141.218.60.56/~jnz1568/getInfo.php?workbook=12_04.xlsx&amp;sheet=A0&amp;row=3803&amp;col=7&amp;number=0&amp;sourceID=14","0")</f>
        <v>0</v>
      </c>
    </row>
    <row r="3804" spans="1:7">
      <c r="A3804" s="3">
        <v>12</v>
      </c>
      <c r="B3804" s="3">
        <v>4</v>
      </c>
      <c r="C3804" s="3">
        <v>66</v>
      </c>
      <c r="D3804" s="3">
        <v>59</v>
      </c>
      <c r="E3804" s="3">
        <v>-722.279</v>
      </c>
      <c r="F3804" s="4" t="str">
        <f>HYPERLINK("http://141.218.60.56/~jnz1568/getInfo.php?workbook=12_04.xlsx&amp;sheet=A0&amp;row=3804&amp;col=6&amp;number=7.05e-05&amp;sourceID=14","7.05e-05")</f>
        <v>7.05e-05</v>
      </c>
      <c r="G3804" s="4" t="str">
        <f>HYPERLINK("http://141.218.60.56/~jnz1568/getInfo.php?workbook=12_04.xlsx&amp;sheet=A0&amp;row=3804&amp;col=7&amp;number=0&amp;sourceID=14","0")</f>
        <v>0</v>
      </c>
    </row>
    <row r="3805" spans="1:7">
      <c r="A3805" s="3">
        <v>12</v>
      </c>
      <c r="B3805" s="3">
        <v>4</v>
      </c>
      <c r="C3805" s="3">
        <v>67</v>
      </c>
      <c r="D3805" s="3">
        <v>59</v>
      </c>
      <c r="E3805" s="3">
        <v>-719.933</v>
      </c>
      <c r="F3805" s="4" t="str">
        <f>HYPERLINK("http://141.218.60.56/~jnz1568/getInfo.php?workbook=12_04.xlsx&amp;sheet=A0&amp;row=3805&amp;col=6&amp;number=0.000102&amp;sourceID=14","0.000102")</f>
        <v>0.000102</v>
      </c>
      <c r="G3805" s="4" t="str">
        <f>HYPERLINK("http://141.218.60.56/~jnz1568/getInfo.php?workbook=12_04.xlsx&amp;sheet=A0&amp;row=3805&amp;col=7&amp;number=0&amp;sourceID=14","0")</f>
        <v>0</v>
      </c>
    </row>
    <row r="3806" spans="1:7">
      <c r="A3806" s="3">
        <v>12</v>
      </c>
      <c r="B3806" s="3">
        <v>4</v>
      </c>
      <c r="C3806" s="3">
        <v>68</v>
      </c>
      <c r="D3806" s="3">
        <v>59</v>
      </c>
      <c r="E3806" s="3">
        <v>-707.505</v>
      </c>
      <c r="F3806" s="4" t="str">
        <f>HYPERLINK("http://141.218.60.56/~jnz1568/getInfo.php?workbook=12_04.xlsx&amp;sheet=A0&amp;row=3806&amp;col=6&amp;number=6270000&amp;sourceID=14","6270000")</f>
        <v>6270000</v>
      </c>
      <c r="G3806" s="4" t="str">
        <f>HYPERLINK("http://141.218.60.56/~jnz1568/getInfo.php?workbook=12_04.xlsx&amp;sheet=A0&amp;row=3806&amp;col=7&amp;number=0&amp;sourceID=14","0")</f>
        <v>0</v>
      </c>
    </row>
    <row r="3807" spans="1:7">
      <c r="A3807" s="3">
        <v>12</v>
      </c>
      <c r="B3807" s="3">
        <v>4</v>
      </c>
      <c r="C3807" s="3">
        <v>69</v>
      </c>
      <c r="D3807" s="3">
        <v>59</v>
      </c>
      <c r="E3807" s="3">
        <v>-693.3</v>
      </c>
      <c r="F3807" s="4" t="str">
        <f>HYPERLINK("http://141.218.60.56/~jnz1568/getInfo.php?workbook=12_04.xlsx&amp;sheet=A0&amp;row=3807&amp;col=6&amp;number=0.00106&amp;sourceID=14","0.00106")</f>
        <v>0.00106</v>
      </c>
      <c r="G3807" s="4" t="str">
        <f>HYPERLINK("http://141.218.60.56/~jnz1568/getInfo.php?workbook=12_04.xlsx&amp;sheet=A0&amp;row=3807&amp;col=7&amp;number=0&amp;sourceID=14","0")</f>
        <v>0</v>
      </c>
    </row>
    <row r="3808" spans="1:7">
      <c r="A3808" s="3">
        <v>12</v>
      </c>
      <c r="B3808" s="3">
        <v>4</v>
      </c>
      <c r="C3808" s="3">
        <v>71</v>
      </c>
      <c r="D3808" s="3">
        <v>59</v>
      </c>
      <c r="E3808" s="3">
        <v>-681.196</v>
      </c>
      <c r="F3808" s="4" t="str">
        <f>HYPERLINK("http://141.218.60.56/~jnz1568/getInfo.php?workbook=12_04.xlsx&amp;sheet=A0&amp;row=3808&amp;col=6&amp;number=0.0002&amp;sourceID=14","0.0002")</f>
        <v>0.0002</v>
      </c>
      <c r="G3808" s="4" t="str">
        <f>HYPERLINK("http://141.218.60.56/~jnz1568/getInfo.php?workbook=12_04.xlsx&amp;sheet=A0&amp;row=3808&amp;col=7&amp;number=0&amp;sourceID=14","0")</f>
        <v>0</v>
      </c>
    </row>
    <row r="3809" spans="1:7">
      <c r="A3809" s="3">
        <v>12</v>
      </c>
      <c r="B3809" s="3">
        <v>4</v>
      </c>
      <c r="C3809" s="3">
        <v>72</v>
      </c>
      <c r="D3809" s="3">
        <v>59</v>
      </c>
      <c r="E3809" s="3">
        <v>-679.035</v>
      </c>
      <c r="F3809" s="4" t="str">
        <f>HYPERLINK("http://141.218.60.56/~jnz1568/getInfo.php?workbook=12_04.xlsx&amp;sheet=A0&amp;row=3809&amp;col=6&amp;number=0.000251&amp;sourceID=14","0.000251")</f>
        <v>0.000251</v>
      </c>
      <c r="G3809" s="4" t="str">
        <f>HYPERLINK("http://141.218.60.56/~jnz1568/getInfo.php?workbook=12_04.xlsx&amp;sheet=A0&amp;row=3809&amp;col=7&amp;number=0&amp;sourceID=14","0")</f>
        <v>0</v>
      </c>
    </row>
    <row r="3810" spans="1:7">
      <c r="A3810" s="3">
        <v>12</v>
      </c>
      <c r="B3810" s="3">
        <v>4</v>
      </c>
      <c r="C3810" s="3">
        <v>73</v>
      </c>
      <c r="D3810" s="3">
        <v>59</v>
      </c>
      <c r="E3810" s="3">
        <v>-665.319</v>
      </c>
      <c r="F3810" s="4" t="str">
        <f>HYPERLINK("http://141.218.60.56/~jnz1568/getInfo.php?workbook=12_04.xlsx&amp;sheet=A0&amp;row=3810&amp;col=6&amp;number=0.578&amp;sourceID=14","0.578")</f>
        <v>0.578</v>
      </c>
      <c r="G3810" s="4" t="str">
        <f>HYPERLINK("http://141.218.60.56/~jnz1568/getInfo.php?workbook=12_04.xlsx&amp;sheet=A0&amp;row=3810&amp;col=7&amp;number=0&amp;sourceID=14","0")</f>
        <v>0</v>
      </c>
    </row>
    <row r="3811" spans="1:7">
      <c r="A3811" s="3">
        <v>12</v>
      </c>
      <c r="B3811" s="3">
        <v>4</v>
      </c>
      <c r="C3811" s="3">
        <v>74</v>
      </c>
      <c r="D3811" s="3">
        <v>59</v>
      </c>
      <c r="E3811" s="3">
        <v>-656.971</v>
      </c>
      <c r="F3811" s="4" t="str">
        <f>HYPERLINK("http://141.218.60.56/~jnz1568/getInfo.php?workbook=12_04.xlsx&amp;sheet=A0&amp;row=3811&amp;col=6&amp;number=0.874&amp;sourceID=14","0.874")</f>
        <v>0.874</v>
      </c>
      <c r="G3811" s="4" t="str">
        <f>HYPERLINK("http://141.218.60.56/~jnz1568/getInfo.php?workbook=12_04.xlsx&amp;sheet=A0&amp;row=3811&amp;col=7&amp;number=0&amp;sourceID=14","0")</f>
        <v>0</v>
      </c>
    </row>
    <row r="3812" spans="1:7">
      <c r="A3812" s="3">
        <v>12</v>
      </c>
      <c r="B3812" s="3">
        <v>4</v>
      </c>
      <c r="C3812" s="3">
        <v>75</v>
      </c>
      <c r="D3812" s="3">
        <v>59</v>
      </c>
      <c r="E3812" s="3">
        <v>-654.383</v>
      </c>
      <c r="F3812" s="4" t="str">
        <f>HYPERLINK("http://141.218.60.56/~jnz1568/getInfo.php?workbook=12_04.xlsx&amp;sheet=A0&amp;row=3812&amp;col=6&amp;number=10.7&amp;sourceID=14","10.7")</f>
        <v>10.7</v>
      </c>
      <c r="G3812" s="4" t="str">
        <f>HYPERLINK("http://141.218.60.56/~jnz1568/getInfo.php?workbook=12_04.xlsx&amp;sheet=A0&amp;row=3812&amp;col=7&amp;number=0&amp;sourceID=14","0")</f>
        <v>0</v>
      </c>
    </row>
    <row r="3813" spans="1:7">
      <c r="A3813" s="3">
        <v>12</v>
      </c>
      <c r="B3813" s="3">
        <v>4</v>
      </c>
      <c r="C3813" s="3">
        <v>76</v>
      </c>
      <c r="D3813" s="3">
        <v>59</v>
      </c>
      <c r="E3813" s="3">
        <v>-649.808</v>
      </c>
      <c r="F3813" s="4" t="str">
        <f>HYPERLINK("http://141.218.60.56/~jnz1568/getInfo.php?workbook=12_04.xlsx&amp;sheet=A0&amp;row=3813&amp;col=6&amp;number=0.000346&amp;sourceID=14","0.000346")</f>
        <v>0.000346</v>
      </c>
      <c r="G3813" s="4" t="str">
        <f>HYPERLINK("http://141.218.60.56/~jnz1568/getInfo.php?workbook=12_04.xlsx&amp;sheet=A0&amp;row=3813&amp;col=7&amp;number=0&amp;sourceID=14","0")</f>
        <v>0</v>
      </c>
    </row>
    <row r="3814" spans="1:7">
      <c r="A3814" s="3">
        <v>12</v>
      </c>
      <c r="B3814" s="3">
        <v>4</v>
      </c>
      <c r="C3814" s="3">
        <v>77</v>
      </c>
      <c r="D3814" s="3">
        <v>59</v>
      </c>
      <c r="E3814" s="3">
        <v>-647.716</v>
      </c>
      <c r="F3814" s="4" t="str">
        <f>HYPERLINK("http://141.218.60.56/~jnz1568/getInfo.php?workbook=12_04.xlsx&amp;sheet=A0&amp;row=3814&amp;col=6&amp;number=0.879&amp;sourceID=14","0.879")</f>
        <v>0.879</v>
      </c>
      <c r="G3814" s="4" t="str">
        <f>HYPERLINK("http://141.218.60.56/~jnz1568/getInfo.php?workbook=12_04.xlsx&amp;sheet=A0&amp;row=3814&amp;col=7&amp;number=0&amp;sourceID=14","0")</f>
        <v>0</v>
      </c>
    </row>
    <row r="3815" spans="1:7">
      <c r="A3815" s="3">
        <v>12</v>
      </c>
      <c r="B3815" s="3">
        <v>4</v>
      </c>
      <c r="C3815" s="3">
        <v>78</v>
      </c>
      <c r="D3815" s="3">
        <v>59</v>
      </c>
      <c r="E3815" s="3">
        <v>-635.354</v>
      </c>
      <c r="F3815" s="4" t="str">
        <f>HYPERLINK("http://141.218.60.56/~jnz1568/getInfo.php?workbook=12_04.xlsx&amp;sheet=A0&amp;row=3815&amp;col=6&amp;number=8.5e-10&amp;sourceID=14","8.5e-10")</f>
        <v>8.5e-10</v>
      </c>
      <c r="G3815" s="4" t="str">
        <f>HYPERLINK("http://141.218.60.56/~jnz1568/getInfo.php?workbook=12_04.xlsx&amp;sheet=A0&amp;row=3815&amp;col=7&amp;number=0&amp;sourceID=14","0")</f>
        <v>0</v>
      </c>
    </row>
    <row r="3816" spans="1:7">
      <c r="A3816" s="3">
        <v>12</v>
      </c>
      <c r="B3816" s="3">
        <v>4</v>
      </c>
      <c r="C3816" s="3">
        <v>79</v>
      </c>
      <c r="D3816" s="3">
        <v>59</v>
      </c>
      <c r="E3816" s="3">
        <v>-632.865</v>
      </c>
      <c r="F3816" s="4" t="str">
        <f>HYPERLINK("http://141.218.60.56/~jnz1568/getInfo.php?workbook=12_04.xlsx&amp;sheet=A0&amp;row=3816&amp;col=6&amp;number=70.3&amp;sourceID=14","70.3")</f>
        <v>70.3</v>
      </c>
      <c r="G3816" s="4" t="str">
        <f>HYPERLINK("http://141.218.60.56/~jnz1568/getInfo.php?workbook=12_04.xlsx&amp;sheet=A0&amp;row=3816&amp;col=7&amp;number=0&amp;sourceID=14","0")</f>
        <v>0</v>
      </c>
    </row>
    <row r="3817" spans="1:7">
      <c r="A3817" s="3">
        <v>12</v>
      </c>
      <c r="B3817" s="3">
        <v>4</v>
      </c>
      <c r="C3817" s="3">
        <v>80</v>
      </c>
      <c r="D3817" s="3">
        <v>59</v>
      </c>
      <c r="E3817" s="3">
        <v>-627.933</v>
      </c>
      <c r="F3817" s="4" t="str">
        <f>HYPERLINK("http://141.218.60.56/~jnz1568/getInfo.php?workbook=12_04.xlsx&amp;sheet=A0&amp;row=3817&amp;col=6&amp;number=75100000&amp;sourceID=14","75100000")</f>
        <v>75100000</v>
      </c>
      <c r="G3817" s="4" t="str">
        <f>HYPERLINK("http://141.218.60.56/~jnz1568/getInfo.php?workbook=12_04.xlsx&amp;sheet=A0&amp;row=3817&amp;col=7&amp;number=0&amp;sourceID=14","0")</f>
        <v>0</v>
      </c>
    </row>
    <row r="3818" spans="1:7">
      <c r="A3818" s="3">
        <v>12</v>
      </c>
      <c r="B3818" s="3">
        <v>4</v>
      </c>
      <c r="C3818" s="3">
        <v>81</v>
      </c>
      <c r="D3818" s="3">
        <v>59</v>
      </c>
      <c r="E3818" s="3">
        <v>-627.826</v>
      </c>
      <c r="F3818" s="4" t="str">
        <f>HYPERLINK("http://141.218.60.56/~jnz1568/getInfo.php?workbook=12_04.xlsx&amp;sheet=A0&amp;row=3818&amp;col=6&amp;number=6.2&amp;sourceID=14","6.2")</f>
        <v>6.2</v>
      </c>
      <c r="G3818" s="4" t="str">
        <f>HYPERLINK("http://141.218.60.56/~jnz1568/getInfo.php?workbook=12_04.xlsx&amp;sheet=A0&amp;row=3818&amp;col=7&amp;number=0&amp;sourceID=14","0")</f>
        <v>0</v>
      </c>
    </row>
    <row r="3819" spans="1:7">
      <c r="A3819" s="3">
        <v>12</v>
      </c>
      <c r="B3819" s="3">
        <v>4</v>
      </c>
      <c r="C3819" s="3">
        <v>82</v>
      </c>
      <c r="D3819" s="3">
        <v>59</v>
      </c>
      <c r="E3819" s="3">
        <v>-626.509</v>
      </c>
      <c r="F3819" s="4" t="str">
        <f>HYPERLINK("http://141.218.60.56/~jnz1568/getInfo.php?workbook=12_04.xlsx&amp;sheet=A0&amp;row=3819&amp;col=6&amp;number=0.000295&amp;sourceID=14","0.000295")</f>
        <v>0.000295</v>
      </c>
      <c r="G3819" s="4" t="str">
        <f>HYPERLINK("http://141.218.60.56/~jnz1568/getInfo.php?workbook=12_04.xlsx&amp;sheet=A0&amp;row=3819&amp;col=7&amp;number=0&amp;sourceID=14","0")</f>
        <v>0</v>
      </c>
    </row>
    <row r="3820" spans="1:7">
      <c r="A3820" s="3">
        <v>12</v>
      </c>
      <c r="B3820" s="3">
        <v>4</v>
      </c>
      <c r="C3820" s="3">
        <v>83</v>
      </c>
      <c r="D3820" s="3">
        <v>59</v>
      </c>
      <c r="E3820" s="3">
        <v>-626.489</v>
      </c>
      <c r="F3820" s="4" t="str">
        <f>HYPERLINK("http://141.218.60.56/~jnz1568/getInfo.php?workbook=12_04.xlsx&amp;sheet=A0&amp;row=3820&amp;col=6&amp;number=159000000&amp;sourceID=14","159000000")</f>
        <v>159000000</v>
      </c>
      <c r="G3820" s="4" t="str">
        <f>HYPERLINK("http://141.218.60.56/~jnz1568/getInfo.php?workbook=12_04.xlsx&amp;sheet=A0&amp;row=3820&amp;col=7&amp;number=0&amp;sourceID=14","0")</f>
        <v>0</v>
      </c>
    </row>
    <row r="3821" spans="1:7">
      <c r="A3821" s="3">
        <v>12</v>
      </c>
      <c r="B3821" s="3">
        <v>4</v>
      </c>
      <c r="C3821" s="3">
        <v>84</v>
      </c>
      <c r="D3821" s="3">
        <v>59</v>
      </c>
      <c r="E3821" s="3">
        <v>-625.216</v>
      </c>
      <c r="F3821" s="4" t="str">
        <f>HYPERLINK("http://141.218.60.56/~jnz1568/getInfo.php?workbook=12_04.xlsx&amp;sheet=A0&amp;row=3821&amp;col=6&amp;number=629000000&amp;sourceID=14","629000000")</f>
        <v>629000000</v>
      </c>
      <c r="G3821" s="4" t="str">
        <f>HYPERLINK("http://141.218.60.56/~jnz1568/getInfo.php?workbook=12_04.xlsx&amp;sheet=A0&amp;row=3821&amp;col=7&amp;number=0&amp;sourceID=14","0")</f>
        <v>0</v>
      </c>
    </row>
    <row r="3822" spans="1:7">
      <c r="A3822" s="3">
        <v>12</v>
      </c>
      <c r="B3822" s="3">
        <v>4</v>
      </c>
      <c r="C3822" s="3">
        <v>85</v>
      </c>
      <c r="D3822" s="3">
        <v>59</v>
      </c>
      <c r="E3822" s="3">
        <v>-619.492</v>
      </c>
      <c r="F3822" s="4" t="str">
        <f>HYPERLINK("http://141.218.60.56/~jnz1568/getInfo.php?workbook=12_04.xlsx&amp;sheet=A0&amp;row=3822&amp;col=6&amp;number=247&amp;sourceID=14","247")</f>
        <v>247</v>
      </c>
      <c r="G3822" s="4" t="str">
        <f>HYPERLINK("http://141.218.60.56/~jnz1568/getInfo.php?workbook=12_04.xlsx&amp;sheet=A0&amp;row=3822&amp;col=7&amp;number=0&amp;sourceID=14","0")</f>
        <v>0</v>
      </c>
    </row>
    <row r="3823" spans="1:7">
      <c r="A3823" s="3">
        <v>12</v>
      </c>
      <c r="B3823" s="3">
        <v>4</v>
      </c>
      <c r="C3823" s="3">
        <v>86</v>
      </c>
      <c r="D3823" s="3">
        <v>59</v>
      </c>
      <c r="E3823" s="3">
        <v>-617.121</v>
      </c>
      <c r="F3823" s="4" t="str">
        <f>HYPERLINK("http://141.218.60.56/~jnz1568/getInfo.php?workbook=12_04.xlsx&amp;sheet=A0&amp;row=3823&amp;col=6&amp;number=1.09e-08&amp;sourceID=14","1.09e-08")</f>
        <v>1.09e-08</v>
      </c>
      <c r="G3823" s="4" t="str">
        <f>HYPERLINK("http://141.218.60.56/~jnz1568/getInfo.php?workbook=12_04.xlsx&amp;sheet=A0&amp;row=3823&amp;col=7&amp;number=0&amp;sourceID=14","0")</f>
        <v>0</v>
      </c>
    </row>
    <row r="3824" spans="1:7">
      <c r="A3824" s="3">
        <v>12</v>
      </c>
      <c r="B3824" s="3">
        <v>4</v>
      </c>
      <c r="C3824" s="3">
        <v>87</v>
      </c>
      <c r="D3824" s="3">
        <v>59</v>
      </c>
      <c r="E3824" s="3">
        <v>-615.86</v>
      </c>
      <c r="F3824" s="4" t="str">
        <f>HYPERLINK("http://141.218.60.56/~jnz1568/getInfo.php?workbook=12_04.xlsx&amp;sheet=A0&amp;row=3824&amp;col=6&amp;number=4.78e-09&amp;sourceID=14","4.78e-09")</f>
        <v>4.78e-09</v>
      </c>
      <c r="G3824" s="4" t="str">
        <f>HYPERLINK("http://141.218.60.56/~jnz1568/getInfo.php?workbook=12_04.xlsx&amp;sheet=A0&amp;row=3824&amp;col=7&amp;number=0&amp;sourceID=14","0")</f>
        <v>0</v>
      </c>
    </row>
    <row r="3825" spans="1:7">
      <c r="A3825" s="3">
        <v>12</v>
      </c>
      <c r="B3825" s="3">
        <v>4</v>
      </c>
      <c r="C3825" s="3">
        <v>88</v>
      </c>
      <c r="D3825" s="3">
        <v>59</v>
      </c>
      <c r="E3825" s="3">
        <v>-612.904</v>
      </c>
      <c r="F3825" s="4" t="str">
        <f>HYPERLINK("http://141.218.60.56/~jnz1568/getInfo.php?workbook=12_04.xlsx&amp;sheet=A0&amp;row=3825&amp;col=6&amp;number=7520000&amp;sourceID=14","7520000")</f>
        <v>7520000</v>
      </c>
      <c r="G3825" s="4" t="str">
        <f>HYPERLINK("http://141.218.60.56/~jnz1568/getInfo.php?workbook=12_04.xlsx&amp;sheet=A0&amp;row=3825&amp;col=7&amp;number=0&amp;sourceID=14","0")</f>
        <v>0</v>
      </c>
    </row>
    <row r="3826" spans="1:7">
      <c r="A3826" s="3">
        <v>12</v>
      </c>
      <c r="B3826" s="3">
        <v>4</v>
      </c>
      <c r="C3826" s="3">
        <v>89</v>
      </c>
      <c r="D3826" s="3">
        <v>59</v>
      </c>
      <c r="E3826" s="3">
        <v>-611.17</v>
      </c>
      <c r="F3826" s="4" t="str">
        <f>HYPERLINK("http://141.218.60.56/~jnz1568/getInfo.php?workbook=12_04.xlsx&amp;sheet=A0&amp;row=3826&amp;col=6&amp;number=59600000&amp;sourceID=14","59600000")</f>
        <v>59600000</v>
      </c>
      <c r="G3826" s="4" t="str">
        <f>HYPERLINK("http://141.218.60.56/~jnz1568/getInfo.php?workbook=12_04.xlsx&amp;sheet=A0&amp;row=3826&amp;col=7&amp;number=0&amp;sourceID=14","0")</f>
        <v>0</v>
      </c>
    </row>
    <row r="3827" spans="1:7">
      <c r="A3827" s="3">
        <v>12</v>
      </c>
      <c r="B3827" s="3">
        <v>4</v>
      </c>
      <c r="C3827" s="3">
        <v>90</v>
      </c>
      <c r="D3827" s="3">
        <v>59</v>
      </c>
      <c r="E3827" s="3">
        <v>-606.08</v>
      </c>
      <c r="F3827" s="4" t="str">
        <f>HYPERLINK("http://141.218.60.56/~jnz1568/getInfo.php?workbook=12_04.xlsx&amp;sheet=A0&amp;row=3827&amp;col=6&amp;number=848000000&amp;sourceID=14","848000000")</f>
        <v>848000000</v>
      </c>
      <c r="G3827" s="4" t="str">
        <f>HYPERLINK("http://141.218.60.56/~jnz1568/getInfo.php?workbook=12_04.xlsx&amp;sheet=A0&amp;row=3827&amp;col=7&amp;number=0&amp;sourceID=14","0")</f>
        <v>0</v>
      </c>
    </row>
    <row r="3828" spans="1:7">
      <c r="A3828" s="3">
        <v>12</v>
      </c>
      <c r="B3828" s="3">
        <v>4</v>
      </c>
      <c r="C3828" s="3">
        <v>91</v>
      </c>
      <c r="D3828" s="3">
        <v>59</v>
      </c>
      <c r="E3828" s="3">
        <v>-601.635</v>
      </c>
      <c r="F3828" s="4" t="str">
        <f>HYPERLINK("http://141.218.60.56/~jnz1568/getInfo.php?workbook=12_04.xlsx&amp;sheet=A0&amp;row=3828&amp;col=6&amp;number=835000000&amp;sourceID=14","835000000")</f>
        <v>835000000</v>
      </c>
      <c r="G3828" s="4" t="str">
        <f>HYPERLINK("http://141.218.60.56/~jnz1568/getInfo.php?workbook=12_04.xlsx&amp;sheet=A0&amp;row=3828&amp;col=7&amp;number=0&amp;sourceID=14","0")</f>
        <v>0</v>
      </c>
    </row>
    <row r="3829" spans="1:7">
      <c r="A3829" s="3">
        <v>12</v>
      </c>
      <c r="B3829" s="3">
        <v>4</v>
      </c>
      <c r="C3829" s="3">
        <v>92</v>
      </c>
      <c r="D3829" s="3">
        <v>59</v>
      </c>
      <c r="E3829" s="3">
        <v>-600.598</v>
      </c>
      <c r="F3829" s="4" t="str">
        <f>HYPERLINK("http://141.218.60.56/~jnz1568/getInfo.php?workbook=12_04.xlsx&amp;sheet=A0&amp;row=3829&amp;col=6&amp;number=31900000&amp;sourceID=14","31900000")</f>
        <v>31900000</v>
      </c>
      <c r="G3829" s="4" t="str">
        <f>HYPERLINK("http://141.218.60.56/~jnz1568/getInfo.php?workbook=12_04.xlsx&amp;sheet=A0&amp;row=3829&amp;col=7&amp;number=0&amp;sourceID=14","0")</f>
        <v>0</v>
      </c>
    </row>
    <row r="3830" spans="1:7">
      <c r="A3830" s="3">
        <v>12</v>
      </c>
      <c r="B3830" s="3">
        <v>4</v>
      </c>
      <c r="C3830" s="3">
        <v>93</v>
      </c>
      <c r="D3830" s="3">
        <v>59</v>
      </c>
      <c r="E3830" s="3">
        <v>-599.651</v>
      </c>
      <c r="F3830" s="4" t="str">
        <f>HYPERLINK("http://141.218.60.56/~jnz1568/getInfo.php?workbook=12_04.xlsx&amp;sheet=A0&amp;row=3830&amp;col=6&amp;number=0.179&amp;sourceID=14","0.179")</f>
        <v>0.179</v>
      </c>
      <c r="G3830" s="4" t="str">
        <f>HYPERLINK("http://141.218.60.56/~jnz1568/getInfo.php?workbook=12_04.xlsx&amp;sheet=A0&amp;row=3830&amp;col=7&amp;number=0&amp;sourceID=14","0")</f>
        <v>0</v>
      </c>
    </row>
    <row r="3831" spans="1:7">
      <c r="A3831" s="3">
        <v>12</v>
      </c>
      <c r="B3831" s="3">
        <v>4</v>
      </c>
      <c r="C3831" s="3">
        <v>94</v>
      </c>
      <c r="D3831" s="3">
        <v>59</v>
      </c>
      <c r="E3831" s="3">
        <v>-596.194</v>
      </c>
      <c r="F3831" s="4" t="str">
        <f>HYPERLINK("http://141.218.60.56/~jnz1568/getInfo.php?workbook=12_04.xlsx&amp;sheet=A0&amp;row=3831&amp;col=6&amp;number=2.43e-05&amp;sourceID=14","2.43e-05")</f>
        <v>2.43e-05</v>
      </c>
      <c r="G3831" s="4" t="str">
        <f>HYPERLINK("http://141.218.60.56/~jnz1568/getInfo.php?workbook=12_04.xlsx&amp;sheet=A0&amp;row=3831&amp;col=7&amp;number=0&amp;sourceID=14","0")</f>
        <v>0</v>
      </c>
    </row>
    <row r="3832" spans="1:7">
      <c r="A3832" s="3">
        <v>12</v>
      </c>
      <c r="B3832" s="3">
        <v>4</v>
      </c>
      <c r="C3832" s="3">
        <v>96</v>
      </c>
      <c r="D3832" s="3">
        <v>59</v>
      </c>
      <c r="E3832" s="3">
        <v>-591.885</v>
      </c>
      <c r="F3832" s="4" t="str">
        <f>HYPERLINK("http://141.218.60.56/~jnz1568/getInfo.php?workbook=12_04.xlsx&amp;sheet=A0&amp;row=3832&amp;col=6&amp;number=0.0291&amp;sourceID=14","0.0291")</f>
        <v>0.0291</v>
      </c>
      <c r="G3832" s="4" t="str">
        <f>HYPERLINK("http://141.218.60.56/~jnz1568/getInfo.php?workbook=12_04.xlsx&amp;sheet=A0&amp;row=3832&amp;col=7&amp;number=0&amp;sourceID=14","0")</f>
        <v>0</v>
      </c>
    </row>
    <row r="3833" spans="1:7">
      <c r="A3833" s="3">
        <v>12</v>
      </c>
      <c r="B3833" s="3">
        <v>4</v>
      </c>
      <c r="C3833" s="3">
        <v>97</v>
      </c>
      <c r="D3833" s="3">
        <v>59</v>
      </c>
      <c r="E3833" s="3">
        <v>-583.265</v>
      </c>
      <c r="F3833" s="4" t="str">
        <f>HYPERLINK("http://141.218.60.56/~jnz1568/getInfo.php?workbook=12_04.xlsx&amp;sheet=A0&amp;row=3833&amp;col=6&amp;number=0.0737&amp;sourceID=14","0.0737")</f>
        <v>0.0737</v>
      </c>
      <c r="G3833" s="4" t="str">
        <f>HYPERLINK("http://141.218.60.56/~jnz1568/getInfo.php?workbook=12_04.xlsx&amp;sheet=A0&amp;row=3833&amp;col=7&amp;number=0&amp;sourceID=14","0")</f>
        <v>0</v>
      </c>
    </row>
    <row r="3834" spans="1:7">
      <c r="A3834" s="3">
        <v>12</v>
      </c>
      <c r="B3834" s="3">
        <v>4</v>
      </c>
      <c r="C3834" s="3">
        <v>98</v>
      </c>
      <c r="D3834" s="3">
        <v>59</v>
      </c>
      <c r="E3834" s="3">
        <v>-579.224</v>
      </c>
      <c r="F3834" s="4" t="str">
        <f>HYPERLINK("http://141.218.60.56/~jnz1568/getInfo.php?workbook=12_04.xlsx&amp;sheet=A0&amp;row=3834&amp;col=6&amp;number=1.13e-07&amp;sourceID=14","1.13e-07")</f>
        <v>1.13e-07</v>
      </c>
      <c r="G3834" s="4" t="str">
        <f>HYPERLINK("http://141.218.60.56/~jnz1568/getInfo.php?workbook=12_04.xlsx&amp;sheet=A0&amp;row=3834&amp;col=7&amp;number=0&amp;sourceID=14","0")</f>
        <v>0</v>
      </c>
    </row>
    <row r="3835" spans="1:7">
      <c r="A3835" s="3">
        <v>12</v>
      </c>
      <c r="B3835" s="3">
        <v>4</v>
      </c>
      <c r="C3835" s="3">
        <v>62</v>
      </c>
      <c r="D3835" s="3">
        <v>60</v>
      </c>
      <c r="E3835" s="3">
        <v>-857.436</v>
      </c>
      <c r="F3835" s="4" t="str">
        <f>HYPERLINK("http://141.218.60.56/~jnz1568/getInfo.php?workbook=12_04.xlsx&amp;sheet=A0&amp;row=3835&amp;col=6&amp;number=22.9&amp;sourceID=14","22.9")</f>
        <v>22.9</v>
      </c>
      <c r="G3835" s="4" t="str">
        <f>HYPERLINK("http://141.218.60.56/~jnz1568/getInfo.php?workbook=12_04.xlsx&amp;sheet=A0&amp;row=3835&amp;col=7&amp;number=0&amp;sourceID=14","0")</f>
        <v>0</v>
      </c>
    </row>
    <row r="3836" spans="1:7">
      <c r="A3836" s="3">
        <v>12</v>
      </c>
      <c r="B3836" s="3">
        <v>4</v>
      </c>
      <c r="C3836" s="3">
        <v>63</v>
      </c>
      <c r="D3836" s="3">
        <v>60</v>
      </c>
      <c r="E3836" s="3">
        <v>-836.073</v>
      </c>
      <c r="F3836" s="4" t="str">
        <f>HYPERLINK("http://141.218.60.56/~jnz1568/getInfo.php?workbook=12_04.xlsx&amp;sheet=A0&amp;row=3836&amp;col=6&amp;number=4.03e-05&amp;sourceID=14","4.03e-05")</f>
        <v>4.03e-05</v>
      </c>
      <c r="G3836" s="4" t="str">
        <f>HYPERLINK("http://141.218.60.56/~jnz1568/getInfo.php?workbook=12_04.xlsx&amp;sheet=A0&amp;row=3836&amp;col=7&amp;number=0&amp;sourceID=14","0")</f>
        <v>0</v>
      </c>
    </row>
    <row r="3837" spans="1:7">
      <c r="A3837" s="3">
        <v>12</v>
      </c>
      <c r="B3837" s="3">
        <v>4</v>
      </c>
      <c r="C3837" s="3">
        <v>64</v>
      </c>
      <c r="D3837" s="3">
        <v>60</v>
      </c>
      <c r="E3837" s="3">
        <v>-794.624</v>
      </c>
      <c r="F3837" s="4" t="str">
        <f>HYPERLINK("http://141.218.60.56/~jnz1568/getInfo.php?workbook=12_04.xlsx&amp;sheet=A0&amp;row=3837&amp;col=6&amp;number=673&amp;sourceID=14","673")</f>
        <v>673</v>
      </c>
      <c r="G3837" s="4" t="str">
        <f>HYPERLINK("http://141.218.60.56/~jnz1568/getInfo.php?workbook=12_04.xlsx&amp;sheet=A0&amp;row=3837&amp;col=7&amp;number=0&amp;sourceID=14","0")</f>
        <v>0</v>
      </c>
    </row>
    <row r="3838" spans="1:7">
      <c r="A3838" s="3">
        <v>12</v>
      </c>
      <c r="B3838" s="3">
        <v>4</v>
      </c>
      <c r="C3838" s="3">
        <v>65</v>
      </c>
      <c r="D3838" s="3">
        <v>60</v>
      </c>
      <c r="E3838" s="3">
        <v>-749.778</v>
      </c>
      <c r="F3838" s="4" t="str">
        <f>HYPERLINK("http://141.218.60.56/~jnz1568/getInfo.php?workbook=12_04.xlsx&amp;sheet=A0&amp;row=3838&amp;col=6&amp;number=0.000555&amp;sourceID=14","0.000555")</f>
        <v>0.000555</v>
      </c>
      <c r="G3838" s="4" t="str">
        <f>HYPERLINK("http://141.218.60.56/~jnz1568/getInfo.php?workbook=12_04.xlsx&amp;sheet=A0&amp;row=3838&amp;col=7&amp;number=0&amp;sourceID=14","0")</f>
        <v>0</v>
      </c>
    </row>
    <row r="3839" spans="1:7">
      <c r="A3839" s="3">
        <v>12</v>
      </c>
      <c r="B3839" s="3">
        <v>4</v>
      </c>
      <c r="C3839" s="3">
        <v>66</v>
      </c>
      <c r="D3839" s="3">
        <v>60</v>
      </c>
      <c r="E3839" s="3">
        <v>-735.701</v>
      </c>
      <c r="F3839" s="4" t="str">
        <f>HYPERLINK("http://141.218.60.56/~jnz1568/getInfo.php?workbook=12_04.xlsx&amp;sheet=A0&amp;row=3839&amp;col=6&amp;number=0.00317&amp;sourceID=14","0.00317")</f>
        <v>0.00317</v>
      </c>
      <c r="G3839" s="4" t="str">
        <f>HYPERLINK("http://141.218.60.56/~jnz1568/getInfo.php?workbook=12_04.xlsx&amp;sheet=A0&amp;row=3839&amp;col=7&amp;number=0&amp;sourceID=14","0")</f>
        <v>0</v>
      </c>
    </row>
    <row r="3840" spans="1:7">
      <c r="A3840" s="3">
        <v>12</v>
      </c>
      <c r="B3840" s="3">
        <v>4</v>
      </c>
      <c r="C3840" s="3">
        <v>67</v>
      </c>
      <c r="D3840" s="3">
        <v>60</v>
      </c>
      <c r="E3840" s="3">
        <v>-733.268</v>
      </c>
      <c r="F3840" s="4" t="str">
        <f>HYPERLINK("http://141.218.60.56/~jnz1568/getInfo.php?workbook=12_04.xlsx&amp;sheet=A0&amp;row=3840&amp;col=6&amp;number=852000&amp;sourceID=14","852000")</f>
        <v>852000</v>
      </c>
      <c r="G3840" s="4" t="str">
        <f>HYPERLINK("http://141.218.60.56/~jnz1568/getInfo.php?workbook=12_04.xlsx&amp;sheet=A0&amp;row=3840&amp;col=7&amp;number=0&amp;sourceID=14","0")</f>
        <v>0</v>
      </c>
    </row>
    <row r="3841" spans="1:7">
      <c r="A3841" s="3">
        <v>12</v>
      </c>
      <c r="B3841" s="3">
        <v>4</v>
      </c>
      <c r="C3841" s="3">
        <v>68</v>
      </c>
      <c r="D3841" s="3">
        <v>60</v>
      </c>
      <c r="E3841" s="3">
        <v>-720.379</v>
      </c>
      <c r="F3841" s="4" t="str">
        <f>HYPERLINK("http://141.218.60.56/~jnz1568/getInfo.php?workbook=12_04.xlsx&amp;sheet=A0&amp;row=3841&amp;col=6&amp;number=490&amp;sourceID=14","490")</f>
        <v>490</v>
      </c>
      <c r="G3841" s="4" t="str">
        <f>HYPERLINK("http://141.218.60.56/~jnz1568/getInfo.php?workbook=12_04.xlsx&amp;sheet=A0&amp;row=3841&amp;col=7&amp;number=0&amp;sourceID=14","0")</f>
        <v>0</v>
      </c>
    </row>
    <row r="3842" spans="1:7">
      <c r="A3842" s="3">
        <v>12</v>
      </c>
      <c r="B3842" s="3">
        <v>4</v>
      </c>
      <c r="C3842" s="3">
        <v>69</v>
      </c>
      <c r="D3842" s="3">
        <v>60</v>
      </c>
      <c r="E3842" s="3">
        <v>-705.658</v>
      </c>
      <c r="F3842" s="4" t="str">
        <f>HYPERLINK("http://141.218.60.56/~jnz1568/getInfo.php?workbook=12_04.xlsx&amp;sheet=A0&amp;row=3842&amp;col=6&amp;number=0.000107&amp;sourceID=14","0.000107")</f>
        <v>0.000107</v>
      </c>
      <c r="G3842" s="4" t="str">
        <f>HYPERLINK("http://141.218.60.56/~jnz1568/getInfo.php?workbook=12_04.xlsx&amp;sheet=A0&amp;row=3842&amp;col=7&amp;number=0&amp;sourceID=14","0")</f>
        <v>0</v>
      </c>
    </row>
    <row r="3843" spans="1:7">
      <c r="A3843" s="3">
        <v>12</v>
      </c>
      <c r="B3843" s="3">
        <v>4</v>
      </c>
      <c r="C3843" s="3">
        <v>70</v>
      </c>
      <c r="D3843" s="3">
        <v>60</v>
      </c>
      <c r="E3843" s="3">
        <v>-702.525</v>
      </c>
      <c r="F3843" s="4" t="str">
        <f>HYPERLINK("http://141.218.60.56/~jnz1568/getInfo.php?workbook=12_04.xlsx&amp;sheet=A0&amp;row=3843&amp;col=6&amp;number=0.0001&amp;sourceID=14","0.0001")</f>
        <v>0.0001</v>
      </c>
      <c r="G3843" s="4" t="str">
        <f>HYPERLINK("http://141.218.60.56/~jnz1568/getInfo.php?workbook=12_04.xlsx&amp;sheet=A0&amp;row=3843&amp;col=7&amp;number=0&amp;sourceID=14","0")</f>
        <v>0</v>
      </c>
    </row>
    <row r="3844" spans="1:7">
      <c r="A3844" s="3">
        <v>12</v>
      </c>
      <c r="B3844" s="3">
        <v>4</v>
      </c>
      <c r="C3844" s="3">
        <v>71</v>
      </c>
      <c r="D3844" s="3">
        <v>60</v>
      </c>
      <c r="E3844" s="3">
        <v>-693.122</v>
      </c>
      <c r="F3844" s="4" t="str">
        <f>HYPERLINK("http://141.218.60.56/~jnz1568/getInfo.php?workbook=12_04.xlsx&amp;sheet=A0&amp;row=3844&amp;col=6&amp;number=2.43e-05&amp;sourceID=14","2.43e-05")</f>
        <v>2.43e-05</v>
      </c>
      <c r="G3844" s="4" t="str">
        <f>HYPERLINK("http://141.218.60.56/~jnz1568/getInfo.php?workbook=12_04.xlsx&amp;sheet=A0&amp;row=3844&amp;col=7&amp;number=0&amp;sourceID=14","0")</f>
        <v>0</v>
      </c>
    </row>
    <row r="3845" spans="1:7">
      <c r="A3845" s="3">
        <v>12</v>
      </c>
      <c r="B3845" s="3">
        <v>4</v>
      </c>
      <c r="C3845" s="3">
        <v>72</v>
      </c>
      <c r="D3845" s="3">
        <v>60</v>
      </c>
      <c r="E3845" s="3">
        <v>-690.886</v>
      </c>
      <c r="F3845" s="4" t="str">
        <f>HYPERLINK("http://141.218.60.56/~jnz1568/getInfo.php?workbook=12_04.xlsx&amp;sheet=A0&amp;row=3845&amp;col=6&amp;number=1590000&amp;sourceID=14","1590000")</f>
        <v>1590000</v>
      </c>
      <c r="G3845" s="4" t="str">
        <f>HYPERLINK("http://141.218.60.56/~jnz1568/getInfo.php?workbook=12_04.xlsx&amp;sheet=A0&amp;row=3845&amp;col=7&amp;number=0&amp;sourceID=14","0")</f>
        <v>0</v>
      </c>
    </row>
    <row r="3846" spans="1:7">
      <c r="A3846" s="3">
        <v>12</v>
      </c>
      <c r="B3846" s="3">
        <v>4</v>
      </c>
      <c r="C3846" s="3">
        <v>73</v>
      </c>
      <c r="D3846" s="3">
        <v>60</v>
      </c>
      <c r="E3846" s="3">
        <v>-676.692</v>
      </c>
      <c r="F3846" s="4" t="str">
        <f>HYPERLINK("http://141.218.60.56/~jnz1568/getInfo.php?workbook=12_04.xlsx&amp;sheet=A0&amp;row=3846&amp;col=6&amp;number=7.68&amp;sourceID=14","7.68")</f>
        <v>7.68</v>
      </c>
      <c r="G3846" s="4" t="str">
        <f>HYPERLINK("http://141.218.60.56/~jnz1568/getInfo.php?workbook=12_04.xlsx&amp;sheet=A0&amp;row=3846&amp;col=7&amp;number=0&amp;sourceID=14","0")</f>
        <v>0</v>
      </c>
    </row>
    <row r="3847" spans="1:7">
      <c r="A3847" s="3">
        <v>12</v>
      </c>
      <c r="B3847" s="3">
        <v>4</v>
      </c>
      <c r="C3847" s="3">
        <v>74</v>
      </c>
      <c r="D3847" s="3">
        <v>60</v>
      </c>
      <c r="E3847" s="3">
        <v>-668.057</v>
      </c>
      <c r="F3847" s="4" t="str">
        <f>HYPERLINK("http://141.218.60.56/~jnz1568/getInfo.php?workbook=12_04.xlsx&amp;sheet=A0&amp;row=3847&amp;col=6&amp;number=0.187&amp;sourceID=14","0.187")</f>
        <v>0.187</v>
      </c>
      <c r="G3847" s="4" t="str">
        <f>HYPERLINK("http://141.218.60.56/~jnz1568/getInfo.php?workbook=12_04.xlsx&amp;sheet=A0&amp;row=3847&amp;col=7&amp;number=0&amp;sourceID=14","0")</f>
        <v>0</v>
      </c>
    </row>
    <row r="3848" spans="1:7">
      <c r="A3848" s="3">
        <v>12</v>
      </c>
      <c r="B3848" s="3">
        <v>4</v>
      </c>
      <c r="C3848" s="3">
        <v>75</v>
      </c>
      <c r="D3848" s="3">
        <v>60</v>
      </c>
      <c r="E3848" s="3">
        <v>-665.381</v>
      </c>
      <c r="F3848" s="4" t="str">
        <f>HYPERLINK("http://141.218.60.56/~jnz1568/getInfo.php?workbook=12_04.xlsx&amp;sheet=A0&amp;row=3848&amp;col=6&amp;number=18.8&amp;sourceID=14","18.8")</f>
        <v>18.8</v>
      </c>
      <c r="G3848" s="4" t="str">
        <f>HYPERLINK("http://141.218.60.56/~jnz1568/getInfo.php?workbook=12_04.xlsx&amp;sheet=A0&amp;row=3848&amp;col=7&amp;number=0&amp;sourceID=14","0")</f>
        <v>0</v>
      </c>
    </row>
    <row r="3849" spans="1:7">
      <c r="A3849" s="3">
        <v>12</v>
      </c>
      <c r="B3849" s="3">
        <v>4</v>
      </c>
      <c r="C3849" s="3">
        <v>76</v>
      </c>
      <c r="D3849" s="3">
        <v>60</v>
      </c>
      <c r="E3849" s="3">
        <v>-660.652</v>
      </c>
      <c r="F3849" s="4" t="str">
        <f>HYPERLINK("http://141.218.60.56/~jnz1568/getInfo.php?workbook=12_04.xlsx&amp;sheet=A0&amp;row=3849&amp;col=6&amp;number=133000000&amp;sourceID=14","133000000")</f>
        <v>133000000</v>
      </c>
      <c r="G3849" s="4" t="str">
        <f>HYPERLINK("http://141.218.60.56/~jnz1568/getInfo.php?workbook=12_04.xlsx&amp;sheet=A0&amp;row=3849&amp;col=7&amp;number=0&amp;sourceID=14","0")</f>
        <v>0</v>
      </c>
    </row>
    <row r="3850" spans="1:7">
      <c r="A3850" s="3">
        <v>12</v>
      </c>
      <c r="B3850" s="3">
        <v>4</v>
      </c>
      <c r="C3850" s="3">
        <v>77</v>
      </c>
      <c r="D3850" s="3">
        <v>60</v>
      </c>
      <c r="E3850" s="3">
        <v>-658.489</v>
      </c>
      <c r="F3850" s="4" t="str">
        <f>HYPERLINK("http://141.218.60.56/~jnz1568/getInfo.php?workbook=12_04.xlsx&amp;sheet=A0&amp;row=3850&amp;col=6&amp;number=0.00191&amp;sourceID=14","0.00191")</f>
        <v>0.00191</v>
      </c>
      <c r="G3850" s="4" t="str">
        <f>HYPERLINK("http://141.218.60.56/~jnz1568/getInfo.php?workbook=12_04.xlsx&amp;sheet=A0&amp;row=3850&amp;col=7&amp;number=0&amp;sourceID=14","0")</f>
        <v>0</v>
      </c>
    </row>
    <row r="3851" spans="1:7">
      <c r="A3851" s="3">
        <v>12</v>
      </c>
      <c r="B3851" s="3">
        <v>4</v>
      </c>
      <c r="C3851" s="3">
        <v>78</v>
      </c>
      <c r="D3851" s="3">
        <v>60</v>
      </c>
      <c r="E3851" s="3">
        <v>-645.717</v>
      </c>
      <c r="F3851" s="4" t="str">
        <f>HYPERLINK("http://141.218.60.56/~jnz1568/getInfo.php?workbook=12_04.xlsx&amp;sheet=A0&amp;row=3851&amp;col=6&amp;number=7.04&amp;sourceID=14","7.04")</f>
        <v>7.04</v>
      </c>
      <c r="G3851" s="4" t="str">
        <f>HYPERLINK("http://141.218.60.56/~jnz1568/getInfo.php?workbook=12_04.xlsx&amp;sheet=A0&amp;row=3851&amp;col=7&amp;number=0&amp;sourceID=14","0")</f>
        <v>0</v>
      </c>
    </row>
    <row r="3852" spans="1:7">
      <c r="A3852" s="3">
        <v>12</v>
      </c>
      <c r="B3852" s="3">
        <v>4</v>
      </c>
      <c r="C3852" s="3">
        <v>79</v>
      </c>
      <c r="D3852" s="3">
        <v>60</v>
      </c>
      <c r="E3852" s="3">
        <v>-643.146</v>
      </c>
      <c r="F3852" s="4" t="str">
        <f>HYPERLINK("http://141.218.60.56/~jnz1568/getInfo.php?workbook=12_04.xlsx&amp;sheet=A0&amp;row=3852&amp;col=6&amp;number=1.35&amp;sourceID=14","1.35")</f>
        <v>1.35</v>
      </c>
      <c r="G3852" s="4" t="str">
        <f>HYPERLINK("http://141.218.60.56/~jnz1568/getInfo.php?workbook=12_04.xlsx&amp;sheet=A0&amp;row=3852&amp;col=7&amp;number=0&amp;sourceID=14","0")</f>
        <v>0</v>
      </c>
    </row>
    <row r="3853" spans="1:7">
      <c r="A3853" s="3">
        <v>12</v>
      </c>
      <c r="B3853" s="3">
        <v>4</v>
      </c>
      <c r="C3853" s="3">
        <v>80</v>
      </c>
      <c r="D3853" s="3">
        <v>60</v>
      </c>
      <c r="E3853" s="3">
        <v>-638.053</v>
      </c>
      <c r="F3853" s="4" t="str">
        <f>HYPERLINK("http://141.218.60.56/~jnz1568/getInfo.php?workbook=12_04.xlsx&amp;sheet=A0&amp;row=3853&amp;col=6&amp;number=440000000&amp;sourceID=14","440000000")</f>
        <v>440000000</v>
      </c>
      <c r="G3853" s="4" t="str">
        <f>HYPERLINK("http://141.218.60.56/~jnz1568/getInfo.php?workbook=12_04.xlsx&amp;sheet=A0&amp;row=3853&amp;col=7&amp;number=0&amp;sourceID=14","0")</f>
        <v>0</v>
      </c>
    </row>
    <row r="3854" spans="1:7">
      <c r="A3854" s="3">
        <v>12</v>
      </c>
      <c r="B3854" s="3">
        <v>4</v>
      </c>
      <c r="C3854" s="3">
        <v>81</v>
      </c>
      <c r="D3854" s="3">
        <v>60</v>
      </c>
      <c r="E3854" s="3">
        <v>-637.943</v>
      </c>
      <c r="F3854" s="4" t="str">
        <f>HYPERLINK("http://141.218.60.56/~jnz1568/getInfo.php?workbook=12_04.xlsx&amp;sheet=A0&amp;row=3854&amp;col=6&amp;number=0.136&amp;sourceID=14","0.136")</f>
        <v>0.136</v>
      </c>
      <c r="G3854" s="4" t="str">
        <f>HYPERLINK("http://141.218.60.56/~jnz1568/getInfo.php?workbook=12_04.xlsx&amp;sheet=A0&amp;row=3854&amp;col=7&amp;number=0&amp;sourceID=14","0")</f>
        <v>0</v>
      </c>
    </row>
    <row r="3855" spans="1:7">
      <c r="A3855" s="3">
        <v>12</v>
      </c>
      <c r="B3855" s="3">
        <v>4</v>
      </c>
      <c r="C3855" s="3">
        <v>82</v>
      </c>
      <c r="D3855" s="3">
        <v>60</v>
      </c>
      <c r="E3855" s="3">
        <v>-636.583</v>
      </c>
      <c r="F3855" s="4" t="str">
        <f>HYPERLINK("http://141.218.60.56/~jnz1568/getInfo.php?workbook=12_04.xlsx&amp;sheet=A0&amp;row=3855&amp;col=6&amp;number=23500000&amp;sourceID=14","23500000")</f>
        <v>23500000</v>
      </c>
      <c r="G3855" s="4" t="str">
        <f>HYPERLINK("http://141.218.60.56/~jnz1568/getInfo.php?workbook=12_04.xlsx&amp;sheet=A0&amp;row=3855&amp;col=7&amp;number=0&amp;sourceID=14","0")</f>
        <v>0</v>
      </c>
    </row>
    <row r="3856" spans="1:7">
      <c r="A3856" s="3">
        <v>12</v>
      </c>
      <c r="B3856" s="3">
        <v>4</v>
      </c>
      <c r="C3856" s="3">
        <v>83</v>
      </c>
      <c r="D3856" s="3">
        <v>60</v>
      </c>
      <c r="E3856" s="3">
        <v>-636.563</v>
      </c>
      <c r="F3856" s="4" t="str">
        <f>HYPERLINK("http://141.218.60.56/~jnz1568/getInfo.php?workbook=12_04.xlsx&amp;sheet=A0&amp;row=3856&amp;col=6&amp;number=6260000&amp;sourceID=14","6260000")</f>
        <v>6260000</v>
      </c>
      <c r="G3856" s="4" t="str">
        <f>HYPERLINK("http://141.218.60.56/~jnz1568/getInfo.php?workbook=12_04.xlsx&amp;sheet=A0&amp;row=3856&amp;col=7&amp;number=0&amp;sourceID=14","0")</f>
        <v>0</v>
      </c>
    </row>
    <row r="3857" spans="1:7">
      <c r="A3857" s="3">
        <v>12</v>
      </c>
      <c r="B3857" s="3">
        <v>4</v>
      </c>
      <c r="C3857" s="3">
        <v>84</v>
      </c>
      <c r="D3857" s="3">
        <v>60</v>
      </c>
      <c r="E3857" s="3">
        <v>-635.249</v>
      </c>
      <c r="F3857" s="4" t="str">
        <f>HYPERLINK("http://141.218.60.56/~jnz1568/getInfo.php?workbook=12_04.xlsx&amp;sheet=A0&amp;row=3857&amp;col=6&amp;number=85400000&amp;sourceID=14","85400000")</f>
        <v>85400000</v>
      </c>
      <c r="G3857" s="4" t="str">
        <f>HYPERLINK("http://141.218.60.56/~jnz1568/getInfo.php?workbook=12_04.xlsx&amp;sheet=A0&amp;row=3857&amp;col=7&amp;number=0&amp;sourceID=14","0")</f>
        <v>0</v>
      </c>
    </row>
    <row r="3858" spans="1:7">
      <c r="A3858" s="3">
        <v>12</v>
      </c>
      <c r="B3858" s="3">
        <v>4</v>
      </c>
      <c r="C3858" s="3">
        <v>85</v>
      </c>
      <c r="D3858" s="3">
        <v>60</v>
      </c>
      <c r="E3858" s="3">
        <v>-629.34</v>
      </c>
      <c r="F3858" s="4" t="str">
        <f>HYPERLINK("http://141.218.60.56/~jnz1568/getInfo.php?workbook=12_04.xlsx&amp;sheet=A0&amp;row=3858&amp;col=6&amp;number=0.265&amp;sourceID=14","0.265")</f>
        <v>0.265</v>
      </c>
      <c r="G3858" s="4" t="str">
        <f>HYPERLINK("http://141.218.60.56/~jnz1568/getInfo.php?workbook=12_04.xlsx&amp;sheet=A0&amp;row=3858&amp;col=7&amp;number=0&amp;sourceID=14","0")</f>
        <v>0</v>
      </c>
    </row>
    <row r="3859" spans="1:7">
      <c r="A3859" s="3">
        <v>12</v>
      </c>
      <c r="B3859" s="3">
        <v>4</v>
      </c>
      <c r="C3859" s="3">
        <v>86</v>
      </c>
      <c r="D3859" s="3">
        <v>60</v>
      </c>
      <c r="E3859" s="3">
        <v>-626.894</v>
      </c>
      <c r="F3859" s="4" t="str">
        <f>HYPERLINK("http://141.218.60.56/~jnz1568/getInfo.php?workbook=12_04.xlsx&amp;sheet=A0&amp;row=3859&amp;col=6&amp;number=1.22&amp;sourceID=14","1.22")</f>
        <v>1.22</v>
      </c>
      <c r="G3859" s="4" t="str">
        <f>HYPERLINK("http://141.218.60.56/~jnz1568/getInfo.php?workbook=12_04.xlsx&amp;sheet=A0&amp;row=3859&amp;col=7&amp;number=0&amp;sourceID=14","0")</f>
        <v>0</v>
      </c>
    </row>
    <row r="3860" spans="1:7">
      <c r="A3860" s="3">
        <v>12</v>
      </c>
      <c r="B3860" s="3">
        <v>4</v>
      </c>
      <c r="C3860" s="3">
        <v>88</v>
      </c>
      <c r="D3860" s="3">
        <v>60</v>
      </c>
      <c r="E3860" s="3">
        <v>-622.542</v>
      </c>
      <c r="F3860" s="4" t="str">
        <f>HYPERLINK("http://141.218.60.56/~jnz1568/getInfo.php?workbook=12_04.xlsx&amp;sheet=A0&amp;row=3860&amp;col=6&amp;number=103000000&amp;sourceID=14","103000000")</f>
        <v>103000000</v>
      </c>
      <c r="G3860" s="4" t="str">
        <f>HYPERLINK("http://141.218.60.56/~jnz1568/getInfo.php?workbook=12_04.xlsx&amp;sheet=A0&amp;row=3860&amp;col=7&amp;number=0&amp;sourceID=14","0")</f>
        <v>0</v>
      </c>
    </row>
    <row r="3861" spans="1:7">
      <c r="A3861" s="3">
        <v>12</v>
      </c>
      <c r="B3861" s="3">
        <v>4</v>
      </c>
      <c r="C3861" s="3">
        <v>89</v>
      </c>
      <c r="D3861" s="3">
        <v>60</v>
      </c>
      <c r="E3861" s="3">
        <v>-620.753</v>
      </c>
      <c r="F3861" s="4" t="str">
        <f>HYPERLINK("http://141.218.60.56/~jnz1568/getInfo.php?workbook=12_04.xlsx&amp;sheet=A0&amp;row=3861&amp;col=6&amp;number=94000000&amp;sourceID=14","94000000")</f>
        <v>94000000</v>
      </c>
      <c r="G3861" s="4" t="str">
        <f>HYPERLINK("http://141.218.60.56/~jnz1568/getInfo.php?workbook=12_04.xlsx&amp;sheet=A0&amp;row=3861&amp;col=7&amp;number=0&amp;sourceID=14","0")</f>
        <v>0</v>
      </c>
    </row>
    <row r="3862" spans="1:7">
      <c r="A3862" s="3">
        <v>12</v>
      </c>
      <c r="B3862" s="3">
        <v>4</v>
      </c>
      <c r="C3862" s="3">
        <v>90</v>
      </c>
      <c r="D3862" s="3">
        <v>60</v>
      </c>
      <c r="E3862" s="3">
        <v>-615.503</v>
      </c>
      <c r="F3862" s="4" t="str">
        <f>HYPERLINK("http://141.218.60.56/~jnz1568/getInfo.php?workbook=12_04.xlsx&amp;sheet=A0&amp;row=3862&amp;col=6&amp;number=0.0463&amp;sourceID=14","0.0463")</f>
        <v>0.0463</v>
      </c>
      <c r="G3862" s="4" t="str">
        <f>HYPERLINK("http://141.218.60.56/~jnz1568/getInfo.php?workbook=12_04.xlsx&amp;sheet=A0&amp;row=3862&amp;col=7&amp;number=0&amp;sourceID=14","0")</f>
        <v>0</v>
      </c>
    </row>
    <row r="3863" spans="1:7">
      <c r="A3863" s="3">
        <v>12</v>
      </c>
      <c r="B3863" s="3">
        <v>4</v>
      </c>
      <c r="C3863" s="3">
        <v>91</v>
      </c>
      <c r="D3863" s="3">
        <v>60</v>
      </c>
      <c r="E3863" s="3">
        <v>-610.919</v>
      </c>
      <c r="F3863" s="4" t="str">
        <f>HYPERLINK("http://141.218.60.56/~jnz1568/getInfo.php?workbook=12_04.xlsx&amp;sheet=A0&amp;row=3863&amp;col=6&amp;number=24100000&amp;sourceID=14","24100000")</f>
        <v>24100000</v>
      </c>
      <c r="G3863" s="4" t="str">
        <f>HYPERLINK("http://141.218.60.56/~jnz1568/getInfo.php?workbook=12_04.xlsx&amp;sheet=A0&amp;row=3863&amp;col=7&amp;number=0&amp;sourceID=14","0")</f>
        <v>0</v>
      </c>
    </row>
    <row r="3864" spans="1:7">
      <c r="A3864" s="3">
        <v>12</v>
      </c>
      <c r="B3864" s="3">
        <v>4</v>
      </c>
      <c r="C3864" s="3">
        <v>92</v>
      </c>
      <c r="D3864" s="3">
        <v>60</v>
      </c>
      <c r="E3864" s="3">
        <v>-609.85</v>
      </c>
      <c r="F3864" s="4" t="str">
        <f>HYPERLINK("http://141.218.60.56/~jnz1568/getInfo.php?workbook=12_04.xlsx&amp;sheet=A0&amp;row=3864&amp;col=6&amp;number=1050000000&amp;sourceID=14","1050000000")</f>
        <v>1050000000</v>
      </c>
      <c r="G3864" s="4" t="str">
        <f>HYPERLINK("http://141.218.60.56/~jnz1568/getInfo.php?workbook=12_04.xlsx&amp;sheet=A0&amp;row=3864&amp;col=7&amp;number=0&amp;sourceID=14","0")</f>
        <v>0</v>
      </c>
    </row>
    <row r="3865" spans="1:7">
      <c r="A3865" s="3">
        <v>12</v>
      </c>
      <c r="B3865" s="3">
        <v>4</v>
      </c>
      <c r="C3865" s="3">
        <v>93</v>
      </c>
      <c r="D3865" s="3">
        <v>60</v>
      </c>
      <c r="E3865" s="3">
        <v>-608.874</v>
      </c>
      <c r="F3865" s="4" t="str">
        <f>HYPERLINK("http://141.218.60.56/~jnz1568/getInfo.php?workbook=12_04.xlsx&amp;sheet=A0&amp;row=3865&amp;col=6&amp;number=129000000&amp;sourceID=14","129000000")</f>
        <v>129000000</v>
      </c>
      <c r="G3865" s="4" t="str">
        <f>HYPERLINK("http://141.218.60.56/~jnz1568/getInfo.php?workbook=12_04.xlsx&amp;sheet=A0&amp;row=3865&amp;col=7&amp;number=0&amp;sourceID=14","0")</f>
        <v>0</v>
      </c>
    </row>
    <row r="3866" spans="1:7">
      <c r="A3866" s="3">
        <v>12</v>
      </c>
      <c r="B3866" s="3">
        <v>4</v>
      </c>
      <c r="C3866" s="3">
        <v>94</v>
      </c>
      <c r="D3866" s="3">
        <v>60</v>
      </c>
      <c r="E3866" s="3">
        <v>-605.31</v>
      </c>
      <c r="F3866" s="4" t="str">
        <f>HYPERLINK("http://141.218.60.56/~jnz1568/getInfo.php?workbook=12_04.xlsx&amp;sheet=A0&amp;row=3866&amp;col=6&amp;number=0.0645&amp;sourceID=14","0.0645")</f>
        <v>0.0645</v>
      </c>
      <c r="G3866" s="4" t="str">
        <f>HYPERLINK("http://141.218.60.56/~jnz1568/getInfo.php?workbook=12_04.xlsx&amp;sheet=A0&amp;row=3866&amp;col=7&amp;number=0&amp;sourceID=14","0")</f>
        <v>0</v>
      </c>
    </row>
    <row r="3867" spans="1:7">
      <c r="A3867" s="3">
        <v>12</v>
      </c>
      <c r="B3867" s="3">
        <v>4</v>
      </c>
      <c r="C3867" s="3">
        <v>95</v>
      </c>
      <c r="D3867" s="3">
        <v>60</v>
      </c>
      <c r="E3867" s="3">
        <v>-602.996</v>
      </c>
      <c r="F3867" s="4" t="str">
        <f>HYPERLINK("http://141.218.60.56/~jnz1568/getInfo.php?workbook=12_04.xlsx&amp;sheet=A0&amp;row=3867&amp;col=6&amp;number=0.0298&amp;sourceID=14","0.0298")</f>
        <v>0.0298</v>
      </c>
      <c r="G3867" s="4" t="str">
        <f>HYPERLINK("http://141.218.60.56/~jnz1568/getInfo.php?workbook=12_04.xlsx&amp;sheet=A0&amp;row=3867&amp;col=7&amp;number=0&amp;sourceID=14","0")</f>
        <v>0</v>
      </c>
    </row>
    <row r="3868" spans="1:7">
      <c r="A3868" s="3">
        <v>12</v>
      </c>
      <c r="B3868" s="3">
        <v>4</v>
      </c>
      <c r="C3868" s="3">
        <v>96</v>
      </c>
      <c r="D3868" s="3">
        <v>60</v>
      </c>
      <c r="E3868" s="3">
        <v>-600.869</v>
      </c>
      <c r="F3868" s="4" t="str">
        <f>HYPERLINK("http://141.218.60.56/~jnz1568/getInfo.php?workbook=12_04.xlsx&amp;sheet=A0&amp;row=3868&amp;col=6&amp;number=812000000&amp;sourceID=14","812000000")</f>
        <v>812000000</v>
      </c>
      <c r="G3868" s="4" t="str">
        <f>HYPERLINK("http://141.218.60.56/~jnz1568/getInfo.php?workbook=12_04.xlsx&amp;sheet=A0&amp;row=3868&amp;col=7&amp;number=0&amp;sourceID=14","0")</f>
        <v>0</v>
      </c>
    </row>
    <row r="3869" spans="1:7">
      <c r="A3869" s="3">
        <v>12</v>
      </c>
      <c r="B3869" s="3">
        <v>4</v>
      </c>
      <c r="C3869" s="3">
        <v>97</v>
      </c>
      <c r="D3869" s="3">
        <v>60</v>
      </c>
      <c r="E3869" s="3">
        <v>-591.987</v>
      </c>
      <c r="F3869" s="4" t="str">
        <f>HYPERLINK("http://141.218.60.56/~jnz1568/getInfo.php?workbook=12_04.xlsx&amp;sheet=A0&amp;row=3869&amp;col=6&amp;number=43.4&amp;sourceID=14","43.4")</f>
        <v>43.4</v>
      </c>
      <c r="G3869" s="4" t="str">
        <f>HYPERLINK("http://141.218.60.56/~jnz1568/getInfo.php?workbook=12_04.xlsx&amp;sheet=A0&amp;row=3869&amp;col=7&amp;number=0&amp;sourceID=14","0")</f>
        <v>0</v>
      </c>
    </row>
    <row r="3870" spans="1:7">
      <c r="A3870" s="3">
        <v>12</v>
      </c>
      <c r="B3870" s="3">
        <v>4</v>
      </c>
      <c r="C3870" s="3">
        <v>98</v>
      </c>
      <c r="D3870" s="3">
        <v>60</v>
      </c>
      <c r="E3870" s="3">
        <v>-587.825</v>
      </c>
      <c r="F3870" s="4" t="str">
        <f>HYPERLINK("http://141.218.60.56/~jnz1568/getInfo.php?workbook=12_04.xlsx&amp;sheet=A0&amp;row=3870&amp;col=6&amp;number=627&amp;sourceID=14","627")</f>
        <v>627</v>
      </c>
      <c r="G3870" s="4" t="str">
        <f>HYPERLINK("http://141.218.60.56/~jnz1568/getInfo.php?workbook=12_04.xlsx&amp;sheet=A0&amp;row=3870&amp;col=7&amp;number=0&amp;sourceID=14","0")</f>
        <v>0</v>
      </c>
    </row>
    <row r="3871" spans="1:7">
      <c r="A3871" s="3">
        <v>12</v>
      </c>
      <c r="B3871" s="3">
        <v>4</v>
      </c>
      <c r="C3871" s="3">
        <v>62</v>
      </c>
      <c r="D3871" s="3">
        <v>61</v>
      </c>
      <c r="E3871" s="3">
        <v>-108932.664</v>
      </c>
      <c r="F3871" s="4" t="str">
        <f>HYPERLINK("http://141.218.60.56/~jnz1568/getInfo.php?workbook=12_04.xlsx&amp;sheet=A0&amp;row=3871&amp;col=6&amp;number=0.0133&amp;sourceID=14","0.0133")</f>
        <v>0.0133</v>
      </c>
      <c r="G3871" s="4" t="str">
        <f>HYPERLINK("http://141.218.60.56/~jnz1568/getInfo.php?workbook=12_04.xlsx&amp;sheet=A0&amp;row=3871&amp;col=7&amp;number=0&amp;sourceID=14","0")</f>
        <v>0</v>
      </c>
    </row>
    <row r="3872" spans="1:7">
      <c r="A3872" s="3">
        <v>12</v>
      </c>
      <c r="B3872" s="3">
        <v>4</v>
      </c>
      <c r="C3872" s="3">
        <v>63</v>
      </c>
      <c r="D3872" s="3">
        <v>61</v>
      </c>
      <c r="E3872" s="3">
        <v>-25654.229</v>
      </c>
      <c r="F3872" s="4" t="str">
        <f>HYPERLINK("http://141.218.60.56/~jnz1568/getInfo.php?workbook=12_04.xlsx&amp;sheet=A0&amp;row=3872&amp;col=6&amp;number=2.3e-06&amp;sourceID=14","2.3e-06")</f>
        <v>2.3e-06</v>
      </c>
      <c r="G3872" s="4" t="str">
        <f>HYPERLINK("http://141.218.60.56/~jnz1568/getInfo.php?workbook=12_04.xlsx&amp;sheet=A0&amp;row=3872&amp;col=7&amp;number=0&amp;sourceID=14","0")</f>
        <v>0</v>
      </c>
    </row>
    <row r="3873" spans="1:7">
      <c r="A3873" s="3">
        <v>12</v>
      </c>
      <c r="B3873" s="3">
        <v>4</v>
      </c>
      <c r="C3873" s="3">
        <v>64</v>
      </c>
      <c r="D3873" s="3">
        <v>61</v>
      </c>
      <c r="E3873" s="3">
        <v>-9864.87</v>
      </c>
      <c r="F3873" s="4" t="str">
        <f>HYPERLINK("http://141.218.60.56/~jnz1568/getInfo.php?workbook=12_04.xlsx&amp;sheet=A0&amp;row=3873&amp;col=6&amp;number=0.776&amp;sourceID=14","0.776")</f>
        <v>0.776</v>
      </c>
      <c r="G3873" s="4" t="str">
        <f>HYPERLINK("http://141.218.60.56/~jnz1568/getInfo.php?workbook=12_04.xlsx&amp;sheet=A0&amp;row=3873&amp;col=7&amp;number=0&amp;sourceID=14","0")</f>
        <v>0</v>
      </c>
    </row>
    <row r="3874" spans="1:7">
      <c r="A3874" s="3">
        <v>12</v>
      </c>
      <c r="B3874" s="3">
        <v>4</v>
      </c>
      <c r="C3874" s="3">
        <v>65</v>
      </c>
      <c r="D3874" s="3">
        <v>61</v>
      </c>
      <c r="E3874" s="3">
        <v>-5661.242</v>
      </c>
      <c r="F3874" s="4" t="str">
        <f>HYPERLINK("http://141.218.60.56/~jnz1568/getInfo.php?workbook=12_04.xlsx&amp;sheet=A0&amp;row=3874&amp;col=6&amp;number=2870000&amp;sourceID=14","2870000")</f>
        <v>2870000</v>
      </c>
      <c r="G3874" s="4" t="str">
        <f>HYPERLINK("http://141.218.60.56/~jnz1568/getInfo.php?workbook=12_04.xlsx&amp;sheet=A0&amp;row=3874&amp;col=7&amp;number=0&amp;sourceID=14","0")</f>
        <v>0</v>
      </c>
    </row>
    <row r="3875" spans="1:7">
      <c r="A3875" s="3">
        <v>12</v>
      </c>
      <c r="B3875" s="3">
        <v>4</v>
      </c>
      <c r="C3875" s="3">
        <v>66</v>
      </c>
      <c r="D3875" s="3">
        <v>61</v>
      </c>
      <c r="E3875" s="3">
        <v>-4946.586</v>
      </c>
      <c r="F3875" s="4" t="str">
        <f>HYPERLINK("http://141.218.60.56/~jnz1568/getInfo.php?workbook=12_04.xlsx&amp;sheet=A0&amp;row=3875&amp;col=6&amp;number=19400000&amp;sourceID=14","19400000")</f>
        <v>19400000</v>
      </c>
      <c r="G3875" s="4" t="str">
        <f>HYPERLINK("http://141.218.60.56/~jnz1568/getInfo.php?workbook=12_04.xlsx&amp;sheet=A0&amp;row=3875&amp;col=7&amp;number=0&amp;sourceID=14","0")</f>
        <v>0</v>
      </c>
    </row>
    <row r="3876" spans="1:7">
      <c r="A3876" s="3">
        <v>12</v>
      </c>
      <c r="B3876" s="3">
        <v>4</v>
      </c>
      <c r="C3876" s="3">
        <v>67</v>
      </c>
      <c r="D3876" s="3">
        <v>61</v>
      </c>
      <c r="E3876" s="3">
        <v>-4838.641</v>
      </c>
      <c r="F3876" s="4" t="str">
        <f>HYPERLINK("http://141.218.60.56/~jnz1568/getInfo.php?workbook=12_04.xlsx&amp;sheet=A0&amp;row=3876&amp;col=6&amp;number=2.46e-05&amp;sourceID=14","2.46e-05")</f>
        <v>2.46e-05</v>
      </c>
      <c r="G3876" s="4" t="str">
        <f>HYPERLINK("http://141.218.60.56/~jnz1568/getInfo.php?workbook=12_04.xlsx&amp;sheet=A0&amp;row=3876&amp;col=7&amp;number=0&amp;sourceID=14","0")</f>
        <v>0</v>
      </c>
    </row>
    <row r="3877" spans="1:7">
      <c r="A3877" s="3">
        <v>12</v>
      </c>
      <c r="B3877" s="3">
        <v>4</v>
      </c>
      <c r="C3877" s="3">
        <v>68</v>
      </c>
      <c r="D3877" s="3">
        <v>61</v>
      </c>
      <c r="E3877" s="3">
        <v>-4327.701</v>
      </c>
      <c r="F3877" s="4" t="str">
        <f>HYPERLINK("http://141.218.60.56/~jnz1568/getInfo.php?workbook=12_04.xlsx&amp;sheet=A0&amp;row=3877&amp;col=6&amp;number=7.99e-10&amp;sourceID=14","7.99e-10")</f>
        <v>7.99e-10</v>
      </c>
      <c r="G3877" s="4" t="str">
        <f>HYPERLINK("http://141.218.60.56/~jnz1568/getInfo.php?workbook=12_04.xlsx&amp;sheet=A0&amp;row=3877&amp;col=7&amp;number=0&amp;sourceID=14","0")</f>
        <v>0</v>
      </c>
    </row>
    <row r="3878" spans="1:7">
      <c r="A3878" s="3">
        <v>12</v>
      </c>
      <c r="B3878" s="3">
        <v>4</v>
      </c>
      <c r="C3878" s="3">
        <v>69</v>
      </c>
      <c r="D3878" s="3">
        <v>61</v>
      </c>
      <c r="E3878" s="3">
        <v>-3845.717</v>
      </c>
      <c r="F3878" s="4" t="str">
        <f>HYPERLINK("http://141.218.60.56/~jnz1568/getInfo.php?workbook=12_04.xlsx&amp;sheet=A0&amp;row=3878&amp;col=6&amp;number=18000000&amp;sourceID=14","18000000")</f>
        <v>18000000</v>
      </c>
      <c r="G3878" s="4" t="str">
        <f>HYPERLINK("http://141.218.60.56/~jnz1568/getInfo.php?workbook=12_04.xlsx&amp;sheet=A0&amp;row=3878&amp;col=7&amp;number=0&amp;sourceID=14","0")</f>
        <v>0</v>
      </c>
    </row>
    <row r="3879" spans="1:7">
      <c r="A3879" s="3">
        <v>12</v>
      </c>
      <c r="B3879" s="3">
        <v>4</v>
      </c>
      <c r="C3879" s="3">
        <v>71</v>
      </c>
      <c r="D3879" s="3">
        <v>61</v>
      </c>
      <c r="E3879" s="3">
        <v>-3500.672</v>
      </c>
      <c r="F3879" s="4" t="str">
        <f>HYPERLINK("http://141.218.60.56/~jnz1568/getInfo.php?workbook=12_04.xlsx&amp;sheet=A0&amp;row=3879&amp;col=6&amp;number=6980000&amp;sourceID=14","6980000")</f>
        <v>6980000</v>
      </c>
      <c r="G3879" s="4" t="str">
        <f>HYPERLINK("http://141.218.60.56/~jnz1568/getInfo.php?workbook=12_04.xlsx&amp;sheet=A0&amp;row=3879&amp;col=7&amp;number=0&amp;sourceID=14","0")</f>
        <v>0</v>
      </c>
    </row>
    <row r="3880" spans="1:7">
      <c r="A3880" s="3">
        <v>12</v>
      </c>
      <c r="B3880" s="3">
        <v>4</v>
      </c>
      <c r="C3880" s="3">
        <v>72</v>
      </c>
      <c r="D3880" s="3">
        <v>61</v>
      </c>
      <c r="E3880" s="3">
        <v>-3444.363</v>
      </c>
      <c r="F3880" s="4" t="str">
        <f>HYPERLINK("http://141.218.60.56/~jnz1568/getInfo.php?workbook=12_04.xlsx&amp;sheet=A0&amp;row=3880&amp;col=6&amp;number=0.000125&amp;sourceID=14","0.000125")</f>
        <v>0.000125</v>
      </c>
      <c r="G3880" s="4" t="str">
        <f>HYPERLINK("http://141.218.60.56/~jnz1568/getInfo.php?workbook=12_04.xlsx&amp;sheet=A0&amp;row=3880&amp;col=7&amp;number=0&amp;sourceID=14","0")</f>
        <v>0</v>
      </c>
    </row>
    <row r="3881" spans="1:7">
      <c r="A3881" s="3">
        <v>12</v>
      </c>
      <c r="B3881" s="3">
        <v>4</v>
      </c>
      <c r="C3881" s="3">
        <v>73</v>
      </c>
      <c r="D3881" s="3">
        <v>61</v>
      </c>
      <c r="E3881" s="3">
        <v>-3118.282</v>
      </c>
      <c r="F3881" s="4" t="str">
        <f>HYPERLINK("http://141.218.60.56/~jnz1568/getInfo.php?workbook=12_04.xlsx&amp;sheet=A0&amp;row=3881&amp;col=6&amp;number=10.3&amp;sourceID=14","10.3")</f>
        <v>10.3</v>
      </c>
      <c r="G3881" s="4" t="str">
        <f>HYPERLINK("http://141.218.60.56/~jnz1568/getInfo.php?workbook=12_04.xlsx&amp;sheet=A0&amp;row=3881&amp;col=7&amp;number=0&amp;sourceID=14","0")</f>
        <v>0</v>
      </c>
    </row>
    <row r="3882" spans="1:7">
      <c r="A3882" s="3">
        <v>12</v>
      </c>
      <c r="B3882" s="3">
        <v>4</v>
      </c>
      <c r="C3882" s="3">
        <v>75</v>
      </c>
      <c r="D3882" s="3">
        <v>61</v>
      </c>
      <c r="E3882" s="3">
        <v>-2891.767</v>
      </c>
      <c r="F3882" s="4" t="str">
        <f>HYPERLINK("http://141.218.60.56/~jnz1568/getInfo.php?workbook=12_04.xlsx&amp;sheet=A0&amp;row=3882&amp;col=6&amp;number=14.7&amp;sourceID=14","14.7")</f>
        <v>14.7</v>
      </c>
      <c r="G3882" s="4" t="str">
        <f>HYPERLINK("http://141.218.60.56/~jnz1568/getInfo.php?workbook=12_04.xlsx&amp;sheet=A0&amp;row=3882&amp;col=7&amp;number=0&amp;sourceID=14","0")</f>
        <v>0</v>
      </c>
    </row>
    <row r="3883" spans="1:7">
      <c r="A3883" s="3">
        <v>12</v>
      </c>
      <c r="B3883" s="3">
        <v>4</v>
      </c>
      <c r="C3883" s="3">
        <v>76</v>
      </c>
      <c r="D3883" s="3">
        <v>61</v>
      </c>
      <c r="E3883" s="3">
        <v>-2804.504</v>
      </c>
      <c r="F3883" s="4" t="str">
        <f>HYPERLINK("http://141.218.60.56/~jnz1568/getInfo.php?workbook=12_04.xlsx&amp;sheet=A0&amp;row=3883&amp;col=6&amp;number=0.000288&amp;sourceID=14","0.000288")</f>
        <v>0.000288</v>
      </c>
      <c r="G3883" s="4" t="str">
        <f>HYPERLINK("http://141.218.60.56/~jnz1568/getInfo.php?workbook=12_04.xlsx&amp;sheet=A0&amp;row=3883&amp;col=7&amp;number=0&amp;sourceID=14","0")</f>
        <v>0</v>
      </c>
    </row>
    <row r="3884" spans="1:7">
      <c r="A3884" s="3">
        <v>12</v>
      </c>
      <c r="B3884" s="3">
        <v>4</v>
      </c>
      <c r="C3884" s="3">
        <v>77</v>
      </c>
      <c r="D3884" s="3">
        <v>61</v>
      </c>
      <c r="E3884" s="3">
        <v>-2765.951</v>
      </c>
      <c r="F3884" s="4" t="str">
        <f>HYPERLINK("http://141.218.60.56/~jnz1568/getInfo.php?workbook=12_04.xlsx&amp;sheet=A0&amp;row=3884&amp;col=6&amp;number=3.74e-15&amp;sourceID=14","3.74e-15")</f>
        <v>3.74e-15</v>
      </c>
      <c r="G3884" s="4" t="str">
        <f>HYPERLINK("http://141.218.60.56/~jnz1568/getInfo.php?workbook=12_04.xlsx&amp;sheet=A0&amp;row=3884&amp;col=7&amp;number=0&amp;sourceID=14","0")</f>
        <v>0</v>
      </c>
    </row>
    <row r="3885" spans="1:7">
      <c r="A3885" s="3">
        <v>12</v>
      </c>
      <c r="B3885" s="3">
        <v>4</v>
      </c>
      <c r="C3885" s="3">
        <v>78</v>
      </c>
      <c r="D3885" s="3">
        <v>61</v>
      </c>
      <c r="E3885" s="3">
        <v>-2553.761</v>
      </c>
      <c r="F3885" s="4" t="str">
        <f>HYPERLINK("http://141.218.60.56/~jnz1568/getInfo.php?workbook=12_04.xlsx&amp;sheet=A0&amp;row=3885&amp;col=6&amp;number=0.0141&amp;sourceID=14","0.0141")</f>
        <v>0.0141</v>
      </c>
      <c r="G3885" s="4" t="str">
        <f>HYPERLINK("http://141.218.60.56/~jnz1568/getInfo.php?workbook=12_04.xlsx&amp;sheet=A0&amp;row=3885&amp;col=7&amp;number=0&amp;sourceID=14","0")</f>
        <v>0</v>
      </c>
    </row>
    <row r="3886" spans="1:7">
      <c r="A3886" s="3">
        <v>12</v>
      </c>
      <c r="B3886" s="3">
        <v>4</v>
      </c>
      <c r="C3886" s="3">
        <v>79</v>
      </c>
      <c r="D3886" s="3">
        <v>61</v>
      </c>
      <c r="E3886" s="3">
        <v>-2514.02</v>
      </c>
      <c r="F3886" s="4" t="str">
        <f>HYPERLINK("http://141.218.60.56/~jnz1568/getInfo.php?workbook=12_04.xlsx&amp;sheet=A0&amp;row=3886&amp;col=6&amp;number=31.8&amp;sourceID=14","31.8")</f>
        <v>31.8</v>
      </c>
      <c r="G3886" s="4" t="str">
        <f>HYPERLINK("http://141.218.60.56/~jnz1568/getInfo.php?workbook=12_04.xlsx&amp;sheet=A0&amp;row=3886&amp;col=7&amp;number=0&amp;sourceID=14","0")</f>
        <v>0</v>
      </c>
    </row>
    <row r="3887" spans="1:7">
      <c r="A3887" s="3">
        <v>12</v>
      </c>
      <c r="B3887" s="3">
        <v>4</v>
      </c>
      <c r="C3887" s="3">
        <v>80</v>
      </c>
      <c r="D3887" s="3">
        <v>61</v>
      </c>
      <c r="E3887" s="3">
        <v>-2437.959</v>
      </c>
      <c r="F3887" s="4" t="str">
        <f>HYPERLINK("http://141.218.60.56/~jnz1568/getInfo.php?workbook=12_04.xlsx&amp;sheet=A0&amp;row=3887&amp;col=6&amp;number=3.94e-08&amp;sourceID=14","3.94e-08")</f>
        <v>3.94e-08</v>
      </c>
      <c r="G3887" s="4" t="str">
        <f>HYPERLINK("http://141.218.60.56/~jnz1568/getInfo.php?workbook=12_04.xlsx&amp;sheet=A0&amp;row=3887&amp;col=7&amp;number=0&amp;sourceID=14","0")</f>
        <v>0</v>
      </c>
    </row>
    <row r="3888" spans="1:7">
      <c r="A3888" s="3">
        <v>12</v>
      </c>
      <c r="B3888" s="3">
        <v>4</v>
      </c>
      <c r="C3888" s="3">
        <v>82</v>
      </c>
      <c r="D3888" s="3">
        <v>61</v>
      </c>
      <c r="E3888" s="3">
        <v>-2416.631</v>
      </c>
      <c r="F3888" s="4" t="str">
        <f>HYPERLINK("http://141.218.60.56/~jnz1568/getInfo.php?workbook=12_04.xlsx&amp;sheet=A0&amp;row=3888&amp;col=6&amp;number=1.21e-06&amp;sourceID=14","1.21e-06")</f>
        <v>1.21e-06</v>
      </c>
      <c r="G3888" s="4" t="str">
        <f>HYPERLINK("http://141.218.60.56/~jnz1568/getInfo.php?workbook=12_04.xlsx&amp;sheet=A0&amp;row=3888&amp;col=7&amp;number=0&amp;sourceID=14","0")</f>
        <v>0</v>
      </c>
    </row>
    <row r="3889" spans="1:7">
      <c r="A3889" s="3">
        <v>12</v>
      </c>
      <c r="B3889" s="3">
        <v>4</v>
      </c>
      <c r="C3889" s="3">
        <v>83</v>
      </c>
      <c r="D3889" s="3">
        <v>61</v>
      </c>
      <c r="E3889" s="3">
        <v>-2416.339</v>
      </c>
      <c r="F3889" s="4" t="str">
        <f>HYPERLINK("http://141.218.60.56/~jnz1568/getInfo.php?workbook=12_04.xlsx&amp;sheet=A0&amp;row=3889&amp;col=6&amp;number=1.37e-05&amp;sourceID=14","1.37e-05")</f>
        <v>1.37e-05</v>
      </c>
      <c r="G3889" s="4" t="str">
        <f>HYPERLINK("http://141.218.60.56/~jnz1568/getInfo.php?workbook=12_04.xlsx&amp;sheet=A0&amp;row=3889&amp;col=7&amp;number=0&amp;sourceID=14","0")</f>
        <v>0</v>
      </c>
    </row>
    <row r="3890" spans="1:7">
      <c r="A3890" s="3">
        <v>12</v>
      </c>
      <c r="B3890" s="3">
        <v>4</v>
      </c>
      <c r="C3890" s="3">
        <v>85</v>
      </c>
      <c r="D3890" s="3">
        <v>61</v>
      </c>
      <c r="E3890" s="3">
        <v>-2315.462</v>
      </c>
      <c r="F3890" s="4" t="str">
        <f>HYPERLINK("http://141.218.60.56/~jnz1568/getInfo.php?workbook=12_04.xlsx&amp;sheet=A0&amp;row=3890&amp;col=6&amp;number=2.28&amp;sourceID=14","2.28")</f>
        <v>2.28</v>
      </c>
      <c r="G3890" s="4" t="str">
        <f>HYPERLINK("http://141.218.60.56/~jnz1568/getInfo.php?workbook=12_04.xlsx&amp;sheet=A0&amp;row=3890&amp;col=7&amp;number=0&amp;sourceID=14","0")</f>
        <v>0</v>
      </c>
    </row>
    <row r="3891" spans="1:7">
      <c r="A3891" s="3">
        <v>12</v>
      </c>
      <c r="B3891" s="3">
        <v>4</v>
      </c>
      <c r="C3891" s="3">
        <v>86</v>
      </c>
      <c r="D3891" s="3">
        <v>61</v>
      </c>
      <c r="E3891" s="3">
        <v>-2282.692</v>
      </c>
      <c r="F3891" s="4" t="str">
        <f>HYPERLINK("http://141.218.60.56/~jnz1568/getInfo.php?workbook=12_04.xlsx&amp;sheet=A0&amp;row=3891&amp;col=6&amp;number=0.0164&amp;sourceID=14","0.0164")</f>
        <v>0.0164</v>
      </c>
      <c r="G3891" s="4" t="str">
        <f>HYPERLINK("http://141.218.60.56/~jnz1568/getInfo.php?workbook=12_04.xlsx&amp;sheet=A0&amp;row=3891&amp;col=7&amp;number=0&amp;sourceID=14","0")</f>
        <v>0</v>
      </c>
    </row>
    <row r="3892" spans="1:7">
      <c r="A3892" s="3">
        <v>12</v>
      </c>
      <c r="B3892" s="3">
        <v>4</v>
      </c>
      <c r="C3892" s="3">
        <v>88</v>
      </c>
      <c r="D3892" s="3">
        <v>61</v>
      </c>
      <c r="E3892" s="3">
        <v>-2226.035</v>
      </c>
      <c r="F3892" s="4" t="str">
        <f>HYPERLINK("http://141.218.60.56/~jnz1568/getInfo.php?workbook=12_04.xlsx&amp;sheet=A0&amp;row=3892&amp;col=6&amp;number=2.3e-06&amp;sourceID=14","2.3e-06")</f>
        <v>2.3e-06</v>
      </c>
      <c r="G3892" s="4" t="str">
        <f>HYPERLINK("http://141.218.60.56/~jnz1568/getInfo.php?workbook=12_04.xlsx&amp;sheet=A0&amp;row=3892&amp;col=7&amp;number=0&amp;sourceID=14","0")</f>
        <v>0</v>
      </c>
    </row>
    <row r="3893" spans="1:7">
      <c r="A3893" s="3">
        <v>12</v>
      </c>
      <c r="B3893" s="3">
        <v>4</v>
      </c>
      <c r="C3893" s="3">
        <v>90</v>
      </c>
      <c r="D3893" s="3">
        <v>61</v>
      </c>
      <c r="E3893" s="3">
        <v>-2138.584</v>
      </c>
      <c r="F3893" s="4" t="str">
        <f>HYPERLINK("http://141.218.60.56/~jnz1568/getInfo.php?workbook=12_04.xlsx&amp;sheet=A0&amp;row=3893&amp;col=6&amp;number=2.56e-18&amp;sourceID=14","2.56e-18")</f>
        <v>2.56e-18</v>
      </c>
      <c r="G3893" s="4" t="str">
        <f>HYPERLINK("http://141.218.60.56/~jnz1568/getInfo.php?workbook=12_04.xlsx&amp;sheet=A0&amp;row=3893&amp;col=7&amp;number=0&amp;sourceID=14","0")</f>
        <v>0</v>
      </c>
    </row>
    <row r="3894" spans="1:7">
      <c r="A3894" s="3">
        <v>12</v>
      </c>
      <c r="B3894" s="3">
        <v>4</v>
      </c>
      <c r="C3894" s="3">
        <v>91</v>
      </c>
      <c r="D3894" s="3">
        <v>61</v>
      </c>
      <c r="E3894" s="3">
        <v>-2084.249</v>
      </c>
      <c r="F3894" s="4" t="str">
        <f>HYPERLINK("http://141.218.60.56/~jnz1568/getInfo.php?workbook=12_04.xlsx&amp;sheet=A0&amp;row=3894&amp;col=6&amp;number=4.23e-06&amp;sourceID=14","4.23e-06")</f>
        <v>4.23e-06</v>
      </c>
      <c r="G3894" s="4" t="str">
        <f>HYPERLINK("http://141.218.60.56/~jnz1568/getInfo.php?workbook=12_04.xlsx&amp;sheet=A0&amp;row=3894&amp;col=7&amp;number=0&amp;sourceID=14","0")</f>
        <v>0</v>
      </c>
    </row>
    <row r="3895" spans="1:7">
      <c r="A3895" s="3">
        <v>12</v>
      </c>
      <c r="B3895" s="3">
        <v>4</v>
      </c>
      <c r="C3895" s="3">
        <v>93</v>
      </c>
      <c r="D3895" s="3">
        <v>61</v>
      </c>
      <c r="E3895" s="3">
        <v>-2060.627</v>
      </c>
      <c r="F3895" s="4" t="str">
        <f>HYPERLINK("http://141.218.60.56/~jnz1568/getInfo.php?workbook=12_04.xlsx&amp;sheet=A0&amp;row=3895&amp;col=6&amp;number=2.87e-05&amp;sourceID=14","2.87e-05")</f>
        <v>2.87e-05</v>
      </c>
      <c r="G3895" s="4" t="str">
        <f>HYPERLINK("http://141.218.60.56/~jnz1568/getInfo.php?workbook=12_04.xlsx&amp;sheet=A0&amp;row=3895&amp;col=7&amp;number=0&amp;sourceID=14","0")</f>
        <v>0</v>
      </c>
    </row>
    <row r="3896" spans="1:7">
      <c r="A3896" s="3">
        <v>12</v>
      </c>
      <c r="B3896" s="3">
        <v>4</v>
      </c>
      <c r="C3896" s="3">
        <v>94</v>
      </c>
      <c r="D3896" s="3">
        <v>61</v>
      </c>
      <c r="E3896" s="3">
        <v>-2020.369</v>
      </c>
      <c r="F3896" s="4" t="str">
        <f>HYPERLINK("http://141.218.60.56/~jnz1568/getInfo.php?workbook=12_04.xlsx&amp;sheet=A0&amp;row=3896&amp;col=6&amp;number=2040000&amp;sourceID=14","2040000")</f>
        <v>2040000</v>
      </c>
      <c r="G3896" s="4" t="str">
        <f>HYPERLINK("http://141.218.60.56/~jnz1568/getInfo.php?workbook=12_04.xlsx&amp;sheet=A0&amp;row=3896&amp;col=7&amp;number=0&amp;sourceID=14","0")</f>
        <v>0</v>
      </c>
    </row>
    <row r="3897" spans="1:7">
      <c r="A3897" s="3">
        <v>12</v>
      </c>
      <c r="B3897" s="3">
        <v>4</v>
      </c>
      <c r="C3897" s="3">
        <v>96</v>
      </c>
      <c r="D3897" s="3">
        <v>61</v>
      </c>
      <c r="E3897" s="3">
        <v>-1971.729</v>
      </c>
      <c r="F3897" s="4" t="str">
        <f>HYPERLINK("http://141.218.60.56/~jnz1568/getInfo.php?workbook=12_04.xlsx&amp;sheet=A0&amp;row=3897&amp;col=6&amp;number=6.4e-05&amp;sourceID=14","6.4e-05")</f>
        <v>6.4e-05</v>
      </c>
      <c r="G3897" s="4" t="str">
        <f>HYPERLINK("http://141.218.60.56/~jnz1568/getInfo.php?workbook=12_04.xlsx&amp;sheet=A0&amp;row=3897&amp;col=7&amp;number=0&amp;sourceID=14","0")</f>
        <v>0</v>
      </c>
    </row>
    <row r="3898" spans="1:7">
      <c r="A3898" s="3">
        <v>12</v>
      </c>
      <c r="B3898" s="3">
        <v>4</v>
      </c>
      <c r="C3898" s="3">
        <v>98</v>
      </c>
      <c r="D3898" s="3">
        <v>61</v>
      </c>
      <c r="E3898" s="3">
        <v>-1837.901</v>
      </c>
      <c r="F3898" s="4" t="str">
        <f>HYPERLINK("http://141.218.60.56/~jnz1568/getInfo.php?workbook=12_04.xlsx&amp;sheet=A0&amp;row=3898&amp;col=6&amp;number=1.29e-05&amp;sourceID=14","1.29e-05")</f>
        <v>1.29e-05</v>
      </c>
      <c r="G3898" s="4" t="str">
        <f>HYPERLINK("http://141.218.60.56/~jnz1568/getInfo.php?workbook=12_04.xlsx&amp;sheet=A0&amp;row=3898&amp;col=7&amp;number=0&amp;sourceID=14","0")</f>
        <v>0</v>
      </c>
    </row>
    <row r="3899" spans="1:7">
      <c r="A3899" s="3">
        <v>12</v>
      </c>
      <c r="B3899" s="3">
        <v>4</v>
      </c>
      <c r="C3899" s="3">
        <v>63</v>
      </c>
      <c r="D3899" s="3">
        <v>62</v>
      </c>
      <c r="E3899" s="3">
        <v>-33557.109</v>
      </c>
      <c r="F3899" s="4" t="str">
        <f>HYPERLINK("http://141.218.60.56/~jnz1568/getInfo.php?workbook=12_04.xlsx&amp;sheet=A0&amp;row=3899&amp;col=6&amp;number=0.342&amp;sourceID=14","0.342")</f>
        <v>0.342</v>
      </c>
      <c r="G3899" s="4" t="str">
        <f>HYPERLINK("http://141.218.60.56/~jnz1568/getInfo.php?workbook=12_04.xlsx&amp;sheet=A0&amp;row=3899&amp;col=7&amp;number=0&amp;sourceID=14","0")</f>
        <v>0</v>
      </c>
    </row>
    <row r="3900" spans="1:7">
      <c r="A3900" s="3">
        <v>12</v>
      </c>
      <c r="B3900" s="3">
        <v>4</v>
      </c>
      <c r="C3900" s="3">
        <v>64</v>
      </c>
      <c r="D3900" s="3">
        <v>62</v>
      </c>
      <c r="E3900" s="3">
        <v>-10847.184</v>
      </c>
      <c r="F3900" s="4" t="str">
        <f>HYPERLINK("http://141.218.60.56/~jnz1568/getInfo.php?workbook=12_04.xlsx&amp;sheet=A0&amp;row=3900&amp;col=6&amp;number=0.42&amp;sourceID=14","0.42")</f>
        <v>0.42</v>
      </c>
      <c r="G3900" s="4" t="str">
        <f>HYPERLINK("http://141.218.60.56/~jnz1568/getInfo.php?workbook=12_04.xlsx&amp;sheet=A0&amp;row=3900&amp;col=7&amp;number=0&amp;sourceID=14","0")</f>
        <v>0</v>
      </c>
    </row>
    <row r="3901" spans="1:7">
      <c r="A3901" s="3">
        <v>12</v>
      </c>
      <c r="B3901" s="3">
        <v>4</v>
      </c>
      <c r="C3901" s="3">
        <v>65</v>
      </c>
      <c r="D3901" s="3">
        <v>62</v>
      </c>
      <c r="E3901" s="3">
        <v>-5971.586</v>
      </c>
      <c r="F3901" s="4" t="str">
        <f>HYPERLINK("http://141.218.60.56/~jnz1568/getInfo.php?workbook=12_04.xlsx&amp;sheet=A0&amp;row=3901&amp;col=6&amp;number=6770000&amp;sourceID=14","6770000")</f>
        <v>6770000</v>
      </c>
      <c r="G3901" s="4" t="str">
        <f>HYPERLINK("http://141.218.60.56/~jnz1568/getInfo.php?workbook=12_04.xlsx&amp;sheet=A0&amp;row=3901&amp;col=7&amp;number=0&amp;sourceID=14","0")</f>
        <v>0</v>
      </c>
    </row>
    <row r="3902" spans="1:7">
      <c r="A3902" s="3">
        <v>12</v>
      </c>
      <c r="B3902" s="3">
        <v>4</v>
      </c>
      <c r="C3902" s="3">
        <v>66</v>
      </c>
      <c r="D3902" s="3">
        <v>62</v>
      </c>
      <c r="E3902" s="3">
        <v>-5181.894</v>
      </c>
      <c r="F3902" s="4" t="str">
        <f>HYPERLINK("http://141.218.60.56/~jnz1568/getInfo.php?workbook=12_04.xlsx&amp;sheet=A0&amp;row=3902&amp;col=6&amp;number=1930000&amp;sourceID=14","1930000")</f>
        <v>1930000</v>
      </c>
      <c r="G3902" s="4" t="str">
        <f>HYPERLINK("http://141.218.60.56/~jnz1568/getInfo.php?workbook=12_04.xlsx&amp;sheet=A0&amp;row=3902&amp;col=7&amp;number=0&amp;sourceID=14","0")</f>
        <v>0</v>
      </c>
    </row>
    <row r="3903" spans="1:7">
      <c r="A3903" s="3">
        <v>12</v>
      </c>
      <c r="B3903" s="3">
        <v>4</v>
      </c>
      <c r="C3903" s="3">
        <v>67</v>
      </c>
      <c r="D3903" s="3">
        <v>62</v>
      </c>
      <c r="E3903" s="3">
        <v>-5063.557</v>
      </c>
      <c r="F3903" s="4" t="str">
        <f>HYPERLINK("http://141.218.60.56/~jnz1568/getInfo.php?workbook=12_04.xlsx&amp;sheet=A0&amp;row=3903&amp;col=6&amp;number=27100000&amp;sourceID=14","27100000")</f>
        <v>27100000</v>
      </c>
      <c r="G3903" s="4" t="str">
        <f>HYPERLINK("http://141.218.60.56/~jnz1568/getInfo.php?workbook=12_04.xlsx&amp;sheet=A0&amp;row=3903&amp;col=7&amp;number=0&amp;sourceID=14","0")</f>
        <v>0</v>
      </c>
    </row>
    <row r="3904" spans="1:7">
      <c r="A3904" s="3">
        <v>12</v>
      </c>
      <c r="B3904" s="3">
        <v>4</v>
      </c>
      <c r="C3904" s="3">
        <v>68</v>
      </c>
      <c r="D3904" s="3">
        <v>62</v>
      </c>
      <c r="E3904" s="3">
        <v>-4506.746</v>
      </c>
      <c r="F3904" s="4" t="str">
        <f>HYPERLINK("http://141.218.60.56/~jnz1568/getInfo.php?workbook=12_04.xlsx&amp;sheet=A0&amp;row=3904&amp;col=6&amp;number=8.94e-05&amp;sourceID=14","8.94e-05")</f>
        <v>8.94e-05</v>
      </c>
      <c r="G3904" s="4" t="str">
        <f>HYPERLINK("http://141.218.60.56/~jnz1568/getInfo.php?workbook=12_04.xlsx&amp;sheet=A0&amp;row=3904&amp;col=7&amp;number=0&amp;sourceID=14","0")</f>
        <v>0</v>
      </c>
    </row>
    <row r="3905" spans="1:7">
      <c r="A3905" s="3">
        <v>12</v>
      </c>
      <c r="B3905" s="3">
        <v>4</v>
      </c>
      <c r="C3905" s="3">
        <v>69</v>
      </c>
      <c r="D3905" s="3">
        <v>62</v>
      </c>
      <c r="E3905" s="3">
        <v>-3986.453</v>
      </c>
      <c r="F3905" s="4" t="str">
        <f>HYPERLINK("http://141.218.60.56/~jnz1568/getInfo.php?workbook=12_04.xlsx&amp;sheet=A0&amp;row=3905&amp;col=6&amp;number=34100000&amp;sourceID=14","34100000")</f>
        <v>34100000</v>
      </c>
      <c r="G3905" s="4" t="str">
        <f>HYPERLINK("http://141.218.60.56/~jnz1568/getInfo.php?workbook=12_04.xlsx&amp;sheet=A0&amp;row=3905&amp;col=7&amp;number=0&amp;sourceID=14","0")</f>
        <v>0</v>
      </c>
    </row>
    <row r="3906" spans="1:7">
      <c r="A3906" s="3">
        <v>12</v>
      </c>
      <c r="B3906" s="3">
        <v>4</v>
      </c>
      <c r="C3906" s="3">
        <v>70</v>
      </c>
      <c r="D3906" s="3">
        <v>62</v>
      </c>
      <c r="E3906" s="3">
        <v>-3888.486</v>
      </c>
      <c r="F3906" s="4" t="str">
        <f>HYPERLINK("http://141.218.60.56/~jnz1568/getInfo.php?workbook=12_04.xlsx&amp;sheet=A0&amp;row=3906&amp;col=6&amp;number=76900000&amp;sourceID=14","76900000")</f>
        <v>76900000</v>
      </c>
      <c r="G3906" s="4" t="str">
        <f>HYPERLINK("http://141.218.60.56/~jnz1568/getInfo.php?workbook=12_04.xlsx&amp;sheet=A0&amp;row=3906&amp;col=7&amp;number=0&amp;sourceID=14","0")</f>
        <v>0</v>
      </c>
    </row>
    <row r="3907" spans="1:7">
      <c r="A3907" s="3">
        <v>12</v>
      </c>
      <c r="B3907" s="3">
        <v>4</v>
      </c>
      <c r="C3907" s="3">
        <v>71</v>
      </c>
      <c r="D3907" s="3">
        <v>62</v>
      </c>
      <c r="E3907" s="3">
        <v>-3616.905</v>
      </c>
      <c r="F3907" s="4" t="str">
        <f>HYPERLINK("http://141.218.60.56/~jnz1568/getInfo.php?workbook=12_04.xlsx&amp;sheet=A0&amp;row=3907&amp;col=6&amp;number=2480000&amp;sourceID=14","2480000")</f>
        <v>2480000</v>
      </c>
      <c r="G3907" s="4" t="str">
        <f>HYPERLINK("http://141.218.60.56/~jnz1568/getInfo.php?workbook=12_04.xlsx&amp;sheet=A0&amp;row=3907&amp;col=7&amp;number=0&amp;sourceID=14","0")</f>
        <v>0</v>
      </c>
    </row>
    <row r="3908" spans="1:7">
      <c r="A3908" s="3">
        <v>12</v>
      </c>
      <c r="B3908" s="3">
        <v>4</v>
      </c>
      <c r="C3908" s="3">
        <v>72</v>
      </c>
      <c r="D3908" s="3">
        <v>62</v>
      </c>
      <c r="E3908" s="3">
        <v>-3556.827</v>
      </c>
      <c r="F3908" s="4" t="str">
        <f>HYPERLINK("http://141.218.60.56/~jnz1568/getInfo.php?workbook=12_04.xlsx&amp;sheet=A0&amp;row=3908&amp;col=6&amp;number=15400000&amp;sourceID=14","15400000")</f>
        <v>15400000</v>
      </c>
      <c r="G3908" s="4" t="str">
        <f>HYPERLINK("http://141.218.60.56/~jnz1568/getInfo.php?workbook=12_04.xlsx&amp;sheet=A0&amp;row=3908&amp;col=7&amp;number=0&amp;sourceID=14","0")</f>
        <v>0</v>
      </c>
    </row>
    <row r="3909" spans="1:7">
      <c r="A3909" s="3">
        <v>12</v>
      </c>
      <c r="B3909" s="3">
        <v>4</v>
      </c>
      <c r="C3909" s="3">
        <v>73</v>
      </c>
      <c r="D3909" s="3">
        <v>62</v>
      </c>
      <c r="E3909" s="3">
        <v>-3210.176</v>
      </c>
      <c r="F3909" s="4" t="str">
        <f>HYPERLINK("http://141.218.60.56/~jnz1568/getInfo.php?workbook=12_04.xlsx&amp;sheet=A0&amp;row=3909&amp;col=6&amp;number=12.1&amp;sourceID=14","12.1")</f>
        <v>12.1</v>
      </c>
      <c r="G3909" s="4" t="str">
        <f>HYPERLINK("http://141.218.60.56/~jnz1568/getInfo.php?workbook=12_04.xlsx&amp;sheet=A0&amp;row=3909&amp;col=7&amp;number=0&amp;sourceID=14","0")</f>
        <v>0</v>
      </c>
    </row>
    <row r="3910" spans="1:7">
      <c r="A3910" s="3">
        <v>12</v>
      </c>
      <c r="B3910" s="3">
        <v>4</v>
      </c>
      <c r="C3910" s="3">
        <v>74</v>
      </c>
      <c r="D3910" s="3">
        <v>62</v>
      </c>
      <c r="E3910" s="3">
        <v>-3024.718</v>
      </c>
      <c r="F3910" s="4" t="str">
        <f>HYPERLINK("http://141.218.60.56/~jnz1568/getInfo.php?workbook=12_04.xlsx&amp;sheet=A0&amp;row=3910&amp;col=6&amp;number=29.1&amp;sourceID=14","29.1")</f>
        <v>29.1</v>
      </c>
      <c r="G3910" s="4" t="str">
        <f>HYPERLINK("http://141.218.60.56/~jnz1568/getInfo.php?workbook=12_04.xlsx&amp;sheet=A0&amp;row=3910&amp;col=7&amp;number=0&amp;sourceID=14","0")</f>
        <v>0</v>
      </c>
    </row>
    <row r="3911" spans="1:7">
      <c r="A3911" s="3">
        <v>12</v>
      </c>
      <c r="B3911" s="3">
        <v>4</v>
      </c>
      <c r="C3911" s="3">
        <v>75</v>
      </c>
      <c r="D3911" s="3">
        <v>62</v>
      </c>
      <c r="E3911" s="3">
        <v>-2970.626</v>
      </c>
      <c r="F3911" s="4" t="str">
        <f>HYPERLINK("http://141.218.60.56/~jnz1568/getInfo.php?workbook=12_04.xlsx&amp;sheet=A0&amp;row=3911&amp;col=6&amp;number=0.0183&amp;sourceID=14","0.0183")</f>
        <v>0.0183</v>
      </c>
      <c r="G3911" s="4" t="str">
        <f>HYPERLINK("http://141.218.60.56/~jnz1568/getInfo.php?workbook=12_04.xlsx&amp;sheet=A0&amp;row=3911&amp;col=7&amp;number=0&amp;sourceID=14","0")</f>
        <v>0</v>
      </c>
    </row>
    <row r="3912" spans="1:7">
      <c r="A3912" s="3">
        <v>12</v>
      </c>
      <c r="B3912" s="3">
        <v>4</v>
      </c>
      <c r="C3912" s="3">
        <v>76</v>
      </c>
      <c r="D3912" s="3">
        <v>62</v>
      </c>
      <c r="E3912" s="3">
        <v>-2878.614</v>
      </c>
      <c r="F3912" s="4" t="str">
        <f>HYPERLINK("http://141.218.60.56/~jnz1568/getInfo.php?workbook=12_04.xlsx&amp;sheet=A0&amp;row=3912&amp;col=6&amp;number=619000&amp;sourceID=14","619000")</f>
        <v>619000</v>
      </c>
      <c r="G3912" s="4" t="str">
        <f>HYPERLINK("http://141.218.60.56/~jnz1568/getInfo.php?workbook=12_04.xlsx&amp;sheet=A0&amp;row=3912&amp;col=7&amp;number=0&amp;sourceID=14","0")</f>
        <v>0</v>
      </c>
    </row>
    <row r="3913" spans="1:7">
      <c r="A3913" s="3">
        <v>12</v>
      </c>
      <c r="B3913" s="3">
        <v>4</v>
      </c>
      <c r="C3913" s="3">
        <v>77</v>
      </c>
      <c r="D3913" s="3">
        <v>62</v>
      </c>
      <c r="E3913" s="3">
        <v>-2838.012</v>
      </c>
      <c r="F3913" s="4" t="str">
        <f>HYPERLINK("http://141.218.60.56/~jnz1568/getInfo.php?workbook=12_04.xlsx&amp;sheet=A0&amp;row=3913&amp;col=6&amp;number=2.81e-10&amp;sourceID=14","2.81e-10")</f>
        <v>2.81e-10</v>
      </c>
      <c r="G3913" s="4" t="str">
        <f>HYPERLINK("http://141.218.60.56/~jnz1568/getInfo.php?workbook=12_04.xlsx&amp;sheet=A0&amp;row=3913&amp;col=7&amp;number=0&amp;sourceID=14","0")</f>
        <v>0</v>
      </c>
    </row>
    <row r="3914" spans="1:7">
      <c r="A3914" s="3">
        <v>12</v>
      </c>
      <c r="B3914" s="3">
        <v>4</v>
      </c>
      <c r="C3914" s="3">
        <v>78</v>
      </c>
      <c r="D3914" s="3">
        <v>62</v>
      </c>
      <c r="E3914" s="3">
        <v>-2615.068</v>
      </c>
      <c r="F3914" s="4" t="str">
        <f>HYPERLINK("http://141.218.60.56/~jnz1568/getInfo.php?workbook=12_04.xlsx&amp;sheet=A0&amp;row=3914&amp;col=6&amp;number=76.3&amp;sourceID=14","76.3")</f>
        <v>76.3</v>
      </c>
      <c r="G3914" s="4" t="str">
        <f>HYPERLINK("http://141.218.60.56/~jnz1568/getInfo.php?workbook=12_04.xlsx&amp;sheet=A0&amp;row=3914&amp;col=7&amp;number=0&amp;sourceID=14","0")</f>
        <v>0</v>
      </c>
    </row>
    <row r="3915" spans="1:7">
      <c r="A3915" s="3">
        <v>12</v>
      </c>
      <c r="B3915" s="3">
        <v>4</v>
      </c>
      <c r="C3915" s="3">
        <v>79</v>
      </c>
      <c r="D3915" s="3">
        <v>62</v>
      </c>
      <c r="E3915" s="3">
        <v>-2573.411</v>
      </c>
      <c r="F3915" s="4" t="str">
        <f>HYPERLINK("http://141.218.60.56/~jnz1568/getInfo.php?workbook=12_04.xlsx&amp;sheet=A0&amp;row=3915&amp;col=6&amp;number=27.5&amp;sourceID=14","27.5")</f>
        <v>27.5</v>
      </c>
      <c r="G3915" s="4" t="str">
        <f>HYPERLINK("http://141.218.60.56/~jnz1568/getInfo.php?workbook=12_04.xlsx&amp;sheet=A0&amp;row=3915&amp;col=7&amp;number=0&amp;sourceID=14","0")</f>
        <v>0</v>
      </c>
    </row>
    <row r="3916" spans="1:7">
      <c r="A3916" s="3">
        <v>12</v>
      </c>
      <c r="B3916" s="3">
        <v>4</v>
      </c>
      <c r="C3916" s="3">
        <v>80</v>
      </c>
      <c r="D3916" s="3">
        <v>62</v>
      </c>
      <c r="E3916" s="3">
        <v>-2493.77</v>
      </c>
      <c r="F3916" s="4" t="str">
        <f>HYPERLINK("http://141.218.60.56/~jnz1568/getInfo.php?workbook=12_04.xlsx&amp;sheet=A0&amp;row=3916&amp;col=6&amp;number=4.63e-06&amp;sourceID=14","4.63e-06")</f>
        <v>4.63e-06</v>
      </c>
      <c r="G3916" s="4" t="str">
        <f>HYPERLINK("http://141.218.60.56/~jnz1568/getInfo.php?workbook=12_04.xlsx&amp;sheet=A0&amp;row=3916&amp;col=7&amp;number=0&amp;sourceID=14","0")</f>
        <v>0</v>
      </c>
    </row>
    <row r="3917" spans="1:7">
      <c r="A3917" s="3">
        <v>12</v>
      </c>
      <c r="B3917" s="3">
        <v>4</v>
      </c>
      <c r="C3917" s="3">
        <v>81</v>
      </c>
      <c r="D3917" s="3">
        <v>62</v>
      </c>
      <c r="E3917" s="3">
        <v>-2492.092</v>
      </c>
      <c r="F3917" s="4" t="str">
        <f>HYPERLINK("http://141.218.60.56/~jnz1568/getInfo.php?workbook=12_04.xlsx&amp;sheet=A0&amp;row=3917&amp;col=6&amp;number=21.9&amp;sourceID=14","21.9")</f>
        <v>21.9</v>
      </c>
      <c r="G3917" s="4" t="str">
        <f>HYPERLINK("http://141.218.60.56/~jnz1568/getInfo.php?workbook=12_04.xlsx&amp;sheet=A0&amp;row=3917&amp;col=7&amp;number=0&amp;sourceID=14","0")</f>
        <v>0</v>
      </c>
    </row>
    <row r="3918" spans="1:7">
      <c r="A3918" s="3">
        <v>12</v>
      </c>
      <c r="B3918" s="3">
        <v>4</v>
      </c>
      <c r="C3918" s="3">
        <v>82</v>
      </c>
      <c r="D3918" s="3">
        <v>62</v>
      </c>
      <c r="E3918" s="3">
        <v>-2471.459</v>
      </c>
      <c r="F3918" s="4" t="str">
        <f>HYPERLINK("http://141.218.60.56/~jnz1568/getInfo.php?workbook=12_04.xlsx&amp;sheet=A0&amp;row=3918&amp;col=6&amp;number=29800&amp;sourceID=14","29800")</f>
        <v>29800</v>
      </c>
      <c r="G3918" s="4" t="str">
        <f>HYPERLINK("http://141.218.60.56/~jnz1568/getInfo.php?workbook=12_04.xlsx&amp;sheet=A0&amp;row=3918&amp;col=7&amp;number=0&amp;sourceID=14","0")</f>
        <v>0</v>
      </c>
    </row>
    <row r="3919" spans="1:7">
      <c r="A3919" s="3">
        <v>12</v>
      </c>
      <c r="B3919" s="3">
        <v>4</v>
      </c>
      <c r="C3919" s="3">
        <v>83</v>
      </c>
      <c r="D3919" s="3">
        <v>62</v>
      </c>
      <c r="E3919" s="3">
        <v>-2471.154</v>
      </c>
      <c r="F3919" s="4" t="str">
        <f>HYPERLINK("http://141.218.60.56/~jnz1568/getInfo.php?workbook=12_04.xlsx&amp;sheet=A0&amp;row=3919&amp;col=6&amp;number=1.44e-06&amp;sourceID=14","1.44e-06")</f>
        <v>1.44e-06</v>
      </c>
      <c r="G3919" s="4" t="str">
        <f>HYPERLINK("http://141.218.60.56/~jnz1568/getInfo.php?workbook=12_04.xlsx&amp;sheet=A0&amp;row=3919&amp;col=7&amp;number=0&amp;sourceID=14","0")</f>
        <v>0</v>
      </c>
    </row>
    <row r="3920" spans="1:7">
      <c r="A3920" s="3">
        <v>12</v>
      </c>
      <c r="B3920" s="3">
        <v>4</v>
      </c>
      <c r="C3920" s="3">
        <v>84</v>
      </c>
      <c r="D3920" s="3">
        <v>62</v>
      </c>
      <c r="E3920" s="3">
        <v>-2451.466</v>
      </c>
      <c r="F3920" s="4" t="str">
        <f>HYPERLINK("http://141.218.60.56/~jnz1568/getInfo.php?workbook=12_04.xlsx&amp;sheet=A0&amp;row=3920&amp;col=6&amp;number=1.3e-05&amp;sourceID=14","1.3e-05")</f>
        <v>1.3e-05</v>
      </c>
      <c r="G3920" s="4" t="str">
        <f>HYPERLINK("http://141.218.60.56/~jnz1568/getInfo.php?workbook=12_04.xlsx&amp;sheet=A0&amp;row=3920&amp;col=7&amp;number=0&amp;sourceID=14","0")</f>
        <v>0</v>
      </c>
    </row>
    <row r="3921" spans="1:7">
      <c r="A3921" s="3">
        <v>12</v>
      </c>
      <c r="B3921" s="3">
        <v>4</v>
      </c>
      <c r="C3921" s="3">
        <v>85</v>
      </c>
      <c r="D3921" s="3">
        <v>62</v>
      </c>
      <c r="E3921" s="3">
        <v>-2365.748</v>
      </c>
      <c r="F3921" s="4" t="str">
        <f>HYPERLINK("http://141.218.60.56/~jnz1568/getInfo.php?workbook=12_04.xlsx&amp;sheet=A0&amp;row=3921&amp;col=6&amp;number=17.8&amp;sourceID=14","17.8")</f>
        <v>17.8</v>
      </c>
      <c r="G3921" s="4" t="str">
        <f>HYPERLINK("http://141.218.60.56/~jnz1568/getInfo.php?workbook=12_04.xlsx&amp;sheet=A0&amp;row=3921&amp;col=7&amp;number=0&amp;sourceID=14","0")</f>
        <v>0</v>
      </c>
    </row>
    <row r="3922" spans="1:7">
      <c r="A3922" s="3">
        <v>12</v>
      </c>
      <c r="B3922" s="3">
        <v>4</v>
      </c>
      <c r="C3922" s="3">
        <v>86</v>
      </c>
      <c r="D3922" s="3">
        <v>62</v>
      </c>
      <c r="E3922" s="3">
        <v>-2331.55</v>
      </c>
      <c r="F3922" s="4" t="str">
        <f>HYPERLINK("http://141.218.60.56/~jnz1568/getInfo.php?workbook=12_04.xlsx&amp;sheet=A0&amp;row=3922&amp;col=6&amp;number=5.26&amp;sourceID=14","5.26")</f>
        <v>5.26</v>
      </c>
      <c r="G3922" s="4" t="str">
        <f>HYPERLINK("http://141.218.60.56/~jnz1568/getInfo.php?workbook=12_04.xlsx&amp;sheet=A0&amp;row=3922&amp;col=7&amp;number=0&amp;sourceID=14","0")</f>
        <v>0</v>
      </c>
    </row>
    <row r="3923" spans="1:7">
      <c r="A3923" s="3">
        <v>12</v>
      </c>
      <c r="B3923" s="3">
        <v>4</v>
      </c>
      <c r="C3923" s="3">
        <v>87</v>
      </c>
      <c r="D3923" s="3">
        <v>62</v>
      </c>
      <c r="E3923" s="3">
        <v>-2313.641</v>
      </c>
      <c r="F3923" s="4" t="str">
        <f>HYPERLINK("http://141.218.60.56/~jnz1568/getInfo.php?workbook=12_04.xlsx&amp;sheet=A0&amp;row=3923&amp;col=6&amp;number=0.0427&amp;sourceID=14","0.0427")</f>
        <v>0.0427</v>
      </c>
      <c r="G3923" s="4" t="str">
        <f>HYPERLINK("http://141.218.60.56/~jnz1568/getInfo.php?workbook=12_04.xlsx&amp;sheet=A0&amp;row=3923&amp;col=7&amp;number=0&amp;sourceID=14","0")</f>
        <v>0</v>
      </c>
    </row>
    <row r="3924" spans="1:7">
      <c r="A3924" s="3">
        <v>12</v>
      </c>
      <c r="B3924" s="3">
        <v>4</v>
      </c>
      <c r="C3924" s="3">
        <v>88</v>
      </c>
      <c r="D3924" s="3">
        <v>62</v>
      </c>
      <c r="E3924" s="3">
        <v>-2272.473</v>
      </c>
      <c r="F3924" s="4" t="str">
        <f>HYPERLINK("http://141.218.60.56/~jnz1568/getInfo.php?workbook=12_04.xlsx&amp;sheet=A0&amp;row=3924&amp;col=6&amp;number=8.46e-06&amp;sourceID=14","8.46e-06")</f>
        <v>8.46e-06</v>
      </c>
      <c r="G3924" s="4" t="str">
        <f>HYPERLINK("http://141.218.60.56/~jnz1568/getInfo.php?workbook=12_04.xlsx&amp;sheet=A0&amp;row=3924&amp;col=7&amp;number=0&amp;sourceID=14","0")</f>
        <v>0</v>
      </c>
    </row>
    <row r="3925" spans="1:7">
      <c r="A3925" s="3">
        <v>12</v>
      </c>
      <c r="B3925" s="3">
        <v>4</v>
      </c>
      <c r="C3925" s="3">
        <v>89</v>
      </c>
      <c r="D3925" s="3">
        <v>62</v>
      </c>
      <c r="E3925" s="3">
        <v>-2248.812</v>
      </c>
      <c r="F3925" s="4" t="str">
        <f>HYPERLINK("http://141.218.60.56/~jnz1568/getInfo.php?workbook=12_04.xlsx&amp;sheet=A0&amp;row=3925&amp;col=6&amp;number=3.33e-06&amp;sourceID=14","3.33e-06")</f>
        <v>3.33e-06</v>
      </c>
      <c r="G3925" s="4" t="str">
        <f>HYPERLINK("http://141.218.60.56/~jnz1568/getInfo.php?workbook=12_04.xlsx&amp;sheet=A0&amp;row=3925&amp;col=7&amp;number=0&amp;sourceID=14","0")</f>
        <v>0</v>
      </c>
    </row>
    <row r="3926" spans="1:7">
      <c r="A3926" s="3">
        <v>12</v>
      </c>
      <c r="B3926" s="3">
        <v>4</v>
      </c>
      <c r="C3926" s="3">
        <v>90</v>
      </c>
      <c r="D3926" s="3">
        <v>62</v>
      </c>
      <c r="E3926" s="3">
        <v>-2181.41</v>
      </c>
      <c r="F3926" s="4" t="str">
        <f>HYPERLINK("http://141.218.60.56/~jnz1568/getInfo.php?workbook=12_04.xlsx&amp;sheet=A0&amp;row=3926&amp;col=6&amp;number=3.54e-16&amp;sourceID=14","3.54e-16")</f>
        <v>3.54e-16</v>
      </c>
      <c r="G3926" s="4" t="str">
        <f>HYPERLINK("http://141.218.60.56/~jnz1568/getInfo.php?workbook=12_04.xlsx&amp;sheet=A0&amp;row=3926&amp;col=7&amp;number=0&amp;sourceID=14","0")</f>
        <v>0</v>
      </c>
    </row>
    <row r="3927" spans="1:7">
      <c r="A3927" s="3">
        <v>12</v>
      </c>
      <c r="B3927" s="3">
        <v>4</v>
      </c>
      <c r="C3927" s="3">
        <v>91</v>
      </c>
      <c r="D3927" s="3">
        <v>62</v>
      </c>
      <c r="E3927" s="3">
        <v>-2124.905</v>
      </c>
      <c r="F3927" s="4" t="str">
        <f>HYPERLINK("http://141.218.60.56/~jnz1568/getInfo.php?workbook=12_04.xlsx&amp;sheet=A0&amp;row=3927&amp;col=6&amp;number=1.41e-05&amp;sourceID=14","1.41e-05")</f>
        <v>1.41e-05</v>
      </c>
      <c r="G3927" s="4" t="str">
        <f>HYPERLINK("http://141.218.60.56/~jnz1568/getInfo.php?workbook=12_04.xlsx&amp;sheet=A0&amp;row=3927&amp;col=7&amp;number=0&amp;sourceID=14","0")</f>
        <v>0</v>
      </c>
    </row>
    <row r="3928" spans="1:7">
      <c r="A3928" s="3">
        <v>12</v>
      </c>
      <c r="B3928" s="3">
        <v>4</v>
      </c>
      <c r="C3928" s="3">
        <v>92</v>
      </c>
      <c r="D3928" s="3">
        <v>62</v>
      </c>
      <c r="E3928" s="3">
        <v>-2112.026</v>
      </c>
      <c r="F3928" s="4" t="str">
        <f>HYPERLINK("http://141.218.60.56/~jnz1568/getInfo.php?workbook=12_04.xlsx&amp;sheet=A0&amp;row=3928&amp;col=6&amp;number=1.16e-06&amp;sourceID=14","1.16e-06")</f>
        <v>1.16e-06</v>
      </c>
      <c r="G3928" s="4" t="str">
        <f>HYPERLINK("http://141.218.60.56/~jnz1568/getInfo.php?workbook=12_04.xlsx&amp;sheet=A0&amp;row=3928&amp;col=7&amp;number=0&amp;sourceID=14","0")</f>
        <v>0</v>
      </c>
    </row>
    <row r="3929" spans="1:7">
      <c r="A3929" s="3">
        <v>12</v>
      </c>
      <c r="B3929" s="3">
        <v>4</v>
      </c>
      <c r="C3929" s="3">
        <v>93</v>
      </c>
      <c r="D3929" s="3">
        <v>62</v>
      </c>
      <c r="E3929" s="3">
        <v>-2100.359</v>
      </c>
      <c r="F3929" s="4" t="str">
        <f>HYPERLINK("http://141.218.60.56/~jnz1568/getInfo.php?workbook=12_04.xlsx&amp;sheet=A0&amp;row=3929&amp;col=6&amp;number=1630000&amp;sourceID=14","1630000")</f>
        <v>1630000</v>
      </c>
      <c r="G3929" s="4" t="str">
        <f>HYPERLINK("http://141.218.60.56/~jnz1568/getInfo.php?workbook=12_04.xlsx&amp;sheet=A0&amp;row=3929&amp;col=7&amp;number=0&amp;sourceID=14","0")</f>
        <v>0</v>
      </c>
    </row>
    <row r="3930" spans="1:7">
      <c r="A3930" s="3">
        <v>12</v>
      </c>
      <c r="B3930" s="3">
        <v>4</v>
      </c>
      <c r="C3930" s="3">
        <v>94</v>
      </c>
      <c r="D3930" s="3">
        <v>62</v>
      </c>
      <c r="E3930" s="3">
        <v>-2058.549</v>
      </c>
      <c r="F3930" s="4" t="str">
        <f>HYPERLINK("http://141.218.60.56/~jnz1568/getInfo.php?workbook=12_04.xlsx&amp;sheet=A0&amp;row=3930&amp;col=6&amp;number=1450000&amp;sourceID=14","1450000")</f>
        <v>1450000</v>
      </c>
      <c r="G3930" s="4" t="str">
        <f>HYPERLINK("http://141.218.60.56/~jnz1568/getInfo.php?workbook=12_04.xlsx&amp;sheet=A0&amp;row=3930&amp;col=7&amp;number=0&amp;sourceID=14","0")</f>
        <v>0</v>
      </c>
    </row>
    <row r="3931" spans="1:7">
      <c r="A3931" s="3">
        <v>12</v>
      </c>
      <c r="B3931" s="3">
        <v>4</v>
      </c>
      <c r="C3931" s="3">
        <v>95</v>
      </c>
      <c r="D3931" s="3">
        <v>62</v>
      </c>
      <c r="E3931" s="3">
        <v>-2032.028</v>
      </c>
      <c r="F3931" s="4" t="str">
        <f>HYPERLINK("http://141.218.60.56/~jnz1568/getInfo.php?workbook=12_04.xlsx&amp;sheet=A0&amp;row=3931&amp;col=6&amp;number=8690000&amp;sourceID=14","8690000")</f>
        <v>8690000</v>
      </c>
      <c r="G3931" s="4" t="str">
        <f>HYPERLINK("http://141.218.60.56/~jnz1568/getInfo.php?workbook=12_04.xlsx&amp;sheet=A0&amp;row=3931&amp;col=7&amp;number=0&amp;sourceID=14","0")</f>
        <v>0</v>
      </c>
    </row>
    <row r="3932" spans="1:7">
      <c r="A3932" s="3">
        <v>12</v>
      </c>
      <c r="B3932" s="3">
        <v>4</v>
      </c>
      <c r="C3932" s="3">
        <v>96</v>
      </c>
      <c r="D3932" s="3">
        <v>62</v>
      </c>
      <c r="E3932" s="3">
        <v>-2008.076</v>
      </c>
      <c r="F3932" s="4" t="str">
        <f>HYPERLINK("http://141.218.60.56/~jnz1568/getInfo.php?workbook=12_04.xlsx&amp;sheet=A0&amp;row=3932&amp;col=6&amp;number=1030000&amp;sourceID=14","1030000")</f>
        <v>1030000</v>
      </c>
      <c r="G3932" s="4" t="str">
        <f>HYPERLINK("http://141.218.60.56/~jnz1568/getInfo.php?workbook=12_04.xlsx&amp;sheet=A0&amp;row=3932&amp;col=7&amp;number=0&amp;sourceID=14","0")</f>
        <v>0</v>
      </c>
    </row>
    <row r="3933" spans="1:7">
      <c r="A3933" s="3">
        <v>12</v>
      </c>
      <c r="B3933" s="3">
        <v>4</v>
      </c>
      <c r="C3933" s="3">
        <v>97</v>
      </c>
      <c r="D3933" s="3">
        <v>62</v>
      </c>
      <c r="E3933" s="3">
        <v>-1912.196</v>
      </c>
      <c r="F3933" s="4" t="str">
        <f>HYPERLINK("http://141.218.60.56/~jnz1568/getInfo.php?workbook=12_04.xlsx&amp;sheet=A0&amp;row=3933&amp;col=6&amp;number=2.49&amp;sourceID=14","2.49")</f>
        <v>2.49</v>
      </c>
      <c r="G3933" s="4" t="str">
        <f>HYPERLINK("http://141.218.60.56/~jnz1568/getInfo.php?workbook=12_04.xlsx&amp;sheet=A0&amp;row=3933&amp;col=7&amp;number=0&amp;sourceID=14","0")</f>
        <v>0</v>
      </c>
    </row>
    <row r="3934" spans="1:7">
      <c r="A3934" s="3">
        <v>12</v>
      </c>
      <c r="B3934" s="3">
        <v>4</v>
      </c>
      <c r="C3934" s="3">
        <v>98</v>
      </c>
      <c r="D3934" s="3">
        <v>62</v>
      </c>
      <c r="E3934" s="3">
        <v>-1869.442</v>
      </c>
      <c r="F3934" s="4" t="str">
        <f>HYPERLINK("http://141.218.60.56/~jnz1568/getInfo.php?workbook=12_04.xlsx&amp;sheet=A0&amp;row=3934&amp;col=6&amp;number=1.76&amp;sourceID=14","1.76")</f>
        <v>1.76</v>
      </c>
      <c r="G3934" s="4" t="str">
        <f>HYPERLINK("http://141.218.60.56/~jnz1568/getInfo.php?workbook=12_04.xlsx&amp;sheet=A0&amp;row=3934&amp;col=7&amp;number=0&amp;sourceID=14","0")</f>
        <v>0</v>
      </c>
    </row>
    <row r="3935" spans="1:7">
      <c r="A3935" s="3">
        <v>12</v>
      </c>
      <c r="B3935" s="3">
        <v>4</v>
      </c>
      <c r="C3935" s="3">
        <v>64</v>
      </c>
      <c r="D3935" s="3">
        <v>63</v>
      </c>
      <c r="E3935" s="3">
        <v>-16028.239</v>
      </c>
      <c r="F3935" s="4" t="str">
        <f>HYPERLINK("http://141.218.60.56/~jnz1568/getInfo.php?workbook=12_04.xlsx&amp;sheet=A0&amp;row=3935&amp;col=6&amp;number=0.229&amp;sourceID=14","0.229")</f>
        <v>0.229</v>
      </c>
      <c r="G3935" s="4" t="str">
        <f>HYPERLINK("http://141.218.60.56/~jnz1568/getInfo.php?workbook=12_04.xlsx&amp;sheet=A0&amp;row=3935&amp;col=7&amp;number=0&amp;sourceID=14","0")</f>
        <v>0</v>
      </c>
    </row>
    <row r="3936" spans="1:7">
      <c r="A3936" s="3">
        <v>12</v>
      </c>
      <c r="B3936" s="3">
        <v>4</v>
      </c>
      <c r="C3936" s="3">
        <v>65</v>
      </c>
      <c r="D3936" s="3">
        <v>63</v>
      </c>
      <c r="E3936" s="3">
        <v>-7264.288</v>
      </c>
      <c r="F3936" s="4" t="str">
        <f>HYPERLINK("http://141.218.60.56/~jnz1568/getInfo.php?workbook=12_04.xlsx&amp;sheet=A0&amp;row=3936&amp;col=6&amp;number=24600&amp;sourceID=14","24600")</f>
        <v>24600</v>
      </c>
      <c r="G3936" s="4" t="str">
        <f>HYPERLINK("http://141.218.60.56/~jnz1568/getInfo.php?workbook=12_04.xlsx&amp;sheet=A0&amp;row=3936&amp;col=7&amp;number=0&amp;sourceID=14","0")</f>
        <v>0</v>
      </c>
    </row>
    <row r="3937" spans="1:7">
      <c r="A3937" s="3">
        <v>12</v>
      </c>
      <c r="B3937" s="3">
        <v>4</v>
      </c>
      <c r="C3937" s="3">
        <v>66</v>
      </c>
      <c r="D3937" s="3">
        <v>63</v>
      </c>
      <c r="E3937" s="3">
        <v>-6128.213</v>
      </c>
      <c r="F3937" s="4" t="str">
        <f>HYPERLINK("http://141.218.60.56/~jnz1568/getInfo.php?workbook=12_04.xlsx&amp;sheet=A0&amp;row=3937&amp;col=6&amp;number=201000&amp;sourceID=14","201000")</f>
        <v>201000</v>
      </c>
      <c r="G3937" s="4" t="str">
        <f>HYPERLINK("http://141.218.60.56/~jnz1568/getInfo.php?workbook=12_04.xlsx&amp;sheet=A0&amp;row=3937&amp;col=7&amp;number=0&amp;sourceID=14","0")</f>
        <v>0</v>
      </c>
    </row>
    <row r="3938" spans="1:7">
      <c r="A3938" s="3">
        <v>12</v>
      </c>
      <c r="B3938" s="3">
        <v>4</v>
      </c>
      <c r="C3938" s="3">
        <v>67</v>
      </c>
      <c r="D3938" s="3">
        <v>63</v>
      </c>
      <c r="E3938" s="3">
        <v>-5963.396</v>
      </c>
      <c r="F3938" s="4" t="str">
        <f>HYPERLINK("http://141.218.60.56/~jnz1568/getInfo.php?workbook=12_04.xlsx&amp;sheet=A0&amp;row=3938&amp;col=6&amp;number=2600000&amp;sourceID=14","2600000")</f>
        <v>2600000</v>
      </c>
      <c r="G3938" s="4" t="str">
        <f>HYPERLINK("http://141.218.60.56/~jnz1568/getInfo.php?workbook=12_04.xlsx&amp;sheet=A0&amp;row=3938&amp;col=7&amp;number=0&amp;sourceID=14","0")</f>
        <v>0</v>
      </c>
    </row>
    <row r="3939" spans="1:7">
      <c r="A3939" s="3">
        <v>12</v>
      </c>
      <c r="B3939" s="3">
        <v>4</v>
      </c>
      <c r="C3939" s="3">
        <v>68</v>
      </c>
      <c r="D3939" s="3">
        <v>63</v>
      </c>
      <c r="E3939" s="3">
        <v>-5205.903</v>
      </c>
      <c r="F3939" s="4" t="str">
        <f>HYPERLINK("http://141.218.60.56/~jnz1568/getInfo.php?workbook=12_04.xlsx&amp;sheet=A0&amp;row=3939&amp;col=6&amp;number=31100000&amp;sourceID=14","31100000")</f>
        <v>31100000</v>
      </c>
      <c r="G3939" s="4" t="str">
        <f>HYPERLINK("http://141.218.60.56/~jnz1568/getInfo.php?workbook=12_04.xlsx&amp;sheet=A0&amp;row=3939&amp;col=7&amp;number=0&amp;sourceID=14","0")</f>
        <v>0</v>
      </c>
    </row>
    <row r="3940" spans="1:7">
      <c r="A3940" s="3">
        <v>12</v>
      </c>
      <c r="B3940" s="3">
        <v>4</v>
      </c>
      <c r="C3940" s="3">
        <v>69</v>
      </c>
      <c r="D3940" s="3">
        <v>63</v>
      </c>
      <c r="E3940" s="3">
        <v>-4523.872</v>
      </c>
      <c r="F3940" s="4" t="str">
        <f>HYPERLINK("http://141.218.60.56/~jnz1568/getInfo.php?workbook=12_04.xlsx&amp;sheet=A0&amp;row=3940&amp;col=6&amp;number=1110000&amp;sourceID=14","1110000")</f>
        <v>1110000</v>
      </c>
      <c r="G3940" s="4" t="str">
        <f>HYPERLINK("http://141.218.60.56/~jnz1568/getInfo.php?workbook=12_04.xlsx&amp;sheet=A0&amp;row=3940&amp;col=7&amp;number=0&amp;sourceID=14","0")</f>
        <v>0</v>
      </c>
    </row>
    <row r="3941" spans="1:7">
      <c r="A3941" s="3">
        <v>12</v>
      </c>
      <c r="B3941" s="3">
        <v>4</v>
      </c>
      <c r="C3941" s="3">
        <v>70</v>
      </c>
      <c r="D3941" s="3">
        <v>63</v>
      </c>
      <c r="E3941" s="3">
        <v>-4398.126</v>
      </c>
      <c r="F3941" s="4" t="str">
        <f>HYPERLINK("http://141.218.60.56/~jnz1568/getInfo.php?workbook=12_04.xlsx&amp;sheet=A0&amp;row=3941&amp;col=6&amp;number=7.02e-05&amp;sourceID=14","7.02e-05")</f>
        <v>7.02e-05</v>
      </c>
      <c r="G3941" s="4" t="str">
        <f>HYPERLINK("http://141.218.60.56/~jnz1568/getInfo.php?workbook=12_04.xlsx&amp;sheet=A0&amp;row=3941&amp;col=7&amp;number=0&amp;sourceID=14","0")</f>
        <v>0</v>
      </c>
    </row>
    <row r="3942" spans="1:7">
      <c r="A3942" s="3">
        <v>12</v>
      </c>
      <c r="B3942" s="3">
        <v>4</v>
      </c>
      <c r="C3942" s="3">
        <v>71</v>
      </c>
      <c r="D3942" s="3">
        <v>63</v>
      </c>
      <c r="E3942" s="3">
        <v>-4053.842</v>
      </c>
      <c r="F3942" s="4" t="str">
        <f>HYPERLINK("http://141.218.60.56/~jnz1568/getInfo.php?workbook=12_04.xlsx&amp;sheet=A0&amp;row=3942&amp;col=6&amp;number=56800000&amp;sourceID=14","56800000")</f>
        <v>56800000</v>
      </c>
      <c r="G3942" s="4" t="str">
        <f>HYPERLINK("http://141.218.60.56/~jnz1568/getInfo.php?workbook=12_04.xlsx&amp;sheet=A0&amp;row=3942&amp;col=7&amp;number=0&amp;sourceID=14","0")</f>
        <v>0</v>
      </c>
    </row>
    <row r="3943" spans="1:7">
      <c r="A3943" s="3">
        <v>12</v>
      </c>
      <c r="B3943" s="3">
        <v>4</v>
      </c>
      <c r="C3943" s="3">
        <v>72</v>
      </c>
      <c r="D3943" s="3">
        <v>63</v>
      </c>
      <c r="E3943" s="3">
        <v>-3978.523</v>
      </c>
      <c r="F3943" s="4" t="str">
        <f>HYPERLINK("http://141.218.60.56/~jnz1568/getInfo.php?workbook=12_04.xlsx&amp;sheet=A0&amp;row=3943&amp;col=6&amp;number=62600000&amp;sourceID=14","62600000")</f>
        <v>62600000</v>
      </c>
      <c r="G3943" s="4" t="str">
        <f>HYPERLINK("http://141.218.60.56/~jnz1568/getInfo.php?workbook=12_04.xlsx&amp;sheet=A0&amp;row=3943&amp;col=7&amp;number=0&amp;sourceID=14","0")</f>
        <v>0</v>
      </c>
    </row>
    <row r="3944" spans="1:7">
      <c r="A3944" s="3">
        <v>12</v>
      </c>
      <c r="B3944" s="3">
        <v>4</v>
      </c>
      <c r="C3944" s="3">
        <v>73</v>
      </c>
      <c r="D3944" s="3">
        <v>63</v>
      </c>
      <c r="E3944" s="3">
        <v>-3549.756</v>
      </c>
      <c r="F3944" s="4" t="str">
        <f>HYPERLINK("http://141.218.60.56/~jnz1568/getInfo.php?workbook=12_04.xlsx&amp;sheet=A0&amp;row=3944&amp;col=6&amp;number=0.276&amp;sourceID=14","0.276")</f>
        <v>0.276</v>
      </c>
      <c r="G3944" s="4" t="str">
        <f>HYPERLINK("http://141.218.60.56/~jnz1568/getInfo.php?workbook=12_04.xlsx&amp;sheet=A0&amp;row=3944&amp;col=7&amp;number=0&amp;sourceID=14","0")</f>
        <v>0</v>
      </c>
    </row>
    <row r="3945" spans="1:7">
      <c r="A3945" s="3">
        <v>12</v>
      </c>
      <c r="B3945" s="3">
        <v>4</v>
      </c>
      <c r="C3945" s="3">
        <v>74</v>
      </c>
      <c r="D3945" s="3">
        <v>63</v>
      </c>
      <c r="E3945" s="3">
        <v>-3324.364</v>
      </c>
      <c r="F3945" s="4" t="str">
        <f>HYPERLINK("http://141.218.60.56/~jnz1568/getInfo.php?workbook=12_04.xlsx&amp;sheet=A0&amp;row=3945&amp;col=6&amp;number=3.4&amp;sourceID=14","3.4")</f>
        <v>3.4</v>
      </c>
      <c r="G3945" s="4" t="str">
        <f>HYPERLINK("http://141.218.60.56/~jnz1568/getInfo.php?workbook=12_04.xlsx&amp;sheet=A0&amp;row=3945&amp;col=7&amp;number=0&amp;sourceID=14","0")</f>
        <v>0</v>
      </c>
    </row>
    <row r="3946" spans="1:7">
      <c r="A3946" s="3">
        <v>12</v>
      </c>
      <c r="B3946" s="3">
        <v>4</v>
      </c>
      <c r="C3946" s="3">
        <v>75</v>
      </c>
      <c r="D3946" s="3">
        <v>63</v>
      </c>
      <c r="E3946" s="3">
        <v>-3259.14</v>
      </c>
      <c r="F3946" s="4" t="str">
        <f>HYPERLINK("http://141.218.60.56/~jnz1568/getInfo.php?workbook=12_04.xlsx&amp;sheet=A0&amp;row=3946&amp;col=6&amp;number=0.0829&amp;sourceID=14","0.0829")</f>
        <v>0.0829</v>
      </c>
      <c r="G3946" s="4" t="str">
        <f>HYPERLINK("http://141.218.60.56/~jnz1568/getInfo.php?workbook=12_04.xlsx&amp;sheet=A0&amp;row=3946&amp;col=7&amp;number=0&amp;sourceID=14","0")</f>
        <v>0</v>
      </c>
    </row>
    <row r="3947" spans="1:7">
      <c r="A3947" s="3">
        <v>12</v>
      </c>
      <c r="B3947" s="3">
        <v>4</v>
      </c>
      <c r="C3947" s="3">
        <v>76</v>
      </c>
      <c r="D3947" s="3">
        <v>63</v>
      </c>
      <c r="E3947" s="3">
        <v>-3148.72</v>
      </c>
      <c r="F3947" s="4" t="str">
        <f>HYPERLINK("http://141.218.60.56/~jnz1568/getInfo.php?workbook=12_04.xlsx&amp;sheet=A0&amp;row=3947&amp;col=6&amp;number=853000&amp;sourceID=14","853000")</f>
        <v>853000</v>
      </c>
      <c r="G3947" s="4" t="str">
        <f>HYPERLINK("http://141.218.60.56/~jnz1568/getInfo.php?workbook=12_04.xlsx&amp;sheet=A0&amp;row=3947&amp;col=7&amp;number=0&amp;sourceID=14","0")</f>
        <v>0</v>
      </c>
    </row>
    <row r="3948" spans="1:7">
      <c r="A3948" s="3">
        <v>12</v>
      </c>
      <c r="B3948" s="3">
        <v>4</v>
      </c>
      <c r="C3948" s="3">
        <v>77</v>
      </c>
      <c r="D3948" s="3">
        <v>63</v>
      </c>
      <c r="E3948" s="3">
        <v>-3100.204</v>
      </c>
      <c r="F3948" s="4" t="str">
        <f>HYPERLINK("http://141.218.60.56/~jnz1568/getInfo.php?workbook=12_04.xlsx&amp;sheet=A0&amp;row=3948&amp;col=6&amp;number=30.6&amp;sourceID=14","30.6")</f>
        <v>30.6</v>
      </c>
      <c r="G3948" s="4" t="str">
        <f>HYPERLINK("http://141.218.60.56/~jnz1568/getInfo.php?workbook=12_04.xlsx&amp;sheet=A0&amp;row=3948&amp;col=7&amp;number=0&amp;sourceID=14","0")</f>
        <v>0</v>
      </c>
    </row>
    <row r="3949" spans="1:7">
      <c r="A3949" s="3">
        <v>12</v>
      </c>
      <c r="B3949" s="3">
        <v>4</v>
      </c>
      <c r="C3949" s="3">
        <v>78</v>
      </c>
      <c r="D3949" s="3">
        <v>63</v>
      </c>
      <c r="E3949" s="3">
        <v>-2836.08</v>
      </c>
      <c r="F3949" s="4" t="str">
        <f>HYPERLINK("http://141.218.60.56/~jnz1568/getInfo.php?workbook=12_04.xlsx&amp;sheet=A0&amp;row=3949&amp;col=6&amp;number=4.38&amp;sourceID=14","4.38")</f>
        <v>4.38</v>
      </c>
      <c r="G3949" s="4" t="str">
        <f>HYPERLINK("http://141.218.60.56/~jnz1568/getInfo.php?workbook=12_04.xlsx&amp;sheet=A0&amp;row=3949&amp;col=7&amp;number=0&amp;sourceID=14","0")</f>
        <v>0</v>
      </c>
    </row>
    <row r="3950" spans="1:7">
      <c r="A3950" s="3">
        <v>12</v>
      </c>
      <c r="B3950" s="3">
        <v>4</v>
      </c>
      <c r="C3950" s="3">
        <v>79</v>
      </c>
      <c r="D3950" s="3">
        <v>63</v>
      </c>
      <c r="E3950" s="3">
        <v>-2787.151</v>
      </c>
      <c r="F3950" s="4" t="str">
        <f>HYPERLINK("http://141.218.60.56/~jnz1568/getInfo.php?workbook=12_04.xlsx&amp;sheet=A0&amp;row=3950&amp;col=6&amp;number=15.4&amp;sourceID=14","15.4")</f>
        <v>15.4</v>
      </c>
      <c r="G3950" s="4" t="str">
        <f>HYPERLINK("http://141.218.60.56/~jnz1568/getInfo.php?workbook=12_04.xlsx&amp;sheet=A0&amp;row=3950&amp;col=7&amp;number=0&amp;sourceID=14","0")</f>
        <v>0</v>
      </c>
    </row>
    <row r="3951" spans="1:7">
      <c r="A3951" s="3">
        <v>12</v>
      </c>
      <c r="B3951" s="3">
        <v>4</v>
      </c>
      <c r="C3951" s="3">
        <v>80</v>
      </c>
      <c r="D3951" s="3">
        <v>63</v>
      </c>
      <c r="E3951" s="3">
        <v>-2693.97</v>
      </c>
      <c r="F3951" s="4" t="str">
        <f>HYPERLINK("http://141.218.60.56/~jnz1568/getInfo.php?workbook=12_04.xlsx&amp;sheet=A0&amp;row=3951&amp;col=6&amp;number=180000&amp;sourceID=14","180000")</f>
        <v>180000</v>
      </c>
      <c r="G3951" s="4" t="str">
        <f>HYPERLINK("http://141.218.60.56/~jnz1568/getInfo.php?workbook=12_04.xlsx&amp;sheet=A0&amp;row=3951&amp;col=7&amp;number=0&amp;sourceID=14","0")</f>
        <v>0</v>
      </c>
    </row>
    <row r="3952" spans="1:7">
      <c r="A3952" s="3">
        <v>12</v>
      </c>
      <c r="B3952" s="3">
        <v>4</v>
      </c>
      <c r="C3952" s="3">
        <v>81</v>
      </c>
      <c r="D3952" s="3">
        <v>63</v>
      </c>
      <c r="E3952" s="3">
        <v>-2692.012</v>
      </c>
      <c r="F3952" s="4" t="str">
        <f>HYPERLINK("http://141.218.60.56/~jnz1568/getInfo.php?workbook=12_04.xlsx&amp;sheet=A0&amp;row=3952&amp;col=6&amp;number=68.8&amp;sourceID=14","68.8")</f>
        <v>68.8</v>
      </c>
      <c r="G3952" s="4" t="str">
        <f>HYPERLINK("http://141.218.60.56/~jnz1568/getInfo.php?workbook=12_04.xlsx&amp;sheet=A0&amp;row=3952&amp;col=7&amp;number=0&amp;sourceID=14","0")</f>
        <v>0</v>
      </c>
    </row>
    <row r="3953" spans="1:7">
      <c r="A3953" s="3">
        <v>12</v>
      </c>
      <c r="B3953" s="3">
        <v>4</v>
      </c>
      <c r="C3953" s="3">
        <v>82</v>
      </c>
      <c r="D3953" s="3">
        <v>63</v>
      </c>
      <c r="E3953" s="3">
        <v>-2667.952</v>
      </c>
      <c r="F3953" s="4" t="str">
        <f>HYPERLINK("http://141.218.60.56/~jnz1568/getInfo.php?workbook=12_04.xlsx&amp;sheet=A0&amp;row=3953&amp;col=6&amp;number=17500&amp;sourceID=14","17500")</f>
        <v>17500</v>
      </c>
      <c r="G3953" s="4" t="str">
        <f>HYPERLINK("http://141.218.60.56/~jnz1568/getInfo.php?workbook=12_04.xlsx&amp;sheet=A0&amp;row=3953&amp;col=7&amp;number=0&amp;sourceID=14","0")</f>
        <v>0</v>
      </c>
    </row>
    <row r="3954" spans="1:7">
      <c r="A3954" s="3">
        <v>12</v>
      </c>
      <c r="B3954" s="3">
        <v>4</v>
      </c>
      <c r="C3954" s="3">
        <v>83</v>
      </c>
      <c r="D3954" s="3">
        <v>63</v>
      </c>
      <c r="E3954" s="3">
        <v>-2667.596</v>
      </c>
      <c r="F3954" s="4" t="str">
        <f>HYPERLINK("http://141.218.60.56/~jnz1568/getInfo.php?workbook=12_04.xlsx&amp;sheet=A0&amp;row=3954&amp;col=6&amp;number=108000&amp;sourceID=14","108000")</f>
        <v>108000</v>
      </c>
      <c r="G3954" s="4" t="str">
        <f>HYPERLINK("http://141.218.60.56/~jnz1568/getInfo.php?workbook=12_04.xlsx&amp;sheet=A0&amp;row=3954&amp;col=7&amp;number=0&amp;sourceID=14","0")</f>
        <v>0</v>
      </c>
    </row>
    <row r="3955" spans="1:7">
      <c r="A3955" s="3">
        <v>12</v>
      </c>
      <c r="B3955" s="3">
        <v>4</v>
      </c>
      <c r="C3955" s="3">
        <v>84</v>
      </c>
      <c r="D3955" s="3">
        <v>63</v>
      </c>
      <c r="E3955" s="3">
        <v>-2644.668</v>
      </c>
      <c r="F3955" s="4" t="str">
        <f>HYPERLINK("http://141.218.60.56/~jnz1568/getInfo.php?workbook=12_04.xlsx&amp;sheet=A0&amp;row=3955&amp;col=6&amp;number=4.24e-06&amp;sourceID=14","4.24e-06")</f>
        <v>4.24e-06</v>
      </c>
      <c r="G3955" s="4" t="str">
        <f>HYPERLINK("http://141.218.60.56/~jnz1568/getInfo.php?workbook=12_04.xlsx&amp;sheet=A0&amp;row=3955&amp;col=7&amp;number=0&amp;sourceID=14","0")</f>
        <v>0</v>
      </c>
    </row>
    <row r="3956" spans="1:7">
      <c r="A3956" s="3">
        <v>12</v>
      </c>
      <c r="B3956" s="3">
        <v>4</v>
      </c>
      <c r="C3956" s="3">
        <v>85</v>
      </c>
      <c r="D3956" s="3">
        <v>63</v>
      </c>
      <c r="E3956" s="3">
        <v>-2545.182</v>
      </c>
      <c r="F3956" s="4" t="str">
        <f>HYPERLINK("http://141.218.60.56/~jnz1568/getInfo.php?workbook=12_04.xlsx&amp;sheet=A0&amp;row=3956&amp;col=6&amp;number=63&amp;sourceID=14","63")</f>
        <v>63</v>
      </c>
      <c r="G3956" s="4" t="str">
        <f>HYPERLINK("http://141.218.60.56/~jnz1568/getInfo.php?workbook=12_04.xlsx&amp;sheet=A0&amp;row=3956&amp;col=7&amp;number=0&amp;sourceID=14","0")</f>
        <v>0</v>
      </c>
    </row>
    <row r="3957" spans="1:7">
      <c r="A3957" s="3">
        <v>12</v>
      </c>
      <c r="B3957" s="3">
        <v>4</v>
      </c>
      <c r="C3957" s="3">
        <v>86</v>
      </c>
      <c r="D3957" s="3">
        <v>63</v>
      </c>
      <c r="E3957" s="3">
        <v>-2505.642</v>
      </c>
      <c r="F3957" s="4" t="str">
        <f>HYPERLINK("http://141.218.60.56/~jnz1568/getInfo.php?workbook=12_04.xlsx&amp;sheet=A0&amp;row=3957&amp;col=6&amp;number=78.3&amp;sourceID=14","78.3")</f>
        <v>78.3</v>
      </c>
      <c r="G3957" s="4" t="str">
        <f>HYPERLINK("http://141.218.60.56/~jnz1568/getInfo.php?workbook=12_04.xlsx&amp;sheet=A0&amp;row=3957&amp;col=7&amp;number=0&amp;sourceID=14","0")</f>
        <v>0</v>
      </c>
    </row>
    <row r="3958" spans="1:7">
      <c r="A3958" s="3">
        <v>12</v>
      </c>
      <c r="B3958" s="3">
        <v>4</v>
      </c>
      <c r="C3958" s="3">
        <v>87</v>
      </c>
      <c r="D3958" s="3">
        <v>63</v>
      </c>
      <c r="E3958" s="3">
        <v>-2484.97</v>
      </c>
      <c r="F3958" s="4" t="str">
        <f>HYPERLINK("http://141.218.60.56/~jnz1568/getInfo.php?workbook=12_04.xlsx&amp;sheet=A0&amp;row=3958&amp;col=6&amp;number=83.3&amp;sourceID=14","83.3")</f>
        <v>83.3</v>
      </c>
      <c r="G3958" s="4" t="str">
        <f>HYPERLINK("http://141.218.60.56/~jnz1568/getInfo.php?workbook=12_04.xlsx&amp;sheet=A0&amp;row=3958&amp;col=7&amp;number=0&amp;sourceID=14","0")</f>
        <v>0</v>
      </c>
    </row>
    <row r="3959" spans="1:7">
      <c r="A3959" s="3">
        <v>12</v>
      </c>
      <c r="B3959" s="3">
        <v>4</v>
      </c>
      <c r="C3959" s="3">
        <v>88</v>
      </c>
      <c r="D3959" s="3">
        <v>63</v>
      </c>
      <c r="E3959" s="3">
        <v>-2437.543</v>
      </c>
      <c r="F3959" s="4" t="str">
        <f>HYPERLINK("http://141.218.60.56/~jnz1568/getInfo.php?workbook=12_04.xlsx&amp;sheet=A0&amp;row=3959&amp;col=6&amp;number=761&amp;sourceID=14","761")</f>
        <v>761</v>
      </c>
      <c r="G3959" s="4" t="str">
        <f>HYPERLINK("http://141.218.60.56/~jnz1568/getInfo.php?workbook=12_04.xlsx&amp;sheet=A0&amp;row=3959&amp;col=7&amp;number=0&amp;sourceID=14","0")</f>
        <v>0</v>
      </c>
    </row>
    <row r="3960" spans="1:7">
      <c r="A3960" s="3">
        <v>12</v>
      </c>
      <c r="B3960" s="3">
        <v>4</v>
      </c>
      <c r="C3960" s="3">
        <v>89</v>
      </c>
      <c r="D3960" s="3">
        <v>63</v>
      </c>
      <c r="E3960" s="3">
        <v>-2410.34</v>
      </c>
      <c r="F3960" s="4" t="str">
        <f>HYPERLINK("http://141.218.60.56/~jnz1568/getInfo.php?workbook=12_04.xlsx&amp;sheet=A0&amp;row=3960&amp;col=6&amp;number=1.51e-05&amp;sourceID=14","1.51e-05")</f>
        <v>1.51e-05</v>
      </c>
      <c r="G3960" s="4" t="str">
        <f>HYPERLINK("http://141.218.60.56/~jnz1568/getInfo.php?workbook=12_04.xlsx&amp;sheet=A0&amp;row=3960&amp;col=7&amp;number=0&amp;sourceID=14","0")</f>
        <v>0</v>
      </c>
    </row>
    <row r="3961" spans="1:7">
      <c r="A3961" s="3">
        <v>12</v>
      </c>
      <c r="B3961" s="3">
        <v>4</v>
      </c>
      <c r="C3961" s="3">
        <v>90</v>
      </c>
      <c r="D3961" s="3">
        <v>63</v>
      </c>
      <c r="E3961" s="3">
        <v>-2333.073</v>
      </c>
      <c r="F3961" s="4" t="str">
        <f>HYPERLINK("http://141.218.60.56/~jnz1568/getInfo.php?workbook=12_04.xlsx&amp;sheet=A0&amp;row=3961&amp;col=6&amp;number=2.01e-05&amp;sourceID=14","2.01e-05")</f>
        <v>2.01e-05</v>
      </c>
      <c r="G3961" s="4" t="str">
        <f>HYPERLINK("http://141.218.60.56/~jnz1568/getInfo.php?workbook=12_04.xlsx&amp;sheet=A0&amp;row=3961&amp;col=7&amp;number=0&amp;sourceID=14","0")</f>
        <v>0</v>
      </c>
    </row>
    <row r="3962" spans="1:7">
      <c r="A3962" s="3">
        <v>12</v>
      </c>
      <c r="B3962" s="3">
        <v>4</v>
      </c>
      <c r="C3962" s="3">
        <v>91</v>
      </c>
      <c r="D3962" s="3">
        <v>63</v>
      </c>
      <c r="E3962" s="3">
        <v>-2268.555</v>
      </c>
      <c r="F3962" s="4" t="str">
        <f>HYPERLINK("http://141.218.60.56/~jnz1568/getInfo.php?workbook=12_04.xlsx&amp;sheet=A0&amp;row=3962&amp;col=6&amp;number=3120000&amp;sourceID=14","3120000")</f>
        <v>3120000</v>
      </c>
      <c r="G3962" s="4" t="str">
        <f>HYPERLINK("http://141.218.60.56/~jnz1568/getInfo.php?workbook=12_04.xlsx&amp;sheet=A0&amp;row=3962&amp;col=7&amp;number=0&amp;sourceID=14","0")</f>
        <v>0</v>
      </c>
    </row>
    <row r="3963" spans="1:7">
      <c r="A3963" s="3">
        <v>12</v>
      </c>
      <c r="B3963" s="3">
        <v>4</v>
      </c>
      <c r="C3963" s="3">
        <v>92</v>
      </c>
      <c r="D3963" s="3">
        <v>63</v>
      </c>
      <c r="E3963" s="3">
        <v>-2253.881</v>
      </c>
      <c r="F3963" s="4" t="str">
        <f>HYPERLINK("http://141.218.60.56/~jnz1568/getInfo.php?workbook=12_04.xlsx&amp;sheet=A0&amp;row=3963&amp;col=6&amp;number=5.6e-07&amp;sourceID=14","5.6e-07")</f>
        <v>5.6e-07</v>
      </c>
      <c r="G3963" s="4" t="str">
        <f>HYPERLINK("http://141.218.60.56/~jnz1568/getInfo.php?workbook=12_04.xlsx&amp;sheet=A0&amp;row=3963&amp;col=7&amp;number=0&amp;sourceID=14","0")</f>
        <v>0</v>
      </c>
    </row>
    <row r="3964" spans="1:7">
      <c r="A3964" s="3">
        <v>12</v>
      </c>
      <c r="B3964" s="3">
        <v>4</v>
      </c>
      <c r="C3964" s="3">
        <v>93</v>
      </c>
      <c r="D3964" s="3">
        <v>63</v>
      </c>
      <c r="E3964" s="3">
        <v>-2240.599</v>
      </c>
      <c r="F3964" s="4" t="str">
        <f>HYPERLINK("http://141.218.60.56/~jnz1568/getInfo.php?workbook=12_04.xlsx&amp;sheet=A0&amp;row=3964&amp;col=6&amp;number=647000&amp;sourceID=14","647000")</f>
        <v>647000</v>
      </c>
      <c r="G3964" s="4" t="str">
        <f>HYPERLINK("http://141.218.60.56/~jnz1568/getInfo.php?workbook=12_04.xlsx&amp;sheet=A0&amp;row=3964&amp;col=7&amp;number=0&amp;sourceID=14","0")</f>
        <v>0</v>
      </c>
    </row>
    <row r="3965" spans="1:7">
      <c r="A3965" s="3">
        <v>12</v>
      </c>
      <c r="B3965" s="3">
        <v>4</v>
      </c>
      <c r="C3965" s="3">
        <v>94</v>
      </c>
      <c r="D3965" s="3">
        <v>63</v>
      </c>
      <c r="E3965" s="3">
        <v>-2193.083</v>
      </c>
      <c r="F3965" s="4" t="str">
        <f>HYPERLINK("http://141.218.60.56/~jnz1568/getInfo.php?workbook=12_04.xlsx&amp;sheet=A0&amp;row=3965&amp;col=6&amp;number=96100&amp;sourceID=14","96100")</f>
        <v>96100</v>
      </c>
      <c r="G3965" s="4" t="str">
        <f>HYPERLINK("http://141.218.60.56/~jnz1568/getInfo.php?workbook=12_04.xlsx&amp;sheet=A0&amp;row=3965&amp;col=7&amp;number=0&amp;sourceID=14","0")</f>
        <v>0</v>
      </c>
    </row>
    <row r="3966" spans="1:7">
      <c r="A3966" s="3">
        <v>12</v>
      </c>
      <c r="B3966" s="3">
        <v>4</v>
      </c>
      <c r="C3966" s="3">
        <v>95</v>
      </c>
      <c r="D3966" s="3">
        <v>63</v>
      </c>
      <c r="E3966" s="3">
        <v>-2163.008</v>
      </c>
      <c r="F3966" s="4" t="str">
        <f>HYPERLINK("http://141.218.60.56/~jnz1568/getInfo.php?workbook=12_04.xlsx&amp;sheet=A0&amp;row=3966&amp;col=6&amp;number=0.00486&amp;sourceID=14","0.00486")</f>
        <v>0.00486</v>
      </c>
      <c r="G3966" s="4" t="str">
        <f>HYPERLINK("http://141.218.60.56/~jnz1568/getInfo.php?workbook=12_04.xlsx&amp;sheet=A0&amp;row=3966&amp;col=7&amp;number=0&amp;sourceID=14","0")</f>
        <v>0</v>
      </c>
    </row>
    <row r="3967" spans="1:7">
      <c r="A3967" s="3">
        <v>12</v>
      </c>
      <c r="B3967" s="3">
        <v>4</v>
      </c>
      <c r="C3967" s="3">
        <v>96</v>
      </c>
      <c r="D3967" s="3">
        <v>63</v>
      </c>
      <c r="E3967" s="3">
        <v>-2135.889</v>
      </c>
      <c r="F3967" s="4" t="str">
        <f>HYPERLINK("http://141.218.60.56/~jnz1568/getInfo.php?workbook=12_04.xlsx&amp;sheet=A0&amp;row=3967&amp;col=6&amp;number=181000&amp;sourceID=14","181000")</f>
        <v>181000</v>
      </c>
      <c r="G3967" s="4" t="str">
        <f>HYPERLINK("http://141.218.60.56/~jnz1568/getInfo.php?workbook=12_04.xlsx&amp;sheet=A0&amp;row=3967&amp;col=7&amp;number=0&amp;sourceID=14","0")</f>
        <v>0</v>
      </c>
    </row>
    <row r="3968" spans="1:7">
      <c r="A3968" s="3">
        <v>12</v>
      </c>
      <c r="B3968" s="3">
        <v>4</v>
      </c>
      <c r="C3968" s="3">
        <v>97</v>
      </c>
      <c r="D3968" s="3">
        <v>63</v>
      </c>
      <c r="E3968" s="3">
        <v>-2027.743</v>
      </c>
      <c r="F3968" s="4" t="str">
        <f>HYPERLINK("http://141.218.60.56/~jnz1568/getInfo.php?workbook=12_04.xlsx&amp;sheet=A0&amp;row=3968&amp;col=6&amp;number=0.155&amp;sourceID=14","0.155")</f>
        <v>0.155</v>
      </c>
      <c r="G3968" s="4" t="str">
        <f>HYPERLINK("http://141.218.60.56/~jnz1568/getInfo.php?workbook=12_04.xlsx&amp;sheet=A0&amp;row=3968&amp;col=7&amp;number=0&amp;sourceID=14","0")</f>
        <v>0</v>
      </c>
    </row>
    <row r="3969" spans="1:7">
      <c r="A3969" s="3">
        <v>12</v>
      </c>
      <c r="B3969" s="3">
        <v>4</v>
      </c>
      <c r="C3969" s="3">
        <v>98</v>
      </c>
      <c r="D3969" s="3">
        <v>63</v>
      </c>
      <c r="E3969" s="3">
        <v>-1979.731</v>
      </c>
      <c r="F3969" s="4" t="str">
        <f>HYPERLINK("http://141.218.60.56/~jnz1568/getInfo.php?workbook=12_04.xlsx&amp;sheet=A0&amp;row=3969&amp;col=6&amp;number=0.0347&amp;sourceID=14","0.0347")</f>
        <v>0.0347</v>
      </c>
      <c r="G3969" s="4" t="str">
        <f>HYPERLINK("http://141.218.60.56/~jnz1568/getInfo.php?workbook=12_04.xlsx&amp;sheet=A0&amp;row=3969&amp;col=7&amp;number=0&amp;sourceID=14","0")</f>
        <v>0</v>
      </c>
    </row>
    <row r="3970" spans="1:7">
      <c r="A3970" s="3">
        <v>12</v>
      </c>
      <c r="B3970" s="3">
        <v>4</v>
      </c>
      <c r="C3970" s="3">
        <v>65</v>
      </c>
      <c r="D3970" s="3">
        <v>64</v>
      </c>
      <c r="E3970" s="3">
        <v>-13285.53</v>
      </c>
      <c r="F3970" s="4" t="str">
        <f>HYPERLINK("http://141.218.60.56/~jnz1568/getInfo.php?workbook=12_04.xlsx&amp;sheet=A0&amp;row=3970&amp;col=6&amp;number=801000&amp;sourceID=14","801000")</f>
        <v>801000</v>
      </c>
      <c r="G3970" s="4" t="str">
        <f>HYPERLINK("http://141.218.60.56/~jnz1568/getInfo.php?workbook=12_04.xlsx&amp;sheet=A0&amp;row=3970&amp;col=7&amp;number=0&amp;sourceID=14","0")</f>
        <v>0</v>
      </c>
    </row>
    <row r="3971" spans="1:7">
      <c r="A3971" s="3">
        <v>12</v>
      </c>
      <c r="B3971" s="3">
        <v>4</v>
      </c>
      <c r="C3971" s="3">
        <v>66</v>
      </c>
      <c r="D3971" s="3">
        <v>64</v>
      </c>
      <c r="E3971" s="3">
        <v>-9921.638</v>
      </c>
      <c r="F3971" s="4" t="str">
        <f>HYPERLINK("http://141.218.60.56/~jnz1568/getInfo.php?workbook=12_04.xlsx&amp;sheet=A0&amp;row=3971&amp;col=6&amp;number=1370000&amp;sourceID=14","1370000")</f>
        <v>1370000</v>
      </c>
      <c r="G3971" s="4" t="str">
        <f>HYPERLINK("http://141.218.60.56/~jnz1568/getInfo.php?workbook=12_04.xlsx&amp;sheet=A0&amp;row=3971&amp;col=7&amp;number=0&amp;sourceID=14","0")</f>
        <v>0</v>
      </c>
    </row>
    <row r="3972" spans="1:7">
      <c r="A3972" s="3">
        <v>12</v>
      </c>
      <c r="B3972" s="3">
        <v>4</v>
      </c>
      <c r="C3972" s="3">
        <v>67</v>
      </c>
      <c r="D3972" s="3">
        <v>64</v>
      </c>
      <c r="E3972" s="3">
        <v>-9496.693</v>
      </c>
      <c r="F3972" s="4" t="str">
        <f>HYPERLINK("http://141.218.60.56/~jnz1568/getInfo.php?workbook=12_04.xlsx&amp;sheet=A0&amp;row=3972&amp;col=6&amp;number=32800&amp;sourceID=14","32800")</f>
        <v>32800</v>
      </c>
      <c r="G3972" s="4" t="str">
        <f>HYPERLINK("http://141.218.60.56/~jnz1568/getInfo.php?workbook=12_04.xlsx&amp;sheet=A0&amp;row=3972&amp;col=7&amp;number=0&amp;sourceID=14","0")</f>
        <v>0</v>
      </c>
    </row>
    <row r="3973" spans="1:7">
      <c r="A3973" s="3">
        <v>12</v>
      </c>
      <c r="B3973" s="3">
        <v>4</v>
      </c>
      <c r="C3973" s="3">
        <v>68</v>
      </c>
      <c r="D3973" s="3">
        <v>64</v>
      </c>
      <c r="E3973" s="3">
        <v>-7710.114</v>
      </c>
      <c r="F3973" s="4" t="str">
        <f>HYPERLINK("http://141.218.60.56/~jnz1568/getInfo.php?workbook=12_04.xlsx&amp;sheet=A0&amp;row=3973&amp;col=6&amp;number=5.27e-06&amp;sourceID=14","5.27e-06")</f>
        <v>5.27e-06</v>
      </c>
      <c r="G3973" s="4" t="str">
        <f>HYPERLINK("http://141.218.60.56/~jnz1568/getInfo.php?workbook=12_04.xlsx&amp;sheet=A0&amp;row=3973&amp;col=7&amp;number=0&amp;sourceID=14","0")</f>
        <v>0</v>
      </c>
    </row>
    <row r="3974" spans="1:7">
      <c r="A3974" s="3">
        <v>12</v>
      </c>
      <c r="B3974" s="3">
        <v>4</v>
      </c>
      <c r="C3974" s="3">
        <v>69</v>
      </c>
      <c r="D3974" s="3">
        <v>64</v>
      </c>
      <c r="E3974" s="3">
        <v>-6302.797</v>
      </c>
      <c r="F3974" s="4" t="str">
        <f>HYPERLINK("http://141.218.60.56/~jnz1568/getInfo.php?workbook=12_04.xlsx&amp;sheet=A0&amp;row=3974&amp;col=6&amp;number=2080000&amp;sourceID=14","2080000")</f>
        <v>2080000</v>
      </c>
      <c r="G3974" s="4" t="str">
        <f>HYPERLINK("http://141.218.60.56/~jnz1568/getInfo.php?workbook=12_04.xlsx&amp;sheet=A0&amp;row=3974&amp;col=7&amp;number=0&amp;sourceID=14","0")</f>
        <v>0</v>
      </c>
    </row>
    <row r="3975" spans="1:7">
      <c r="A3975" s="3">
        <v>12</v>
      </c>
      <c r="B3975" s="3">
        <v>4</v>
      </c>
      <c r="C3975" s="3">
        <v>70</v>
      </c>
      <c r="D3975" s="3">
        <v>64</v>
      </c>
      <c r="E3975" s="3">
        <v>-6061.352</v>
      </c>
      <c r="F3975" s="4" t="str">
        <f>HYPERLINK("http://141.218.60.56/~jnz1568/getInfo.php?workbook=12_04.xlsx&amp;sheet=A0&amp;row=3975&amp;col=6&amp;number=261000&amp;sourceID=14","261000")</f>
        <v>261000</v>
      </c>
      <c r="G3975" s="4" t="str">
        <f>HYPERLINK("http://141.218.60.56/~jnz1568/getInfo.php?workbook=12_04.xlsx&amp;sheet=A0&amp;row=3975&amp;col=7&amp;number=0&amp;sourceID=14","0")</f>
        <v>0</v>
      </c>
    </row>
    <row r="3976" spans="1:7">
      <c r="A3976" s="3">
        <v>12</v>
      </c>
      <c r="B3976" s="3">
        <v>4</v>
      </c>
      <c r="C3976" s="3">
        <v>71</v>
      </c>
      <c r="D3976" s="3">
        <v>64</v>
      </c>
      <c r="E3976" s="3">
        <v>-5426.24</v>
      </c>
      <c r="F3976" s="4" t="str">
        <f>HYPERLINK("http://141.218.60.56/~jnz1568/getInfo.php?workbook=12_04.xlsx&amp;sheet=A0&amp;row=3976&amp;col=6&amp;number=66600&amp;sourceID=14","66600")</f>
        <v>66600</v>
      </c>
      <c r="G3976" s="4" t="str">
        <f>HYPERLINK("http://141.218.60.56/~jnz1568/getInfo.php?workbook=12_04.xlsx&amp;sheet=A0&amp;row=3976&amp;col=7&amp;number=0&amp;sourceID=14","0")</f>
        <v>0</v>
      </c>
    </row>
    <row r="3977" spans="1:7">
      <c r="A3977" s="3">
        <v>12</v>
      </c>
      <c r="B3977" s="3">
        <v>4</v>
      </c>
      <c r="C3977" s="3">
        <v>72</v>
      </c>
      <c r="D3977" s="3">
        <v>64</v>
      </c>
      <c r="E3977" s="3">
        <v>-5292.135</v>
      </c>
      <c r="F3977" s="4" t="str">
        <f>HYPERLINK("http://141.218.60.56/~jnz1568/getInfo.php?workbook=12_04.xlsx&amp;sheet=A0&amp;row=3977&amp;col=6&amp;number=56000&amp;sourceID=14","56000")</f>
        <v>56000</v>
      </c>
      <c r="G3977" s="4" t="str">
        <f>HYPERLINK("http://141.218.60.56/~jnz1568/getInfo.php?workbook=12_04.xlsx&amp;sheet=A0&amp;row=3977&amp;col=7&amp;number=0&amp;sourceID=14","0")</f>
        <v>0</v>
      </c>
    </row>
    <row r="3978" spans="1:7">
      <c r="A3978" s="3">
        <v>12</v>
      </c>
      <c r="B3978" s="3">
        <v>4</v>
      </c>
      <c r="C3978" s="3">
        <v>73</v>
      </c>
      <c r="D3978" s="3">
        <v>64</v>
      </c>
      <c r="E3978" s="3">
        <v>-4559.556</v>
      </c>
      <c r="F3978" s="4" t="str">
        <f>HYPERLINK("http://141.218.60.56/~jnz1568/getInfo.php?workbook=12_04.xlsx&amp;sheet=A0&amp;row=3978&amp;col=6&amp;number=0.73&amp;sourceID=14","0.73")</f>
        <v>0.73</v>
      </c>
      <c r="G3978" s="4" t="str">
        <f>HYPERLINK("http://141.218.60.56/~jnz1568/getInfo.php?workbook=12_04.xlsx&amp;sheet=A0&amp;row=3978&amp;col=7&amp;number=0&amp;sourceID=14","0")</f>
        <v>0</v>
      </c>
    </row>
    <row r="3979" spans="1:7">
      <c r="A3979" s="3">
        <v>12</v>
      </c>
      <c r="B3979" s="3">
        <v>4</v>
      </c>
      <c r="C3979" s="3">
        <v>74</v>
      </c>
      <c r="D3979" s="3">
        <v>64</v>
      </c>
      <c r="E3979" s="3">
        <v>-4194.287</v>
      </c>
      <c r="F3979" s="4" t="str">
        <f>HYPERLINK("http://141.218.60.56/~jnz1568/getInfo.php?workbook=12_04.xlsx&amp;sheet=A0&amp;row=3979&amp;col=6&amp;number=0.0695&amp;sourceID=14","0.0695")</f>
        <v>0.0695</v>
      </c>
      <c r="G3979" s="4" t="str">
        <f>HYPERLINK("http://141.218.60.56/~jnz1568/getInfo.php?workbook=12_04.xlsx&amp;sheet=A0&amp;row=3979&amp;col=7&amp;number=0&amp;sourceID=14","0")</f>
        <v>0</v>
      </c>
    </row>
    <row r="3980" spans="1:7">
      <c r="A3980" s="3">
        <v>12</v>
      </c>
      <c r="B3980" s="3">
        <v>4</v>
      </c>
      <c r="C3980" s="3">
        <v>75</v>
      </c>
      <c r="D3980" s="3">
        <v>64</v>
      </c>
      <c r="E3980" s="3">
        <v>-4090.991</v>
      </c>
      <c r="F3980" s="4" t="str">
        <f>HYPERLINK("http://141.218.60.56/~jnz1568/getInfo.php?workbook=12_04.xlsx&amp;sheet=A0&amp;row=3980&amp;col=6&amp;number=5.71&amp;sourceID=14","5.71")</f>
        <v>5.71</v>
      </c>
      <c r="G3980" s="4" t="str">
        <f>HYPERLINK("http://141.218.60.56/~jnz1568/getInfo.php?workbook=12_04.xlsx&amp;sheet=A0&amp;row=3980&amp;col=7&amp;number=0&amp;sourceID=14","0")</f>
        <v>0</v>
      </c>
    </row>
    <row r="3981" spans="1:7">
      <c r="A3981" s="3">
        <v>12</v>
      </c>
      <c r="B3981" s="3">
        <v>4</v>
      </c>
      <c r="C3981" s="3">
        <v>76</v>
      </c>
      <c r="D3981" s="3">
        <v>64</v>
      </c>
      <c r="E3981" s="3">
        <v>-3918.502</v>
      </c>
      <c r="F3981" s="4" t="str">
        <f>HYPERLINK("http://141.218.60.56/~jnz1568/getInfo.php?workbook=12_04.xlsx&amp;sheet=A0&amp;row=3981&amp;col=6&amp;number=63700000&amp;sourceID=14","63700000")</f>
        <v>63700000</v>
      </c>
      <c r="G3981" s="4" t="str">
        <f>HYPERLINK("http://141.218.60.56/~jnz1568/getInfo.php?workbook=12_04.xlsx&amp;sheet=A0&amp;row=3981&amp;col=7&amp;number=0&amp;sourceID=14","0")</f>
        <v>0</v>
      </c>
    </row>
    <row r="3982" spans="1:7">
      <c r="A3982" s="3">
        <v>12</v>
      </c>
      <c r="B3982" s="3">
        <v>4</v>
      </c>
      <c r="C3982" s="3">
        <v>77</v>
      </c>
      <c r="D3982" s="3">
        <v>64</v>
      </c>
      <c r="E3982" s="3">
        <v>-3843.648</v>
      </c>
      <c r="F3982" s="4" t="str">
        <f>HYPERLINK("http://141.218.60.56/~jnz1568/getInfo.php?workbook=12_04.xlsx&amp;sheet=A0&amp;row=3982&amp;col=6&amp;number=2.87e-11&amp;sourceID=14","2.87e-11")</f>
        <v>2.87e-11</v>
      </c>
      <c r="G3982" s="4" t="str">
        <f>HYPERLINK("http://141.218.60.56/~jnz1568/getInfo.php?workbook=12_04.xlsx&amp;sheet=A0&amp;row=3982&amp;col=7&amp;number=0&amp;sourceID=14","0")</f>
        <v>0</v>
      </c>
    </row>
    <row r="3983" spans="1:7">
      <c r="A3983" s="3">
        <v>12</v>
      </c>
      <c r="B3983" s="3">
        <v>4</v>
      </c>
      <c r="C3983" s="3">
        <v>78</v>
      </c>
      <c r="D3983" s="3">
        <v>64</v>
      </c>
      <c r="E3983" s="3">
        <v>-3445.787</v>
      </c>
      <c r="F3983" s="4" t="str">
        <f>HYPERLINK("http://141.218.60.56/~jnz1568/getInfo.php?workbook=12_04.xlsx&amp;sheet=A0&amp;row=3983&amp;col=6&amp;number=0.139&amp;sourceID=14","0.139")</f>
        <v>0.139</v>
      </c>
      <c r="G3983" s="4" t="str">
        <f>HYPERLINK("http://141.218.60.56/~jnz1568/getInfo.php?workbook=12_04.xlsx&amp;sheet=A0&amp;row=3983&amp;col=7&amp;number=0&amp;sourceID=14","0")</f>
        <v>0</v>
      </c>
    </row>
    <row r="3984" spans="1:7">
      <c r="A3984" s="3">
        <v>12</v>
      </c>
      <c r="B3984" s="3">
        <v>4</v>
      </c>
      <c r="C3984" s="3">
        <v>79</v>
      </c>
      <c r="D3984" s="3">
        <v>64</v>
      </c>
      <c r="E3984" s="3">
        <v>-3373.825</v>
      </c>
      <c r="F3984" s="4" t="str">
        <f>HYPERLINK("http://141.218.60.56/~jnz1568/getInfo.php?workbook=12_04.xlsx&amp;sheet=A0&amp;row=3984&amp;col=6&amp;number=2.24&amp;sourceID=14","2.24")</f>
        <v>2.24</v>
      </c>
      <c r="G3984" s="4" t="str">
        <f>HYPERLINK("http://141.218.60.56/~jnz1568/getInfo.php?workbook=12_04.xlsx&amp;sheet=A0&amp;row=3984&amp;col=7&amp;number=0&amp;sourceID=14","0")</f>
        <v>0</v>
      </c>
    </row>
    <row r="3985" spans="1:7">
      <c r="A3985" s="3">
        <v>12</v>
      </c>
      <c r="B3985" s="3">
        <v>4</v>
      </c>
      <c r="C3985" s="3">
        <v>80</v>
      </c>
      <c r="D3985" s="3">
        <v>64</v>
      </c>
      <c r="E3985" s="3">
        <v>-3238.243</v>
      </c>
      <c r="F3985" s="4" t="str">
        <f>HYPERLINK("http://141.218.60.56/~jnz1568/getInfo.php?workbook=12_04.xlsx&amp;sheet=A0&amp;row=3985&amp;col=6&amp;number=1.3e-06&amp;sourceID=14","1.3e-06")</f>
        <v>1.3e-06</v>
      </c>
      <c r="G3985" s="4" t="str">
        <f>HYPERLINK("http://141.218.60.56/~jnz1568/getInfo.php?workbook=12_04.xlsx&amp;sheet=A0&amp;row=3985&amp;col=7&amp;number=0&amp;sourceID=14","0")</f>
        <v>0</v>
      </c>
    </row>
    <row r="3986" spans="1:7">
      <c r="A3986" s="3">
        <v>12</v>
      </c>
      <c r="B3986" s="3">
        <v>4</v>
      </c>
      <c r="C3986" s="3">
        <v>81</v>
      </c>
      <c r="D3986" s="3">
        <v>64</v>
      </c>
      <c r="E3986" s="3">
        <v>-3235.414</v>
      </c>
      <c r="F3986" s="4" t="str">
        <f>HYPERLINK("http://141.218.60.56/~jnz1568/getInfo.php?workbook=12_04.xlsx&amp;sheet=A0&amp;row=3986&amp;col=6&amp;number=0.0251&amp;sourceID=14","0.0251")</f>
        <v>0.0251</v>
      </c>
      <c r="G3986" s="4" t="str">
        <f>HYPERLINK("http://141.218.60.56/~jnz1568/getInfo.php?workbook=12_04.xlsx&amp;sheet=A0&amp;row=3986&amp;col=7&amp;number=0&amp;sourceID=14","0")</f>
        <v>0</v>
      </c>
    </row>
    <row r="3987" spans="1:7">
      <c r="A3987" s="3">
        <v>12</v>
      </c>
      <c r="B3987" s="3">
        <v>4</v>
      </c>
      <c r="C3987" s="3">
        <v>82</v>
      </c>
      <c r="D3987" s="3">
        <v>64</v>
      </c>
      <c r="E3987" s="3">
        <v>-3200.723</v>
      </c>
      <c r="F3987" s="4" t="str">
        <f>HYPERLINK("http://141.218.60.56/~jnz1568/getInfo.php?workbook=12_04.xlsx&amp;sheet=A0&amp;row=3987&amp;col=6&amp;number=635000&amp;sourceID=14","635000")</f>
        <v>635000</v>
      </c>
      <c r="G3987" s="4" t="str">
        <f>HYPERLINK("http://141.218.60.56/~jnz1568/getInfo.php?workbook=12_04.xlsx&amp;sheet=A0&amp;row=3987&amp;col=7&amp;number=0&amp;sourceID=14","0")</f>
        <v>0</v>
      </c>
    </row>
    <row r="3988" spans="1:7">
      <c r="A3988" s="3">
        <v>12</v>
      </c>
      <c r="B3988" s="3">
        <v>4</v>
      </c>
      <c r="C3988" s="3">
        <v>83</v>
      </c>
      <c r="D3988" s="3">
        <v>64</v>
      </c>
      <c r="E3988" s="3">
        <v>-3200.211</v>
      </c>
      <c r="F3988" s="4" t="str">
        <f>HYPERLINK("http://141.218.60.56/~jnz1568/getInfo.php?workbook=12_04.xlsx&amp;sheet=A0&amp;row=3988&amp;col=6&amp;number=4.67e-08&amp;sourceID=14","4.67e-08")</f>
        <v>4.67e-08</v>
      </c>
      <c r="G3988" s="4" t="str">
        <f>HYPERLINK("http://141.218.60.56/~jnz1568/getInfo.php?workbook=12_04.xlsx&amp;sheet=A0&amp;row=3988&amp;col=7&amp;number=0&amp;sourceID=14","0")</f>
        <v>0</v>
      </c>
    </row>
    <row r="3989" spans="1:7">
      <c r="A3989" s="3">
        <v>12</v>
      </c>
      <c r="B3989" s="3">
        <v>4</v>
      </c>
      <c r="C3989" s="3">
        <v>84</v>
      </c>
      <c r="D3989" s="3">
        <v>64</v>
      </c>
      <c r="E3989" s="3">
        <v>-3167.269</v>
      </c>
      <c r="F3989" s="4" t="str">
        <f>HYPERLINK("http://141.218.60.56/~jnz1568/getInfo.php?workbook=12_04.xlsx&amp;sheet=A0&amp;row=3989&amp;col=6&amp;number=1.85e-08&amp;sourceID=14","1.85e-08")</f>
        <v>1.85e-08</v>
      </c>
      <c r="G3989" s="4" t="str">
        <f>HYPERLINK("http://141.218.60.56/~jnz1568/getInfo.php?workbook=12_04.xlsx&amp;sheet=A0&amp;row=3989&amp;col=7&amp;number=0&amp;sourceID=14","0")</f>
        <v>0</v>
      </c>
    </row>
    <row r="3990" spans="1:7">
      <c r="A3990" s="3">
        <v>12</v>
      </c>
      <c r="B3990" s="3">
        <v>4</v>
      </c>
      <c r="C3990" s="3">
        <v>85</v>
      </c>
      <c r="D3990" s="3">
        <v>64</v>
      </c>
      <c r="E3990" s="3">
        <v>-3025.633</v>
      </c>
      <c r="F3990" s="4" t="str">
        <f>HYPERLINK("http://141.218.60.56/~jnz1568/getInfo.php?workbook=12_04.xlsx&amp;sheet=A0&amp;row=3990&amp;col=6&amp;number=1.09&amp;sourceID=14","1.09")</f>
        <v>1.09</v>
      </c>
      <c r="G3990" s="4" t="str">
        <f>HYPERLINK("http://141.218.60.56/~jnz1568/getInfo.php?workbook=12_04.xlsx&amp;sheet=A0&amp;row=3990&amp;col=7&amp;number=0&amp;sourceID=14","0")</f>
        <v>0</v>
      </c>
    </row>
    <row r="3991" spans="1:7">
      <c r="A3991" s="3">
        <v>12</v>
      </c>
      <c r="B3991" s="3">
        <v>4</v>
      </c>
      <c r="C3991" s="3">
        <v>86</v>
      </c>
      <c r="D3991" s="3">
        <v>64</v>
      </c>
      <c r="E3991" s="3">
        <v>-2969.92</v>
      </c>
      <c r="F3991" s="4" t="str">
        <f>HYPERLINK("http://141.218.60.56/~jnz1568/getInfo.php?workbook=12_04.xlsx&amp;sheet=A0&amp;row=3991&amp;col=6&amp;number=0.0107&amp;sourceID=14","0.0107")</f>
        <v>0.0107</v>
      </c>
      <c r="G3991" s="4" t="str">
        <f>HYPERLINK("http://141.218.60.56/~jnz1568/getInfo.php?workbook=12_04.xlsx&amp;sheet=A0&amp;row=3991&amp;col=7&amp;number=0&amp;sourceID=14","0")</f>
        <v>0</v>
      </c>
    </row>
    <row r="3992" spans="1:7">
      <c r="A3992" s="3">
        <v>12</v>
      </c>
      <c r="B3992" s="3">
        <v>4</v>
      </c>
      <c r="C3992" s="3">
        <v>87</v>
      </c>
      <c r="D3992" s="3">
        <v>64</v>
      </c>
      <c r="E3992" s="3">
        <v>-2940.922</v>
      </c>
      <c r="F3992" s="4" t="str">
        <f>HYPERLINK("http://141.218.60.56/~jnz1568/getInfo.php?workbook=12_04.xlsx&amp;sheet=A0&amp;row=3992&amp;col=6&amp;number=0.0446&amp;sourceID=14","0.0446")</f>
        <v>0.0446</v>
      </c>
      <c r="G3992" s="4" t="str">
        <f>HYPERLINK("http://141.218.60.56/~jnz1568/getInfo.php?workbook=12_04.xlsx&amp;sheet=A0&amp;row=3992&amp;col=7&amp;number=0&amp;sourceID=14","0")</f>
        <v>0</v>
      </c>
    </row>
    <row r="3993" spans="1:7">
      <c r="A3993" s="3">
        <v>12</v>
      </c>
      <c r="B3993" s="3">
        <v>4</v>
      </c>
      <c r="C3993" s="3">
        <v>88</v>
      </c>
      <c r="D3993" s="3">
        <v>64</v>
      </c>
      <c r="E3993" s="3">
        <v>-2874.725</v>
      </c>
      <c r="F3993" s="4" t="str">
        <f>HYPERLINK("http://141.218.60.56/~jnz1568/getInfo.php?workbook=12_04.xlsx&amp;sheet=A0&amp;row=3993&amp;col=6&amp;number=1.35e-06&amp;sourceID=14","1.35e-06")</f>
        <v>1.35e-06</v>
      </c>
      <c r="G3993" s="4" t="str">
        <f>HYPERLINK("http://141.218.60.56/~jnz1568/getInfo.php?workbook=12_04.xlsx&amp;sheet=A0&amp;row=3993&amp;col=7&amp;number=0&amp;sourceID=14","0")</f>
        <v>0</v>
      </c>
    </row>
    <row r="3994" spans="1:7">
      <c r="A3994" s="3">
        <v>12</v>
      </c>
      <c r="B3994" s="3">
        <v>4</v>
      </c>
      <c r="C3994" s="3">
        <v>89</v>
      </c>
      <c r="D3994" s="3">
        <v>64</v>
      </c>
      <c r="E3994" s="3">
        <v>-2836.965</v>
      </c>
      <c r="F3994" s="4" t="str">
        <f>HYPERLINK("http://141.218.60.56/~jnz1568/getInfo.php?workbook=12_04.xlsx&amp;sheet=A0&amp;row=3994&amp;col=6&amp;number=2.35e-07&amp;sourceID=14","2.35e-07")</f>
        <v>2.35e-07</v>
      </c>
      <c r="G3994" s="4" t="str">
        <f>HYPERLINK("http://141.218.60.56/~jnz1568/getInfo.php?workbook=12_04.xlsx&amp;sheet=A0&amp;row=3994&amp;col=7&amp;number=0&amp;sourceID=14","0")</f>
        <v>0</v>
      </c>
    </row>
    <row r="3995" spans="1:7">
      <c r="A3995" s="3">
        <v>12</v>
      </c>
      <c r="B3995" s="3">
        <v>4</v>
      </c>
      <c r="C3995" s="3">
        <v>90</v>
      </c>
      <c r="D3995" s="3">
        <v>64</v>
      </c>
      <c r="E3995" s="3">
        <v>-2730.53</v>
      </c>
      <c r="F3995" s="4" t="str">
        <f>HYPERLINK("http://141.218.60.56/~jnz1568/getInfo.php?workbook=12_04.xlsx&amp;sheet=A0&amp;row=3995&amp;col=6&amp;number=3.96e-17&amp;sourceID=14","3.96e-17")</f>
        <v>3.96e-17</v>
      </c>
      <c r="G3995" s="4" t="str">
        <f>HYPERLINK("http://141.218.60.56/~jnz1568/getInfo.php?workbook=12_04.xlsx&amp;sheet=A0&amp;row=3995&amp;col=7&amp;number=0&amp;sourceID=14","0")</f>
        <v>0</v>
      </c>
    </row>
    <row r="3996" spans="1:7">
      <c r="A3996" s="3">
        <v>12</v>
      </c>
      <c r="B3996" s="3">
        <v>4</v>
      </c>
      <c r="C3996" s="3">
        <v>91</v>
      </c>
      <c r="D3996" s="3">
        <v>64</v>
      </c>
      <c r="E3996" s="3">
        <v>-2642.571</v>
      </c>
      <c r="F3996" s="4" t="str">
        <f>HYPERLINK("http://141.218.60.56/~jnz1568/getInfo.php?workbook=12_04.xlsx&amp;sheet=A0&amp;row=3996&amp;col=6&amp;number=9.79e-07&amp;sourceID=14","9.79e-07")</f>
        <v>9.79e-07</v>
      </c>
      <c r="G3996" s="4" t="str">
        <f>HYPERLINK("http://141.218.60.56/~jnz1568/getInfo.php?workbook=12_04.xlsx&amp;sheet=A0&amp;row=3996&amp;col=7&amp;number=0&amp;sourceID=14","0")</f>
        <v>0</v>
      </c>
    </row>
    <row r="3997" spans="1:7">
      <c r="A3997" s="3">
        <v>12</v>
      </c>
      <c r="B3997" s="3">
        <v>4</v>
      </c>
      <c r="C3997" s="3">
        <v>92</v>
      </c>
      <c r="D3997" s="3">
        <v>64</v>
      </c>
      <c r="E3997" s="3">
        <v>-2622.68</v>
      </c>
      <c r="F3997" s="4" t="str">
        <f>HYPERLINK("http://141.218.60.56/~jnz1568/getInfo.php?workbook=12_04.xlsx&amp;sheet=A0&amp;row=3997&amp;col=6&amp;number=8.73e-06&amp;sourceID=14","8.73e-06")</f>
        <v>8.73e-06</v>
      </c>
      <c r="G3997" s="4" t="str">
        <f>HYPERLINK("http://141.218.60.56/~jnz1568/getInfo.php?workbook=12_04.xlsx&amp;sheet=A0&amp;row=3997&amp;col=7&amp;number=0&amp;sourceID=14","0")</f>
        <v>0</v>
      </c>
    </row>
    <row r="3998" spans="1:7">
      <c r="A3998" s="3">
        <v>12</v>
      </c>
      <c r="B3998" s="3">
        <v>4</v>
      </c>
      <c r="C3998" s="3">
        <v>93</v>
      </c>
      <c r="D3998" s="3">
        <v>64</v>
      </c>
      <c r="E3998" s="3">
        <v>-2604.714</v>
      </c>
      <c r="F3998" s="4" t="str">
        <f>HYPERLINK("http://141.218.60.56/~jnz1568/getInfo.php?workbook=12_04.xlsx&amp;sheet=A0&amp;row=3998&amp;col=6&amp;number=1200000&amp;sourceID=14","1200000")</f>
        <v>1200000</v>
      </c>
      <c r="G3998" s="4" t="str">
        <f>HYPERLINK("http://141.218.60.56/~jnz1568/getInfo.php?workbook=12_04.xlsx&amp;sheet=A0&amp;row=3998&amp;col=7&amp;number=0&amp;sourceID=14","0")</f>
        <v>0</v>
      </c>
    </row>
    <row r="3999" spans="1:7">
      <c r="A3999" s="3">
        <v>12</v>
      </c>
      <c r="B3999" s="3">
        <v>4</v>
      </c>
      <c r="C3999" s="3">
        <v>94</v>
      </c>
      <c r="D3999" s="3">
        <v>64</v>
      </c>
      <c r="E3999" s="3">
        <v>-2540.72</v>
      </c>
      <c r="F3999" s="4" t="str">
        <f>HYPERLINK("http://141.218.60.56/~jnz1568/getInfo.php?workbook=12_04.xlsx&amp;sheet=A0&amp;row=3999&amp;col=6&amp;number=53600&amp;sourceID=14","53600")</f>
        <v>53600</v>
      </c>
      <c r="G3999" s="4" t="str">
        <f>HYPERLINK("http://141.218.60.56/~jnz1568/getInfo.php?workbook=12_04.xlsx&amp;sheet=A0&amp;row=3999&amp;col=7&amp;number=0&amp;sourceID=14","0")</f>
        <v>0</v>
      </c>
    </row>
    <row r="4000" spans="1:7">
      <c r="A4000" s="3">
        <v>12</v>
      </c>
      <c r="B4000" s="3">
        <v>4</v>
      </c>
      <c r="C4000" s="3">
        <v>95</v>
      </c>
      <c r="D4000" s="3">
        <v>64</v>
      </c>
      <c r="E4000" s="3">
        <v>-2500.442</v>
      </c>
      <c r="F4000" s="4" t="str">
        <f>HYPERLINK("http://141.218.60.56/~jnz1568/getInfo.php?workbook=12_04.xlsx&amp;sheet=A0&amp;row=4000&amp;col=6&amp;number=314000000&amp;sourceID=14","314000000")</f>
        <v>314000000</v>
      </c>
      <c r="G4000" s="4" t="str">
        <f>HYPERLINK("http://141.218.60.56/~jnz1568/getInfo.php?workbook=12_04.xlsx&amp;sheet=A0&amp;row=4000&amp;col=7&amp;number=0&amp;sourceID=14","0")</f>
        <v>0</v>
      </c>
    </row>
    <row r="4001" spans="1:7">
      <c r="A4001" s="3">
        <v>12</v>
      </c>
      <c r="B4001" s="3">
        <v>4</v>
      </c>
      <c r="C4001" s="3">
        <v>96</v>
      </c>
      <c r="D4001" s="3">
        <v>64</v>
      </c>
      <c r="E4001" s="3">
        <v>-2464.273</v>
      </c>
      <c r="F4001" s="4" t="str">
        <f>HYPERLINK("http://141.218.60.56/~jnz1568/getInfo.php?workbook=12_04.xlsx&amp;sheet=A0&amp;row=4001&amp;col=6&amp;number=2620000&amp;sourceID=14","2620000")</f>
        <v>2620000</v>
      </c>
      <c r="G4001" s="4" t="str">
        <f>HYPERLINK("http://141.218.60.56/~jnz1568/getInfo.php?workbook=12_04.xlsx&amp;sheet=A0&amp;row=4001&amp;col=7&amp;number=0&amp;sourceID=14","0")</f>
        <v>0</v>
      </c>
    </row>
    <row r="4002" spans="1:7">
      <c r="A4002" s="3">
        <v>12</v>
      </c>
      <c r="B4002" s="3">
        <v>4</v>
      </c>
      <c r="C4002" s="3">
        <v>97</v>
      </c>
      <c r="D4002" s="3">
        <v>64</v>
      </c>
      <c r="E4002" s="3">
        <v>-2321.429</v>
      </c>
      <c r="F4002" s="4" t="str">
        <f>HYPERLINK("http://141.218.60.56/~jnz1568/getInfo.php?workbook=12_04.xlsx&amp;sheet=A0&amp;row=4002&amp;col=6&amp;number=94.3&amp;sourceID=14","94.3")</f>
        <v>94.3</v>
      </c>
      <c r="G4002" s="4" t="str">
        <f>HYPERLINK("http://141.218.60.56/~jnz1568/getInfo.php?workbook=12_04.xlsx&amp;sheet=A0&amp;row=4002&amp;col=7&amp;number=0&amp;sourceID=14","0")</f>
        <v>0</v>
      </c>
    </row>
    <row r="4003" spans="1:7">
      <c r="A4003" s="3">
        <v>12</v>
      </c>
      <c r="B4003" s="3">
        <v>4</v>
      </c>
      <c r="C4003" s="3">
        <v>98</v>
      </c>
      <c r="D4003" s="3">
        <v>64</v>
      </c>
      <c r="E4003" s="3">
        <v>-2258.717</v>
      </c>
      <c r="F4003" s="4" t="str">
        <f>HYPERLINK("http://141.218.60.56/~jnz1568/getInfo.php?workbook=12_04.xlsx&amp;sheet=A0&amp;row=4003&amp;col=6&amp;number=121&amp;sourceID=14","121")</f>
        <v>121</v>
      </c>
      <c r="G4003" s="4" t="str">
        <f>HYPERLINK("http://141.218.60.56/~jnz1568/getInfo.php?workbook=12_04.xlsx&amp;sheet=A0&amp;row=4003&amp;col=7&amp;number=0&amp;sourceID=14","0")</f>
        <v>0</v>
      </c>
    </row>
    <row r="4004" spans="1:7">
      <c r="A4004" s="3">
        <v>12</v>
      </c>
      <c r="B4004" s="3">
        <v>4</v>
      </c>
      <c r="C4004" s="3">
        <v>66</v>
      </c>
      <c r="D4004" s="3">
        <v>65</v>
      </c>
      <c r="E4004" s="3">
        <v>-39185.023</v>
      </c>
      <c r="F4004" s="4" t="str">
        <f>HYPERLINK("http://141.218.60.56/~jnz1568/getInfo.php?workbook=12_04.xlsx&amp;sheet=A0&amp;row=4004&amp;col=6&amp;number=0.0551&amp;sourceID=14","0.0551")</f>
        <v>0.0551</v>
      </c>
      <c r="G4004" s="4" t="str">
        <f>HYPERLINK("http://141.218.60.56/~jnz1568/getInfo.php?workbook=12_04.xlsx&amp;sheet=A0&amp;row=4004&amp;col=7&amp;number=0&amp;sourceID=14","0")</f>
        <v>0</v>
      </c>
    </row>
    <row r="4005" spans="1:7">
      <c r="A4005" s="3">
        <v>12</v>
      </c>
      <c r="B4005" s="3">
        <v>4</v>
      </c>
      <c r="C4005" s="3">
        <v>67</v>
      </c>
      <c r="D4005" s="3">
        <v>65</v>
      </c>
      <c r="E4005" s="3">
        <v>-33300.094</v>
      </c>
      <c r="F4005" s="4" t="str">
        <f>HYPERLINK("http://141.218.60.56/~jnz1568/getInfo.php?workbook=12_04.xlsx&amp;sheet=A0&amp;row=4005&amp;col=6&amp;number=0.196&amp;sourceID=14","0.196")</f>
        <v>0.196</v>
      </c>
      <c r="G4005" s="4" t="str">
        <f>HYPERLINK("http://141.218.60.56/~jnz1568/getInfo.php?workbook=12_04.xlsx&amp;sheet=A0&amp;row=4005&amp;col=7&amp;number=0&amp;sourceID=14","0")</f>
        <v>0</v>
      </c>
    </row>
    <row r="4006" spans="1:7">
      <c r="A4006" s="3">
        <v>12</v>
      </c>
      <c r="B4006" s="3">
        <v>4</v>
      </c>
      <c r="C4006" s="3">
        <v>68</v>
      </c>
      <c r="D4006" s="3">
        <v>65</v>
      </c>
      <c r="E4006" s="3">
        <v>-18372.256</v>
      </c>
      <c r="F4006" s="4" t="str">
        <f>HYPERLINK("http://141.218.60.56/~jnz1568/getInfo.php?workbook=12_04.xlsx&amp;sheet=A0&amp;row=4006&amp;col=6&amp;number=6.27e-06&amp;sourceID=14","6.27e-06")</f>
        <v>6.27e-06</v>
      </c>
      <c r="G4006" s="4" t="str">
        <f>HYPERLINK("http://141.218.60.56/~jnz1568/getInfo.php?workbook=12_04.xlsx&amp;sheet=A0&amp;row=4006&amp;col=7&amp;number=0&amp;sourceID=14","0")</f>
        <v>0</v>
      </c>
    </row>
    <row r="4007" spans="1:7">
      <c r="A4007" s="3">
        <v>12</v>
      </c>
      <c r="B4007" s="3">
        <v>4</v>
      </c>
      <c r="C4007" s="3">
        <v>69</v>
      </c>
      <c r="D4007" s="3">
        <v>65</v>
      </c>
      <c r="E4007" s="3">
        <v>-11991.867</v>
      </c>
      <c r="F4007" s="4" t="str">
        <f>HYPERLINK("http://141.218.60.56/~jnz1568/getInfo.php?workbook=12_04.xlsx&amp;sheet=A0&amp;row=4007&amp;col=6&amp;number=0.174&amp;sourceID=14","0.174")</f>
        <v>0.174</v>
      </c>
      <c r="G4007" s="4" t="str">
        <f>HYPERLINK("http://141.218.60.56/~jnz1568/getInfo.php?workbook=12_04.xlsx&amp;sheet=A0&amp;row=4007&amp;col=7&amp;number=0&amp;sourceID=14","0")</f>
        <v>0</v>
      </c>
    </row>
    <row r="4008" spans="1:7">
      <c r="A4008" s="3">
        <v>12</v>
      </c>
      <c r="B4008" s="3">
        <v>4</v>
      </c>
      <c r="C4008" s="3">
        <v>70</v>
      </c>
      <c r="D4008" s="3">
        <v>65</v>
      </c>
      <c r="E4008" s="3">
        <v>-11147.05</v>
      </c>
      <c r="F4008" s="4" t="str">
        <f>HYPERLINK("http://141.218.60.56/~jnz1568/getInfo.php?workbook=12_04.xlsx&amp;sheet=A0&amp;row=4008&amp;col=6&amp;number=0.0678&amp;sourceID=14","0.0678")</f>
        <v>0.0678</v>
      </c>
      <c r="G4008" s="4" t="str">
        <f>HYPERLINK("http://141.218.60.56/~jnz1568/getInfo.php?workbook=12_04.xlsx&amp;sheet=A0&amp;row=4008&amp;col=7&amp;number=0&amp;sourceID=14","0")</f>
        <v>0</v>
      </c>
    </row>
    <row r="4009" spans="1:7">
      <c r="A4009" s="3">
        <v>12</v>
      </c>
      <c r="B4009" s="3">
        <v>4</v>
      </c>
      <c r="C4009" s="3">
        <v>71</v>
      </c>
      <c r="D4009" s="3">
        <v>65</v>
      </c>
      <c r="E4009" s="3">
        <v>-9172.646</v>
      </c>
      <c r="F4009" s="4" t="str">
        <f>HYPERLINK("http://141.218.60.56/~jnz1568/getInfo.php?workbook=12_04.xlsx&amp;sheet=A0&amp;row=4009&amp;col=6&amp;number=0.314&amp;sourceID=14","0.314")</f>
        <v>0.314</v>
      </c>
      <c r="G4009" s="4" t="str">
        <f>HYPERLINK("http://141.218.60.56/~jnz1568/getInfo.php?workbook=12_04.xlsx&amp;sheet=A0&amp;row=4009&amp;col=7&amp;number=0&amp;sourceID=14","0")</f>
        <v>0</v>
      </c>
    </row>
    <row r="4010" spans="1:7">
      <c r="A4010" s="3">
        <v>12</v>
      </c>
      <c r="B4010" s="3">
        <v>4</v>
      </c>
      <c r="C4010" s="3">
        <v>72</v>
      </c>
      <c r="D4010" s="3">
        <v>65</v>
      </c>
      <c r="E4010" s="3">
        <v>-8795.864</v>
      </c>
      <c r="F4010" s="4" t="str">
        <f>HYPERLINK("http://141.218.60.56/~jnz1568/getInfo.php?workbook=12_04.xlsx&amp;sheet=A0&amp;row=4010&amp;col=6&amp;number=0.486&amp;sourceID=14","0.486")</f>
        <v>0.486</v>
      </c>
      <c r="G4010" s="4" t="str">
        <f>HYPERLINK("http://141.218.60.56/~jnz1568/getInfo.php?workbook=12_04.xlsx&amp;sheet=A0&amp;row=4010&amp;col=7&amp;number=0&amp;sourceID=14","0")</f>
        <v>0</v>
      </c>
    </row>
    <row r="4011" spans="1:7">
      <c r="A4011" s="3">
        <v>12</v>
      </c>
      <c r="B4011" s="3">
        <v>4</v>
      </c>
      <c r="C4011" s="3">
        <v>73</v>
      </c>
      <c r="D4011" s="3">
        <v>65</v>
      </c>
      <c r="E4011" s="3">
        <v>-6942.047</v>
      </c>
      <c r="F4011" s="4" t="str">
        <f>HYPERLINK("http://141.218.60.56/~jnz1568/getInfo.php?workbook=12_04.xlsx&amp;sheet=A0&amp;row=4011&amp;col=6&amp;number=9030000&amp;sourceID=14","9030000")</f>
        <v>9030000</v>
      </c>
      <c r="G4011" s="4" t="str">
        <f>HYPERLINK("http://141.218.60.56/~jnz1568/getInfo.php?workbook=12_04.xlsx&amp;sheet=A0&amp;row=4011&amp;col=7&amp;number=0&amp;sourceID=14","0")</f>
        <v>0</v>
      </c>
    </row>
    <row r="4012" spans="1:7">
      <c r="A4012" s="3">
        <v>12</v>
      </c>
      <c r="B4012" s="3">
        <v>4</v>
      </c>
      <c r="C4012" s="3">
        <v>74</v>
      </c>
      <c r="D4012" s="3">
        <v>65</v>
      </c>
      <c r="E4012" s="3">
        <v>-6129.34</v>
      </c>
      <c r="F4012" s="4" t="str">
        <f>HYPERLINK("http://141.218.60.56/~jnz1568/getInfo.php?workbook=12_04.xlsx&amp;sheet=A0&amp;row=4012&amp;col=6&amp;number=1.02e-06&amp;sourceID=14","1.02e-06")</f>
        <v>1.02e-06</v>
      </c>
      <c r="G4012" s="4" t="str">
        <f>HYPERLINK("http://141.218.60.56/~jnz1568/getInfo.php?workbook=12_04.xlsx&amp;sheet=A0&amp;row=4012&amp;col=7&amp;number=0&amp;sourceID=14","0")</f>
        <v>0</v>
      </c>
    </row>
    <row r="4013" spans="1:7">
      <c r="A4013" s="3">
        <v>12</v>
      </c>
      <c r="B4013" s="3">
        <v>4</v>
      </c>
      <c r="C4013" s="3">
        <v>75</v>
      </c>
      <c r="D4013" s="3">
        <v>65</v>
      </c>
      <c r="E4013" s="3">
        <v>-5911.225</v>
      </c>
      <c r="F4013" s="4" t="str">
        <f>HYPERLINK("http://141.218.60.56/~jnz1568/getInfo.php?workbook=12_04.xlsx&amp;sheet=A0&amp;row=4013&amp;col=6&amp;number=2180000&amp;sourceID=14","2180000")</f>
        <v>2180000</v>
      </c>
      <c r="G4013" s="4" t="str">
        <f>HYPERLINK("http://141.218.60.56/~jnz1568/getInfo.php?workbook=12_04.xlsx&amp;sheet=A0&amp;row=4013&amp;col=7&amp;number=0&amp;sourceID=14","0")</f>
        <v>0</v>
      </c>
    </row>
    <row r="4014" spans="1:7">
      <c r="A4014" s="3">
        <v>12</v>
      </c>
      <c r="B4014" s="3">
        <v>4</v>
      </c>
      <c r="C4014" s="3">
        <v>76</v>
      </c>
      <c r="D4014" s="3">
        <v>65</v>
      </c>
      <c r="E4014" s="3">
        <v>-5557.727</v>
      </c>
      <c r="F4014" s="4" t="str">
        <f>HYPERLINK("http://141.218.60.56/~jnz1568/getInfo.php?workbook=12_04.xlsx&amp;sheet=A0&amp;row=4014&amp;col=6&amp;number=0.811&amp;sourceID=14","0.811")</f>
        <v>0.811</v>
      </c>
      <c r="G4014" s="4" t="str">
        <f>HYPERLINK("http://141.218.60.56/~jnz1568/getInfo.php?workbook=12_04.xlsx&amp;sheet=A0&amp;row=4014&amp;col=7&amp;number=0&amp;sourceID=14","0")</f>
        <v>0</v>
      </c>
    </row>
    <row r="4015" spans="1:7">
      <c r="A4015" s="3">
        <v>12</v>
      </c>
      <c r="B4015" s="3">
        <v>4</v>
      </c>
      <c r="C4015" s="3">
        <v>77</v>
      </c>
      <c r="D4015" s="3">
        <v>65</v>
      </c>
      <c r="E4015" s="3">
        <v>-5408.339</v>
      </c>
      <c r="F4015" s="4" t="str">
        <f>HYPERLINK("http://141.218.60.56/~jnz1568/getInfo.php?workbook=12_04.xlsx&amp;sheet=A0&amp;row=4015&amp;col=6&amp;number=1.24e-10&amp;sourceID=14","1.24e-10")</f>
        <v>1.24e-10</v>
      </c>
      <c r="G4015" s="4" t="str">
        <f>HYPERLINK("http://141.218.60.56/~jnz1568/getInfo.php?workbook=12_04.xlsx&amp;sheet=A0&amp;row=4015&amp;col=7&amp;number=0&amp;sourceID=14","0")</f>
        <v>0</v>
      </c>
    </row>
    <row r="4016" spans="1:7">
      <c r="A4016" s="3">
        <v>12</v>
      </c>
      <c r="B4016" s="3">
        <v>4</v>
      </c>
      <c r="C4016" s="3">
        <v>78</v>
      </c>
      <c r="D4016" s="3">
        <v>65</v>
      </c>
      <c r="E4016" s="3">
        <v>-4652.47</v>
      </c>
      <c r="F4016" s="4" t="str">
        <f>HYPERLINK("http://141.218.60.56/~jnz1568/getInfo.php?workbook=12_04.xlsx&amp;sheet=A0&amp;row=4016&amp;col=6&amp;number=5690000&amp;sourceID=14","5690000")</f>
        <v>5690000</v>
      </c>
      <c r="G4016" s="4" t="str">
        <f>HYPERLINK("http://141.218.60.56/~jnz1568/getInfo.php?workbook=12_04.xlsx&amp;sheet=A0&amp;row=4016&amp;col=7&amp;number=0&amp;sourceID=14","0")</f>
        <v>0</v>
      </c>
    </row>
    <row r="4017" spans="1:7">
      <c r="A4017" s="3">
        <v>12</v>
      </c>
      <c r="B4017" s="3">
        <v>4</v>
      </c>
      <c r="C4017" s="3">
        <v>79</v>
      </c>
      <c r="D4017" s="3">
        <v>65</v>
      </c>
      <c r="E4017" s="3">
        <v>-4522.235</v>
      </c>
      <c r="F4017" s="4" t="str">
        <f>HYPERLINK("http://141.218.60.56/~jnz1568/getInfo.php?workbook=12_04.xlsx&amp;sheet=A0&amp;row=4017&amp;col=6&amp;number=377000&amp;sourceID=14","377000")</f>
        <v>377000</v>
      </c>
      <c r="G4017" s="4" t="str">
        <f>HYPERLINK("http://141.218.60.56/~jnz1568/getInfo.php?workbook=12_04.xlsx&amp;sheet=A0&amp;row=4017&amp;col=7&amp;number=0&amp;sourceID=14","0")</f>
        <v>0</v>
      </c>
    </row>
    <row r="4018" spans="1:7">
      <c r="A4018" s="3">
        <v>12</v>
      </c>
      <c r="B4018" s="3">
        <v>4</v>
      </c>
      <c r="C4018" s="3">
        <v>80</v>
      </c>
      <c r="D4018" s="3">
        <v>65</v>
      </c>
      <c r="E4018" s="3">
        <v>-4281.93</v>
      </c>
      <c r="F4018" s="4" t="str">
        <f>HYPERLINK("http://141.218.60.56/~jnz1568/getInfo.php?workbook=12_04.xlsx&amp;sheet=A0&amp;row=4018&amp;col=6&amp;number=2.36&amp;sourceID=14","2.36")</f>
        <v>2.36</v>
      </c>
      <c r="G4018" s="4" t="str">
        <f>HYPERLINK("http://141.218.60.56/~jnz1568/getInfo.php?workbook=12_04.xlsx&amp;sheet=A0&amp;row=4018&amp;col=7&amp;number=0&amp;sourceID=14","0")</f>
        <v>0</v>
      </c>
    </row>
    <row r="4019" spans="1:7">
      <c r="A4019" s="3">
        <v>12</v>
      </c>
      <c r="B4019" s="3">
        <v>4</v>
      </c>
      <c r="C4019" s="3">
        <v>81</v>
      </c>
      <c r="D4019" s="3">
        <v>65</v>
      </c>
      <c r="E4019" s="3">
        <v>-4276.985</v>
      </c>
      <c r="F4019" s="4" t="str">
        <f>HYPERLINK("http://141.218.60.56/~jnz1568/getInfo.php?workbook=12_04.xlsx&amp;sheet=A0&amp;row=4019&amp;col=6&amp;number=9.83e-05&amp;sourceID=14","9.83e-05")</f>
        <v>9.83e-05</v>
      </c>
      <c r="G4019" s="4" t="str">
        <f>HYPERLINK("http://141.218.60.56/~jnz1568/getInfo.php?workbook=12_04.xlsx&amp;sheet=A0&amp;row=4019&amp;col=7&amp;number=0&amp;sourceID=14","0")</f>
        <v>0</v>
      </c>
    </row>
    <row r="4020" spans="1:7">
      <c r="A4020" s="3">
        <v>12</v>
      </c>
      <c r="B4020" s="3">
        <v>4</v>
      </c>
      <c r="C4020" s="3">
        <v>82</v>
      </c>
      <c r="D4020" s="3">
        <v>65</v>
      </c>
      <c r="E4020" s="3">
        <v>-4216.57</v>
      </c>
      <c r="F4020" s="4" t="str">
        <f>HYPERLINK("http://141.218.60.56/~jnz1568/getInfo.php?workbook=12_04.xlsx&amp;sheet=A0&amp;row=4020&amp;col=6&amp;number=0.932&amp;sourceID=14","0.932")</f>
        <v>0.932</v>
      </c>
      <c r="G4020" s="4" t="str">
        <f>HYPERLINK("http://141.218.60.56/~jnz1568/getInfo.php?workbook=12_04.xlsx&amp;sheet=A0&amp;row=4020&amp;col=7&amp;number=0&amp;sourceID=14","0")</f>
        <v>0</v>
      </c>
    </row>
    <row r="4021" spans="1:7">
      <c r="A4021" s="3">
        <v>12</v>
      </c>
      <c r="B4021" s="3">
        <v>4</v>
      </c>
      <c r="C4021" s="3">
        <v>83</v>
      </c>
      <c r="D4021" s="3">
        <v>65</v>
      </c>
      <c r="E4021" s="3">
        <v>-4215.682</v>
      </c>
      <c r="F4021" s="4" t="str">
        <f>HYPERLINK("http://141.218.60.56/~jnz1568/getInfo.php?workbook=12_04.xlsx&amp;sheet=A0&amp;row=4021&amp;col=6&amp;number=0.711&amp;sourceID=14","0.711")</f>
        <v>0.711</v>
      </c>
      <c r="G4021" s="4" t="str">
        <f>HYPERLINK("http://141.218.60.56/~jnz1568/getInfo.php?workbook=12_04.xlsx&amp;sheet=A0&amp;row=4021&amp;col=7&amp;number=0&amp;sourceID=14","0")</f>
        <v>0</v>
      </c>
    </row>
    <row r="4022" spans="1:7">
      <c r="A4022" s="3">
        <v>12</v>
      </c>
      <c r="B4022" s="3">
        <v>4</v>
      </c>
      <c r="C4022" s="3">
        <v>84</v>
      </c>
      <c r="D4022" s="3">
        <v>65</v>
      </c>
      <c r="E4022" s="3">
        <v>-4158.704</v>
      </c>
      <c r="F4022" s="4" t="str">
        <f>HYPERLINK("http://141.218.60.56/~jnz1568/getInfo.php?workbook=12_04.xlsx&amp;sheet=A0&amp;row=4022&amp;col=6&amp;number=3.98e-12&amp;sourceID=14","3.98e-12")</f>
        <v>3.98e-12</v>
      </c>
      <c r="G4022" s="4" t="str">
        <f>HYPERLINK("http://141.218.60.56/~jnz1568/getInfo.php?workbook=12_04.xlsx&amp;sheet=A0&amp;row=4022&amp;col=7&amp;number=0&amp;sourceID=14","0")</f>
        <v>0</v>
      </c>
    </row>
    <row r="4023" spans="1:7">
      <c r="A4023" s="3">
        <v>12</v>
      </c>
      <c r="B4023" s="3">
        <v>4</v>
      </c>
      <c r="C4023" s="3">
        <v>85</v>
      </c>
      <c r="D4023" s="3">
        <v>65</v>
      </c>
      <c r="E4023" s="3">
        <v>-3917.888</v>
      </c>
      <c r="F4023" s="4" t="str">
        <f>HYPERLINK("http://141.218.60.56/~jnz1568/getInfo.php?workbook=12_04.xlsx&amp;sheet=A0&amp;row=4023&amp;col=6&amp;number=37100&amp;sourceID=14","37100")</f>
        <v>37100</v>
      </c>
      <c r="G4023" s="4" t="str">
        <f>HYPERLINK("http://141.218.60.56/~jnz1568/getInfo.php?workbook=12_04.xlsx&amp;sheet=A0&amp;row=4023&amp;col=7&amp;number=0&amp;sourceID=14","0")</f>
        <v>0</v>
      </c>
    </row>
    <row r="4024" spans="1:7">
      <c r="A4024" s="3">
        <v>12</v>
      </c>
      <c r="B4024" s="3">
        <v>4</v>
      </c>
      <c r="C4024" s="3">
        <v>86</v>
      </c>
      <c r="D4024" s="3">
        <v>65</v>
      </c>
      <c r="E4024" s="3">
        <v>-3824.976</v>
      </c>
      <c r="F4024" s="4" t="str">
        <f>HYPERLINK("http://141.218.60.56/~jnz1568/getInfo.php?workbook=12_04.xlsx&amp;sheet=A0&amp;row=4024&amp;col=6&amp;number=992000&amp;sourceID=14","992000")</f>
        <v>992000</v>
      </c>
      <c r="G4024" s="4" t="str">
        <f>HYPERLINK("http://141.218.60.56/~jnz1568/getInfo.php?workbook=12_04.xlsx&amp;sheet=A0&amp;row=4024&amp;col=7&amp;number=0&amp;sourceID=14","0")</f>
        <v>0</v>
      </c>
    </row>
    <row r="4025" spans="1:7">
      <c r="A4025" s="3">
        <v>12</v>
      </c>
      <c r="B4025" s="3">
        <v>4</v>
      </c>
      <c r="C4025" s="3">
        <v>87</v>
      </c>
      <c r="D4025" s="3">
        <v>65</v>
      </c>
      <c r="E4025" s="3">
        <v>-3777.012</v>
      </c>
      <c r="F4025" s="4" t="str">
        <f>HYPERLINK("http://141.218.60.56/~jnz1568/getInfo.php?workbook=12_04.xlsx&amp;sheet=A0&amp;row=4025&amp;col=6&amp;number=960000&amp;sourceID=14","960000")</f>
        <v>960000</v>
      </c>
      <c r="G4025" s="4" t="str">
        <f>HYPERLINK("http://141.218.60.56/~jnz1568/getInfo.php?workbook=12_04.xlsx&amp;sheet=A0&amp;row=4025&amp;col=7&amp;number=0&amp;sourceID=14","0")</f>
        <v>0</v>
      </c>
    </row>
    <row r="4026" spans="1:7">
      <c r="A4026" s="3">
        <v>12</v>
      </c>
      <c r="B4026" s="3">
        <v>4</v>
      </c>
      <c r="C4026" s="3">
        <v>88</v>
      </c>
      <c r="D4026" s="3">
        <v>65</v>
      </c>
      <c r="E4026" s="3">
        <v>-3668.52</v>
      </c>
      <c r="F4026" s="4" t="str">
        <f>HYPERLINK("http://141.218.60.56/~jnz1568/getInfo.php?workbook=12_04.xlsx&amp;sheet=A0&amp;row=4026&amp;col=6&amp;number=0.0655&amp;sourceID=14","0.0655")</f>
        <v>0.0655</v>
      </c>
      <c r="G4026" s="4" t="str">
        <f>HYPERLINK("http://141.218.60.56/~jnz1568/getInfo.php?workbook=12_04.xlsx&amp;sheet=A0&amp;row=4026&amp;col=7&amp;number=0&amp;sourceID=14","0")</f>
        <v>0</v>
      </c>
    </row>
    <row r="4027" spans="1:7">
      <c r="A4027" s="3">
        <v>12</v>
      </c>
      <c r="B4027" s="3">
        <v>4</v>
      </c>
      <c r="C4027" s="3">
        <v>89</v>
      </c>
      <c r="D4027" s="3">
        <v>65</v>
      </c>
      <c r="E4027" s="3">
        <v>-3607.25</v>
      </c>
      <c r="F4027" s="4" t="str">
        <f>HYPERLINK("http://141.218.60.56/~jnz1568/getInfo.php?workbook=12_04.xlsx&amp;sheet=A0&amp;row=4027&amp;col=6&amp;number=1.77e-11&amp;sourceID=14","1.77e-11")</f>
        <v>1.77e-11</v>
      </c>
      <c r="G4027" s="4" t="str">
        <f>HYPERLINK("http://141.218.60.56/~jnz1568/getInfo.php?workbook=12_04.xlsx&amp;sheet=A0&amp;row=4027&amp;col=7&amp;number=0&amp;sourceID=14","0")</f>
        <v>0</v>
      </c>
    </row>
    <row r="4028" spans="1:7">
      <c r="A4028" s="3">
        <v>12</v>
      </c>
      <c r="B4028" s="3">
        <v>4</v>
      </c>
      <c r="C4028" s="3">
        <v>90</v>
      </c>
      <c r="D4028" s="3">
        <v>65</v>
      </c>
      <c r="E4028" s="3">
        <v>-3436.905</v>
      </c>
      <c r="F4028" s="4" t="str">
        <f>HYPERLINK("http://141.218.60.56/~jnz1568/getInfo.php?workbook=12_04.xlsx&amp;sheet=A0&amp;row=4028&amp;col=6&amp;number=1.54e-16&amp;sourceID=14","1.54e-16")</f>
        <v>1.54e-16</v>
      </c>
      <c r="G4028" s="4" t="str">
        <f>HYPERLINK("http://141.218.60.56/~jnz1568/getInfo.php?workbook=12_04.xlsx&amp;sheet=A0&amp;row=4028&amp;col=7&amp;number=0&amp;sourceID=14","0")</f>
        <v>0</v>
      </c>
    </row>
    <row r="4029" spans="1:7">
      <c r="A4029" s="3">
        <v>12</v>
      </c>
      <c r="B4029" s="3">
        <v>4</v>
      </c>
      <c r="C4029" s="3">
        <v>91</v>
      </c>
      <c r="D4029" s="3">
        <v>65</v>
      </c>
      <c r="E4029" s="3">
        <v>-3298.703</v>
      </c>
      <c r="F4029" s="4" t="str">
        <f>HYPERLINK("http://141.218.60.56/~jnz1568/getInfo.php?workbook=12_04.xlsx&amp;sheet=A0&amp;row=4029&amp;col=6&amp;number=0.0214&amp;sourceID=14","0.0214")</f>
        <v>0.0214</v>
      </c>
      <c r="G4029" s="4" t="str">
        <f>HYPERLINK("http://141.218.60.56/~jnz1568/getInfo.php?workbook=12_04.xlsx&amp;sheet=A0&amp;row=4029&amp;col=7&amp;number=0&amp;sourceID=14","0")</f>
        <v>0</v>
      </c>
    </row>
    <row r="4030" spans="1:7">
      <c r="A4030" s="3">
        <v>12</v>
      </c>
      <c r="B4030" s="3">
        <v>4</v>
      </c>
      <c r="C4030" s="3">
        <v>92</v>
      </c>
      <c r="D4030" s="3">
        <v>65</v>
      </c>
      <c r="E4030" s="3">
        <v>-3267.766</v>
      </c>
      <c r="F4030" s="4" t="str">
        <f>HYPERLINK("http://141.218.60.56/~jnz1568/getInfo.php?workbook=12_04.xlsx&amp;sheet=A0&amp;row=4030&amp;col=6&amp;number=3.41e-12&amp;sourceID=14","3.41e-12")</f>
        <v>3.41e-12</v>
      </c>
      <c r="G4030" s="4" t="str">
        <f>HYPERLINK("http://141.218.60.56/~jnz1568/getInfo.php?workbook=12_04.xlsx&amp;sheet=A0&amp;row=4030&amp;col=7&amp;number=0&amp;sourceID=14","0")</f>
        <v>0</v>
      </c>
    </row>
    <row r="4031" spans="1:7">
      <c r="A4031" s="3">
        <v>12</v>
      </c>
      <c r="B4031" s="3">
        <v>4</v>
      </c>
      <c r="C4031" s="3">
        <v>93</v>
      </c>
      <c r="D4031" s="3">
        <v>65</v>
      </c>
      <c r="E4031" s="3">
        <v>-3239.922</v>
      </c>
      <c r="F4031" s="4" t="str">
        <f>HYPERLINK("http://141.218.60.56/~jnz1568/getInfo.php?workbook=12_04.xlsx&amp;sheet=A0&amp;row=4031&amp;col=6&amp;number=1.98&amp;sourceID=14","1.98")</f>
        <v>1.98</v>
      </c>
      <c r="G4031" s="4" t="str">
        <f>HYPERLINK("http://141.218.60.56/~jnz1568/getInfo.php?workbook=12_04.xlsx&amp;sheet=A0&amp;row=4031&amp;col=7&amp;number=0&amp;sourceID=14","0")</f>
        <v>0</v>
      </c>
    </row>
    <row r="4032" spans="1:7">
      <c r="A4032" s="3">
        <v>12</v>
      </c>
      <c r="B4032" s="3">
        <v>4</v>
      </c>
      <c r="C4032" s="3">
        <v>94</v>
      </c>
      <c r="D4032" s="3">
        <v>65</v>
      </c>
      <c r="E4032" s="3">
        <v>-3141.499</v>
      </c>
      <c r="F4032" s="4" t="str">
        <f>HYPERLINK("http://141.218.60.56/~jnz1568/getInfo.php?workbook=12_04.xlsx&amp;sheet=A0&amp;row=4032&amp;col=6&amp;number=0.0225&amp;sourceID=14","0.0225")</f>
        <v>0.0225</v>
      </c>
      <c r="G4032" s="4" t="str">
        <f>HYPERLINK("http://141.218.60.56/~jnz1568/getInfo.php?workbook=12_04.xlsx&amp;sheet=A0&amp;row=4032&amp;col=7&amp;number=0&amp;sourceID=14","0")</f>
        <v>0</v>
      </c>
    </row>
    <row r="4033" spans="1:7">
      <c r="A4033" s="3">
        <v>12</v>
      </c>
      <c r="B4033" s="3">
        <v>4</v>
      </c>
      <c r="C4033" s="3">
        <v>95</v>
      </c>
      <c r="D4033" s="3">
        <v>65</v>
      </c>
      <c r="E4033" s="3">
        <v>-3080.151</v>
      </c>
      <c r="F4033" s="4" t="str">
        <f>HYPERLINK("http://141.218.60.56/~jnz1568/getInfo.php?workbook=12_04.xlsx&amp;sheet=A0&amp;row=4033&amp;col=6&amp;number=0.0319&amp;sourceID=14","0.0319")</f>
        <v>0.0319</v>
      </c>
      <c r="G4033" s="4" t="str">
        <f>HYPERLINK("http://141.218.60.56/~jnz1568/getInfo.php?workbook=12_04.xlsx&amp;sheet=A0&amp;row=4033&amp;col=7&amp;number=0&amp;sourceID=14","0")</f>
        <v>0</v>
      </c>
    </row>
    <row r="4034" spans="1:7">
      <c r="A4034" s="3">
        <v>12</v>
      </c>
      <c r="B4034" s="3">
        <v>4</v>
      </c>
      <c r="C4034" s="3">
        <v>96</v>
      </c>
      <c r="D4034" s="3">
        <v>65</v>
      </c>
      <c r="E4034" s="3">
        <v>-3025.45</v>
      </c>
      <c r="F4034" s="4" t="str">
        <f>HYPERLINK("http://141.218.60.56/~jnz1568/getInfo.php?workbook=12_04.xlsx&amp;sheet=A0&amp;row=4034&amp;col=6&amp;number=6.87&amp;sourceID=14","6.87")</f>
        <v>6.87</v>
      </c>
      <c r="G4034" s="4" t="str">
        <f>HYPERLINK("http://141.218.60.56/~jnz1568/getInfo.php?workbook=12_04.xlsx&amp;sheet=A0&amp;row=4034&amp;col=7&amp;number=0&amp;sourceID=14","0")</f>
        <v>0</v>
      </c>
    </row>
    <row r="4035" spans="1:7">
      <c r="A4035" s="3">
        <v>12</v>
      </c>
      <c r="B4035" s="3">
        <v>4</v>
      </c>
      <c r="C4035" s="3">
        <v>97</v>
      </c>
      <c r="D4035" s="3">
        <v>65</v>
      </c>
      <c r="E4035" s="3">
        <v>-2812.945</v>
      </c>
      <c r="F4035" s="4" t="str">
        <f>HYPERLINK("http://141.218.60.56/~jnz1568/getInfo.php?workbook=12_04.xlsx&amp;sheet=A0&amp;row=4035&amp;col=6&amp;number=3.38e-06&amp;sourceID=14","3.38e-06")</f>
        <v>3.38e-06</v>
      </c>
      <c r="G4035" s="4" t="str">
        <f>HYPERLINK("http://141.218.60.56/~jnz1568/getInfo.php?workbook=12_04.xlsx&amp;sheet=A0&amp;row=4035&amp;col=7&amp;number=0&amp;sourceID=14","0")</f>
        <v>0</v>
      </c>
    </row>
    <row r="4036" spans="1:7">
      <c r="A4036" s="3">
        <v>12</v>
      </c>
      <c r="B4036" s="3">
        <v>4</v>
      </c>
      <c r="C4036" s="3">
        <v>98</v>
      </c>
      <c r="D4036" s="3">
        <v>65</v>
      </c>
      <c r="E4036" s="3">
        <v>-2721.39</v>
      </c>
      <c r="F4036" s="4" t="str">
        <f>HYPERLINK("http://141.218.60.56/~jnz1568/getInfo.php?workbook=12_04.xlsx&amp;sheet=A0&amp;row=4036&amp;col=6&amp;number=47900000&amp;sourceID=14","47900000")</f>
        <v>47900000</v>
      </c>
      <c r="G4036" s="4" t="str">
        <f>HYPERLINK("http://141.218.60.56/~jnz1568/getInfo.php?workbook=12_04.xlsx&amp;sheet=A0&amp;row=4036&amp;col=7&amp;number=0&amp;sourceID=14","0")</f>
        <v>0</v>
      </c>
    </row>
    <row r="4037" spans="1:7">
      <c r="A4037" s="3">
        <v>12</v>
      </c>
      <c r="B4037" s="3">
        <v>4</v>
      </c>
      <c r="C4037" s="3">
        <v>67</v>
      </c>
      <c r="D4037" s="3">
        <v>66</v>
      </c>
      <c r="E4037" s="3">
        <v>-221729.891</v>
      </c>
      <c r="F4037" s="4" t="str">
        <f>HYPERLINK("http://141.218.60.56/~jnz1568/getInfo.php?workbook=12_04.xlsx&amp;sheet=A0&amp;row=4037&amp;col=6&amp;number=0.00152&amp;sourceID=14","0.00152")</f>
        <v>0.00152</v>
      </c>
      <c r="G4037" s="4" t="str">
        <f>HYPERLINK("http://141.218.60.56/~jnz1568/getInfo.php?workbook=12_04.xlsx&amp;sheet=A0&amp;row=4037&amp;col=7&amp;number=0&amp;sourceID=14","0")</f>
        <v>0</v>
      </c>
    </row>
    <row r="4038" spans="1:7">
      <c r="A4038" s="3">
        <v>12</v>
      </c>
      <c r="B4038" s="3">
        <v>4</v>
      </c>
      <c r="C4038" s="3">
        <v>68</v>
      </c>
      <c r="D4038" s="3">
        <v>66</v>
      </c>
      <c r="E4038" s="3">
        <v>-34590.172</v>
      </c>
      <c r="F4038" s="4" t="str">
        <f>HYPERLINK("http://141.218.60.56/~jnz1568/getInfo.php?workbook=12_04.xlsx&amp;sheet=A0&amp;row=4038&amp;col=6&amp;number=7.38e-06&amp;sourceID=14","7.38e-06")</f>
        <v>7.38e-06</v>
      </c>
      <c r="G4038" s="4" t="str">
        <f>HYPERLINK("http://141.218.60.56/~jnz1568/getInfo.php?workbook=12_04.xlsx&amp;sheet=A0&amp;row=4038&amp;col=7&amp;number=0&amp;sourceID=14","0")</f>
        <v>0</v>
      </c>
    </row>
    <row r="4039" spans="1:7">
      <c r="A4039" s="3">
        <v>12</v>
      </c>
      <c r="B4039" s="3">
        <v>4</v>
      </c>
      <c r="C4039" s="3">
        <v>69</v>
      </c>
      <c r="D4039" s="3">
        <v>66</v>
      </c>
      <c r="E4039" s="3">
        <v>-17280.143</v>
      </c>
      <c r="F4039" s="4" t="str">
        <f>HYPERLINK("http://141.218.60.56/~jnz1568/getInfo.php?workbook=12_04.xlsx&amp;sheet=A0&amp;row=4039&amp;col=6&amp;number=0.415&amp;sourceID=14","0.415")</f>
        <v>0.415</v>
      </c>
      <c r="G4039" s="4" t="str">
        <f>HYPERLINK("http://141.218.60.56/~jnz1568/getInfo.php?workbook=12_04.xlsx&amp;sheet=A0&amp;row=4039&amp;col=7&amp;number=0&amp;sourceID=14","0")</f>
        <v>0</v>
      </c>
    </row>
    <row r="4040" spans="1:7">
      <c r="A4040" s="3">
        <v>12</v>
      </c>
      <c r="B4040" s="3">
        <v>4</v>
      </c>
      <c r="C4040" s="3">
        <v>70</v>
      </c>
      <c r="D4040" s="3">
        <v>66</v>
      </c>
      <c r="E4040" s="3">
        <v>-15578.779</v>
      </c>
      <c r="F4040" s="4" t="str">
        <f>HYPERLINK("http://141.218.60.56/~jnz1568/getInfo.php?workbook=12_04.xlsx&amp;sheet=A0&amp;row=4040&amp;col=6&amp;number=0.416&amp;sourceID=14","0.416")</f>
        <v>0.416</v>
      </c>
      <c r="G4040" s="4" t="str">
        <f>HYPERLINK("http://141.218.60.56/~jnz1568/getInfo.php?workbook=12_04.xlsx&amp;sheet=A0&amp;row=4040&amp;col=7&amp;number=0&amp;sourceID=14","0")</f>
        <v>0</v>
      </c>
    </row>
    <row r="4041" spans="1:7">
      <c r="A4041" s="3">
        <v>12</v>
      </c>
      <c r="B4041" s="3">
        <v>4</v>
      </c>
      <c r="C4041" s="3">
        <v>71</v>
      </c>
      <c r="D4041" s="3">
        <v>66</v>
      </c>
      <c r="E4041" s="3">
        <v>-11976.07</v>
      </c>
      <c r="F4041" s="4" t="str">
        <f>HYPERLINK("http://141.218.60.56/~jnz1568/getInfo.php?workbook=12_04.xlsx&amp;sheet=A0&amp;row=4041&amp;col=6&amp;number=0.0206&amp;sourceID=14","0.0206")</f>
        <v>0.0206</v>
      </c>
      <c r="G4041" s="4" t="str">
        <f>HYPERLINK("http://141.218.60.56/~jnz1568/getInfo.php?workbook=12_04.xlsx&amp;sheet=A0&amp;row=4041&amp;col=7&amp;number=0&amp;sourceID=14","0")</f>
        <v>0</v>
      </c>
    </row>
    <row r="4042" spans="1:7">
      <c r="A4042" s="3">
        <v>12</v>
      </c>
      <c r="B4042" s="3">
        <v>4</v>
      </c>
      <c r="C4042" s="3">
        <v>72</v>
      </c>
      <c r="D4042" s="3">
        <v>66</v>
      </c>
      <c r="E4042" s="3">
        <v>-11341.747</v>
      </c>
      <c r="F4042" s="4" t="str">
        <f>HYPERLINK("http://141.218.60.56/~jnz1568/getInfo.php?workbook=12_04.xlsx&amp;sheet=A0&amp;row=4042&amp;col=6&amp;number=0.000982&amp;sourceID=14","0.000982")</f>
        <v>0.000982</v>
      </c>
      <c r="G4042" s="4" t="str">
        <f>HYPERLINK("http://141.218.60.56/~jnz1568/getInfo.php?workbook=12_04.xlsx&amp;sheet=A0&amp;row=4042&amp;col=7&amp;number=0&amp;sourceID=14","0")</f>
        <v>0</v>
      </c>
    </row>
    <row r="4043" spans="1:7">
      <c r="A4043" s="3">
        <v>12</v>
      </c>
      <c r="B4043" s="3">
        <v>4</v>
      </c>
      <c r="C4043" s="3">
        <v>73</v>
      </c>
      <c r="D4043" s="3">
        <v>66</v>
      </c>
      <c r="E4043" s="3">
        <v>-8436.698</v>
      </c>
      <c r="F4043" s="4" t="str">
        <f>HYPERLINK("http://141.218.60.56/~jnz1568/getInfo.php?workbook=12_04.xlsx&amp;sheet=A0&amp;row=4043&amp;col=6&amp;number=1130000&amp;sourceID=14","1130000")</f>
        <v>1130000</v>
      </c>
      <c r="G4043" s="4" t="str">
        <f>HYPERLINK("http://141.218.60.56/~jnz1568/getInfo.php?workbook=12_04.xlsx&amp;sheet=A0&amp;row=4043&amp;col=7&amp;number=0&amp;sourceID=14","0")</f>
        <v>0</v>
      </c>
    </row>
    <row r="4044" spans="1:7">
      <c r="A4044" s="3">
        <v>12</v>
      </c>
      <c r="B4044" s="3">
        <v>4</v>
      </c>
      <c r="C4044" s="3">
        <v>74</v>
      </c>
      <c r="D4044" s="3">
        <v>66</v>
      </c>
      <c r="E4044" s="3">
        <v>-7265.871</v>
      </c>
      <c r="F4044" s="4" t="str">
        <f>HYPERLINK("http://141.218.60.56/~jnz1568/getInfo.php?workbook=12_04.xlsx&amp;sheet=A0&amp;row=4044&amp;col=6&amp;number=1.76e-06&amp;sourceID=14","1.76e-06")</f>
        <v>1.76e-06</v>
      </c>
      <c r="G4044" s="4" t="str">
        <f>HYPERLINK("http://141.218.60.56/~jnz1568/getInfo.php?workbook=12_04.xlsx&amp;sheet=A0&amp;row=4044&amp;col=7&amp;number=0&amp;sourceID=14","0")</f>
        <v>0</v>
      </c>
    </row>
    <row r="4045" spans="1:7">
      <c r="A4045" s="3">
        <v>12</v>
      </c>
      <c r="B4045" s="3">
        <v>4</v>
      </c>
      <c r="C4045" s="3">
        <v>75</v>
      </c>
      <c r="D4045" s="3">
        <v>66</v>
      </c>
      <c r="E4045" s="3">
        <v>-6961.377</v>
      </c>
      <c r="F4045" s="4" t="str">
        <f>HYPERLINK("http://141.218.60.56/~jnz1568/getInfo.php?workbook=12_04.xlsx&amp;sheet=A0&amp;row=4045&amp;col=6&amp;number=10600000&amp;sourceID=14","10600000")</f>
        <v>10600000</v>
      </c>
      <c r="G4045" s="4" t="str">
        <f>HYPERLINK("http://141.218.60.56/~jnz1568/getInfo.php?workbook=12_04.xlsx&amp;sheet=A0&amp;row=4045&amp;col=7&amp;number=0&amp;sourceID=14","0")</f>
        <v>0</v>
      </c>
    </row>
    <row r="4046" spans="1:7">
      <c r="A4046" s="3">
        <v>12</v>
      </c>
      <c r="B4046" s="3">
        <v>4</v>
      </c>
      <c r="C4046" s="3">
        <v>76</v>
      </c>
      <c r="D4046" s="3">
        <v>66</v>
      </c>
      <c r="E4046" s="3">
        <v>-6476.276</v>
      </c>
      <c r="F4046" s="4" t="str">
        <f>HYPERLINK("http://141.218.60.56/~jnz1568/getInfo.php?workbook=12_04.xlsx&amp;sheet=A0&amp;row=4046&amp;col=6&amp;number=0.766&amp;sourceID=14","0.766")</f>
        <v>0.766</v>
      </c>
      <c r="G4046" s="4" t="str">
        <f>HYPERLINK("http://141.218.60.56/~jnz1568/getInfo.php?workbook=12_04.xlsx&amp;sheet=A0&amp;row=4046&amp;col=7&amp;number=0&amp;sourceID=14","0")</f>
        <v>0</v>
      </c>
    </row>
    <row r="4047" spans="1:7">
      <c r="A4047" s="3">
        <v>12</v>
      </c>
      <c r="B4047" s="3">
        <v>4</v>
      </c>
      <c r="C4047" s="3">
        <v>77</v>
      </c>
      <c r="D4047" s="3">
        <v>66</v>
      </c>
      <c r="E4047" s="3">
        <v>-6274.325</v>
      </c>
      <c r="F4047" s="4" t="str">
        <f>HYPERLINK("http://141.218.60.56/~jnz1568/getInfo.php?workbook=12_04.xlsx&amp;sheet=A0&amp;row=4047&amp;col=6&amp;number=5.37e-10&amp;sourceID=14","5.37e-10")</f>
        <v>5.37e-10</v>
      </c>
      <c r="G4047" s="4" t="str">
        <f>HYPERLINK("http://141.218.60.56/~jnz1568/getInfo.php?workbook=12_04.xlsx&amp;sheet=A0&amp;row=4047&amp;col=7&amp;number=0&amp;sourceID=14","0")</f>
        <v>0</v>
      </c>
    </row>
    <row r="4048" spans="1:7">
      <c r="A4048" s="3">
        <v>12</v>
      </c>
      <c r="B4048" s="3">
        <v>4</v>
      </c>
      <c r="C4048" s="3">
        <v>78</v>
      </c>
      <c r="D4048" s="3">
        <v>66</v>
      </c>
      <c r="E4048" s="3">
        <v>-5279.283</v>
      </c>
      <c r="F4048" s="4" t="str">
        <f>HYPERLINK("http://141.218.60.56/~jnz1568/getInfo.php?workbook=12_04.xlsx&amp;sheet=A0&amp;row=4048&amp;col=6&amp;number=1360000&amp;sourceID=14","1360000")</f>
        <v>1360000</v>
      </c>
      <c r="G4048" s="4" t="str">
        <f>HYPERLINK("http://141.218.60.56/~jnz1568/getInfo.php?workbook=12_04.xlsx&amp;sheet=A0&amp;row=4048&amp;col=7&amp;number=0&amp;sourceID=14","0")</f>
        <v>0</v>
      </c>
    </row>
    <row r="4049" spans="1:7">
      <c r="A4049" s="3">
        <v>12</v>
      </c>
      <c r="B4049" s="3">
        <v>4</v>
      </c>
      <c r="C4049" s="3">
        <v>79</v>
      </c>
      <c r="D4049" s="3">
        <v>66</v>
      </c>
      <c r="E4049" s="3">
        <v>-5112.223</v>
      </c>
      <c r="F4049" s="4" t="str">
        <f>HYPERLINK("http://141.218.60.56/~jnz1568/getInfo.php?workbook=12_04.xlsx&amp;sheet=A0&amp;row=4049&amp;col=6&amp;number=288000&amp;sourceID=14","288000")</f>
        <v>288000</v>
      </c>
      <c r="G4049" s="4" t="str">
        <f>HYPERLINK("http://141.218.60.56/~jnz1568/getInfo.php?workbook=12_04.xlsx&amp;sheet=A0&amp;row=4049&amp;col=7&amp;number=0&amp;sourceID=14","0")</f>
        <v>0</v>
      </c>
    </row>
    <row r="4050" spans="1:7">
      <c r="A4050" s="3">
        <v>12</v>
      </c>
      <c r="B4050" s="3">
        <v>4</v>
      </c>
      <c r="C4050" s="3">
        <v>80</v>
      </c>
      <c r="D4050" s="3">
        <v>66</v>
      </c>
      <c r="E4050" s="3">
        <v>-4807.239</v>
      </c>
      <c r="F4050" s="4" t="str">
        <f>HYPERLINK("http://141.218.60.56/~jnz1568/getInfo.php?workbook=12_04.xlsx&amp;sheet=A0&amp;row=4050&amp;col=6&amp;number=0.18&amp;sourceID=14","0.18")</f>
        <v>0.18</v>
      </c>
      <c r="G4050" s="4" t="str">
        <f>HYPERLINK("http://141.218.60.56/~jnz1568/getInfo.php?workbook=12_04.xlsx&amp;sheet=A0&amp;row=4050&amp;col=7&amp;number=0&amp;sourceID=14","0")</f>
        <v>0</v>
      </c>
    </row>
    <row r="4051" spans="1:7">
      <c r="A4051" s="3">
        <v>12</v>
      </c>
      <c r="B4051" s="3">
        <v>4</v>
      </c>
      <c r="C4051" s="3">
        <v>81</v>
      </c>
      <c r="D4051" s="3">
        <v>66</v>
      </c>
      <c r="E4051" s="3">
        <v>-4801.007</v>
      </c>
      <c r="F4051" s="4" t="str">
        <f>HYPERLINK("http://141.218.60.56/~jnz1568/getInfo.php?workbook=12_04.xlsx&amp;sheet=A0&amp;row=4051&amp;col=6&amp;number=8.1e-06&amp;sourceID=14","8.1e-06")</f>
        <v>8.1e-06</v>
      </c>
      <c r="G4051" s="4" t="str">
        <f>HYPERLINK("http://141.218.60.56/~jnz1568/getInfo.php?workbook=12_04.xlsx&amp;sheet=A0&amp;row=4051&amp;col=7&amp;number=0&amp;sourceID=14","0")</f>
        <v>0</v>
      </c>
    </row>
    <row r="4052" spans="1:7">
      <c r="A4052" s="3">
        <v>12</v>
      </c>
      <c r="B4052" s="3">
        <v>4</v>
      </c>
      <c r="C4052" s="3">
        <v>82</v>
      </c>
      <c r="D4052" s="3">
        <v>66</v>
      </c>
      <c r="E4052" s="3">
        <v>-4725.013</v>
      </c>
      <c r="F4052" s="4" t="str">
        <f>HYPERLINK("http://141.218.60.56/~jnz1568/getInfo.php?workbook=12_04.xlsx&amp;sheet=A0&amp;row=4052&amp;col=6&amp;number=0.0611&amp;sourceID=14","0.0611")</f>
        <v>0.0611</v>
      </c>
      <c r="G4052" s="4" t="str">
        <f>HYPERLINK("http://141.218.60.56/~jnz1568/getInfo.php?workbook=12_04.xlsx&amp;sheet=A0&amp;row=4052&amp;col=7&amp;number=0&amp;sourceID=14","0")</f>
        <v>0</v>
      </c>
    </row>
    <row r="4053" spans="1:7">
      <c r="A4053" s="3">
        <v>12</v>
      </c>
      <c r="B4053" s="3">
        <v>4</v>
      </c>
      <c r="C4053" s="3">
        <v>83</v>
      </c>
      <c r="D4053" s="3">
        <v>66</v>
      </c>
      <c r="E4053" s="3">
        <v>-4723.898</v>
      </c>
      <c r="F4053" s="4" t="str">
        <f>HYPERLINK("http://141.218.60.56/~jnz1568/getInfo.php?workbook=12_04.xlsx&amp;sheet=A0&amp;row=4053&amp;col=6&amp;number=0.939&amp;sourceID=14","0.939")</f>
        <v>0.939</v>
      </c>
      <c r="G4053" s="4" t="str">
        <f>HYPERLINK("http://141.218.60.56/~jnz1568/getInfo.php?workbook=12_04.xlsx&amp;sheet=A0&amp;row=4053&amp;col=7&amp;number=0&amp;sourceID=14","0")</f>
        <v>0</v>
      </c>
    </row>
    <row r="4054" spans="1:7">
      <c r="A4054" s="3">
        <v>12</v>
      </c>
      <c r="B4054" s="3">
        <v>4</v>
      </c>
      <c r="C4054" s="3">
        <v>84</v>
      </c>
      <c r="D4054" s="3">
        <v>66</v>
      </c>
      <c r="E4054" s="3">
        <v>-4652.47</v>
      </c>
      <c r="F4054" s="4" t="str">
        <f>HYPERLINK("http://141.218.60.56/~jnz1568/getInfo.php?workbook=12_04.xlsx&amp;sheet=A0&amp;row=4054&amp;col=6&amp;number=6.66e-13&amp;sourceID=14","6.66e-13")</f>
        <v>6.66e-13</v>
      </c>
      <c r="G4054" s="4" t="str">
        <f>HYPERLINK("http://141.218.60.56/~jnz1568/getInfo.php?workbook=12_04.xlsx&amp;sheet=A0&amp;row=4054&amp;col=7&amp;number=0&amp;sourceID=14","0")</f>
        <v>0</v>
      </c>
    </row>
    <row r="4055" spans="1:7">
      <c r="A4055" s="3">
        <v>12</v>
      </c>
      <c r="B4055" s="3">
        <v>4</v>
      </c>
      <c r="C4055" s="3">
        <v>85</v>
      </c>
      <c r="D4055" s="3">
        <v>66</v>
      </c>
      <c r="E4055" s="3">
        <v>-4353.134</v>
      </c>
      <c r="F4055" s="4" t="str">
        <f>HYPERLINK("http://141.218.60.56/~jnz1568/getInfo.php?workbook=12_04.xlsx&amp;sheet=A0&amp;row=4055&amp;col=6&amp;number=19600&amp;sourceID=14","19600")</f>
        <v>19600</v>
      </c>
      <c r="G4055" s="4" t="str">
        <f>HYPERLINK("http://141.218.60.56/~jnz1568/getInfo.php?workbook=12_04.xlsx&amp;sheet=A0&amp;row=4055&amp;col=7&amp;number=0&amp;sourceID=14","0")</f>
        <v>0</v>
      </c>
    </row>
    <row r="4056" spans="1:7">
      <c r="A4056" s="3">
        <v>12</v>
      </c>
      <c r="B4056" s="3">
        <v>4</v>
      </c>
      <c r="C4056" s="3">
        <v>86</v>
      </c>
      <c r="D4056" s="3">
        <v>66</v>
      </c>
      <c r="E4056" s="3">
        <v>-4238.733</v>
      </c>
      <c r="F4056" s="4" t="str">
        <f>HYPERLINK("http://141.218.60.56/~jnz1568/getInfo.php?workbook=12_04.xlsx&amp;sheet=A0&amp;row=4056&amp;col=6&amp;number=12700&amp;sourceID=14","12700")</f>
        <v>12700</v>
      </c>
      <c r="G4056" s="4" t="str">
        <f>HYPERLINK("http://141.218.60.56/~jnz1568/getInfo.php?workbook=12_04.xlsx&amp;sheet=A0&amp;row=4056&amp;col=7&amp;number=0&amp;sourceID=14","0")</f>
        <v>0</v>
      </c>
    </row>
    <row r="4057" spans="1:7">
      <c r="A4057" s="3">
        <v>12</v>
      </c>
      <c r="B4057" s="3">
        <v>4</v>
      </c>
      <c r="C4057" s="3">
        <v>87</v>
      </c>
      <c r="D4057" s="3">
        <v>66</v>
      </c>
      <c r="E4057" s="3">
        <v>-4179.911</v>
      </c>
      <c r="F4057" s="4" t="str">
        <f>HYPERLINK("http://141.218.60.56/~jnz1568/getInfo.php?workbook=12_04.xlsx&amp;sheet=A0&amp;row=4057&amp;col=6&amp;number=4280000&amp;sourceID=14","4280000")</f>
        <v>4280000</v>
      </c>
      <c r="G4057" s="4" t="str">
        <f>HYPERLINK("http://141.218.60.56/~jnz1568/getInfo.php?workbook=12_04.xlsx&amp;sheet=A0&amp;row=4057&amp;col=7&amp;number=0&amp;sourceID=14","0")</f>
        <v>0</v>
      </c>
    </row>
    <row r="4058" spans="1:7">
      <c r="A4058" s="3">
        <v>12</v>
      </c>
      <c r="B4058" s="3">
        <v>4</v>
      </c>
      <c r="C4058" s="3">
        <v>88</v>
      </c>
      <c r="D4058" s="3">
        <v>66</v>
      </c>
      <c r="E4058" s="3">
        <v>-4047.443</v>
      </c>
      <c r="F4058" s="4" t="str">
        <f>HYPERLINK("http://141.218.60.56/~jnz1568/getInfo.php?workbook=12_04.xlsx&amp;sheet=A0&amp;row=4058&amp;col=6&amp;number=2.36&amp;sourceID=14","2.36")</f>
        <v>2.36</v>
      </c>
      <c r="G4058" s="4" t="str">
        <f>HYPERLINK("http://141.218.60.56/~jnz1568/getInfo.php?workbook=12_04.xlsx&amp;sheet=A0&amp;row=4058&amp;col=7&amp;number=0&amp;sourceID=14","0")</f>
        <v>0</v>
      </c>
    </row>
    <row r="4059" spans="1:7">
      <c r="A4059" s="3">
        <v>12</v>
      </c>
      <c r="B4059" s="3">
        <v>4</v>
      </c>
      <c r="C4059" s="3">
        <v>89</v>
      </c>
      <c r="D4059" s="3">
        <v>66</v>
      </c>
      <c r="E4059" s="3">
        <v>-3972.991</v>
      </c>
      <c r="F4059" s="4" t="str">
        <f>HYPERLINK("http://141.218.60.56/~jnz1568/getInfo.php?workbook=12_04.xlsx&amp;sheet=A0&amp;row=4059&amp;col=6&amp;number=8.92e-15&amp;sourceID=14","8.92e-15")</f>
        <v>8.92e-15</v>
      </c>
      <c r="G4059" s="4" t="str">
        <f>HYPERLINK("http://141.218.60.56/~jnz1568/getInfo.php?workbook=12_04.xlsx&amp;sheet=A0&amp;row=4059&amp;col=7&amp;number=0&amp;sourceID=14","0")</f>
        <v>0</v>
      </c>
    </row>
    <row r="4060" spans="1:7">
      <c r="A4060" s="3">
        <v>12</v>
      </c>
      <c r="B4060" s="3">
        <v>4</v>
      </c>
      <c r="C4060" s="3">
        <v>90</v>
      </c>
      <c r="D4060" s="3">
        <v>66</v>
      </c>
      <c r="E4060" s="3">
        <v>-3767.337</v>
      </c>
      <c r="F4060" s="4" t="str">
        <f>HYPERLINK("http://141.218.60.56/~jnz1568/getInfo.php?workbook=12_04.xlsx&amp;sheet=A0&amp;row=4060&amp;col=6&amp;number=8.11e-16&amp;sourceID=14","8.11e-16")</f>
        <v>8.11e-16</v>
      </c>
      <c r="G4060" s="4" t="str">
        <f>HYPERLINK("http://141.218.60.56/~jnz1568/getInfo.php?workbook=12_04.xlsx&amp;sheet=A0&amp;row=4060&amp;col=7&amp;number=0&amp;sourceID=14","0")</f>
        <v>0</v>
      </c>
    </row>
    <row r="4061" spans="1:7">
      <c r="A4061" s="3">
        <v>12</v>
      </c>
      <c r="B4061" s="3">
        <v>4</v>
      </c>
      <c r="C4061" s="3">
        <v>91</v>
      </c>
      <c r="D4061" s="3">
        <v>66</v>
      </c>
      <c r="E4061" s="3">
        <v>-3601.923</v>
      </c>
      <c r="F4061" s="4" t="str">
        <f>HYPERLINK("http://141.218.60.56/~jnz1568/getInfo.php?workbook=12_04.xlsx&amp;sheet=A0&amp;row=4061&amp;col=6&amp;number=0.00774&amp;sourceID=14","0.00774")</f>
        <v>0.00774</v>
      </c>
      <c r="G4061" s="4" t="str">
        <f>HYPERLINK("http://141.218.60.56/~jnz1568/getInfo.php?workbook=12_04.xlsx&amp;sheet=A0&amp;row=4061&amp;col=7&amp;number=0&amp;sourceID=14","0")</f>
        <v>0</v>
      </c>
    </row>
    <row r="4062" spans="1:7">
      <c r="A4062" s="3">
        <v>12</v>
      </c>
      <c r="B4062" s="3">
        <v>4</v>
      </c>
      <c r="C4062" s="3">
        <v>92</v>
      </c>
      <c r="D4062" s="3">
        <v>66</v>
      </c>
      <c r="E4062" s="3">
        <v>-3565.069</v>
      </c>
      <c r="F4062" s="4" t="str">
        <f>HYPERLINK("http://141.218.60.56/~jnz1568/getInfo.php?workbook=12_04.xlsx&amp;sheet=A0&amp;row=4062&amp;col=6&amp;number=4.54e-11&amp;sourceID=14","4.54e-11")</f>
        <v>4.54e-11</v>
      </c>
      <c r="G4062" s="4" t="str">
        <f>HYPERLINK("http://141.218.60.56/~jnz1568/getInfo.php?workbook=12_04.xlsx&amp;sheet=A0&amp;row=4062&amp;col=7&amp;number=0&amp;sourceID=14","0")</f>
        <v>0</v>
      </c>
    </row>
    <row r="4063" spans="1:7">
      <c r="A4063" s="3">
        <v>12</v>
      </c>
      <c r="B4063" s="3">
        <v>4</v>
      </c>
      <c r="C4063" s="3">
        <v>93</v>
      </c>
      <c r="D4063" s="3">
        <v>66</v>
      </c>
      <c r="E4063" s="3">
        <v>-3531.953</v>
      </c>
      <c r="F4063" s="4" t="str">
        <f>HYPERLINK("http://141.218.60.56/~jnz1568/getInfo.php?workbook=12_04.xlsx&amp;sheet=A0&amp;row=4063&amp;col=6&amp;number=0.379&amp;sourceID=14","0.379")</f>
        <v>0.379</v>
      </c>
      <c r="G4063" s="4" t="str">
        <f>HYPERLINK("http://141.218.60.56/~jnz1568/getInfo.php?workbook=12_04.xlsx&amp;sheet=A0&amp;row=4063&amp;col=7&amp;number=0&amp;sourceID=14","0")</f>
        <v>0</v>
      </c>
    </row>
    <row r="4064" spans="1:7">
      <c r="A4064" s="3">
        <v>12</v>
      </c>
      <c r="B4064" s="3">
        <v>4</v>
      </c>
      <c r="C4064" s="3">
        <v>94</v>
      </c>
      <c r="D4064" s="3">
        <v>66</v>
      </c>
      <c r="E4064" s="3">
        <v>-3415.307</v>
      </c>
      <c r="F4064" s="4" t="str">
        <f>HYPERLINK("http://141.218.60.56/~jnz1568/getInfo.php?workbook=12_04.xlsx&amp;sheet=A0&amp;row=4064&amp;col=6&amp;number=0.163&amp;sourceID=14","0.163")</f>
        <v>0.163</v>
      </c>
      <c r="G4064" s="4" t="str">
        <f>HYPERLINK("http://141.218.60.56/~jnz1568/getInfo.php?workbook=12_04.xlsx&amp;sheet=A0&amp;row=4064&amp;col=7&amp;number=0&amp;sourceID=14","0")</f>
        <v>0</v>
      </c>
    </row>
    <row r="4065" spans="1:7">
      <c r="A4065" s="3">
        <v>12</v>
      </c>
      <c r="B4065" s="3">
        <v>4</v>
      </c>
      <c r="C4065" s="3">
        <v>95</v>
      </c>
      <c r="D4065" s="3">
        <v>66</v>
      </c>
      <c r="E4065" s="3">
        <v>-3342.923</v>
      </c>
      <c r="F4065" s="4" t="str">
        <f>HYPERLINK("http://141.218.60.56/~jnz1568/getInfo.php?workbook=12_04.xlsx&amp;sheet=A0&amp;row=4065&amp;col=6&amp;number=0.341&amp;sourceID=14","0.341")</f>
        <v>0.341</v>
      </c>
      <c r="G4065" s="4" t="str">
        <f>HYPERLINK("http://141.218.60.56/~jnz1568/getInfo.php?workbook=12_04.xlsx&amp;sheet=A0&amp;row=4065&amp;col=7&amp;number=0&amp;sourceID=14","0")</f>
        <v>0</v>
      </c>
    </row>
    <row r="4066" spans="1:7">
      <c r="A4066" s="3">
        <v>12</v>
      </c>
      <c r="B4066" s="3">
        <v>4</v>
      </c>
      <c r="C4066" s="3">
        <v>96</v>
      </c>
      <c r="D4066" s="3">
        <v>66</v>
      </c>
      <c r="E4066" s="3">
        <v>-3278.587</v>
      </c>
      <c r="F4066" s="4" t="str">
        <f>HYPERLINK("http://141.218.60.56/~jnz1568/getInfo.php?workbook=12_04.xlsx&amp;sheet=A0&amp;row=4066&amp;col=6&amp;number=3.48&amp;sourceID=14","3.48")</f>
        <v>3.48</v>
      </c>
      <c r="G4066" s="4" t="str">
        <f>HYPERLINK("http://141.218.60.56/~jnz1568/getInfo.php?workbook=12_04.xlsx&amp;sheet=A0&amp;row=4066&amp;col=7&amp;number=0&amp;sourceID=14","0")</f>
        <v>0</v>
      </c>
    </row>
    <row r="4067" spans="1:7">
      <c r="A4067" s="3">
        <v>12</v>
      </c>
      <c r="B4067" s="3">
        <v>4</v>
      </c>
      <c r="C4067" s="3">
        <v>97</v>
      </c>
      <c r="D4067" s="3">
        <v>66</v>
      </c>
      <c r="E4067" s="3">
        <v>-3030.492</v>
      </c>
      <c r="F4067" s="4" t="str">
        <f>HYPERLINK("http://141.218.60.56/~jnz1568/getInfo.php?workbook=12_04.xlsx&amp;sheet=A0&amp;row=4067&amp;col=6&amp;number=0.000428&amp;sourceID=14","0.000428")</f>
        <v>0.000428</v>
      </c>
      <c r="G4067" s="4" t="str">
        <f>HYPERLINK("http://141.218.60.56/~jnz1568/getInfo.php?workbook=12_04.xlsx&amp;sheet=A0&amp;row=4067&amp;col=7&amp;number=0&amp;sourceID=14","0")</f>
        <v>0</v>
      </c>
    </row>
    <row r="4068" spans="1:7">
      <c r="A4068" s="3">
        <v>12</v>
      </c>
      <c r="B4068" s="3">
        <v>4</v>
      </c>
      <c r="C4068" s="3">
        <v>98</v>
      </c>
      <c r="D4068" s="3">
        <v>66</v>
      </c>
      <c r="E4068" s="3">
        <v>-2924.495</v>
      </c>
      <c r="F4068" s="4" t="str">
        <f>HYPERLINK("http://141.218.60.56/~jnz1568/getInfo.php?workbook=12_04.xlsx&amp;sheet=A0&amp;row=4068&amp;col=6&amp;number=21900000&amp;sourceID=14","21900000")</f>
        <v>21900000</v>
      </c>
      <c r="G4068" s="4" t="str">
        <f>HYPERLINK("http://141.218.60.56/~jnz1568/getInfo.php?workbook=12_04.xlsx&amp;sheet=A0&amp;row=4068&amp;col=7&amp;number=0&amp;sourceID=14","0")</f>
        <v>0</v>
      </c>
    </row>
    <row r="4069" spans="1:7">
      <c r="A4069" s="3">
        <v>12</v>
      </c>
      <c r="B4069" s="3">
        <v>4</v>
      </c>
      <c r="C4069" s="3">
        <v>68</v>
      </c>
      <c r="D4069" s="3">
        <v>67</v>
      </c>
      <c r="E4069" s="3">
        <v>-40983.684</v>
      </c>
      <c r="F4069" s="4" t="str">
        <f>HYPERLINK("http://141.218.60.56/~jnz1568/getInfo.php?workbook=12_04.xlsx&amp;sheet=A0&amp;row=4069&amp;col=6&amp;number=0.433&amp;sourceID=14","0.433")</f>
        <v>0.433</v>
      </c>
      <c r="G4069" s="4" t="str">
        <f>HYPERLINK("http://141.218.60.56/~jnz1568/getInfo.php?workbook=12_04.xlsx&amp;sheet=A0&amp;row=4069&amp;col=7&amp;number=0&amp;sourceID=14","0")</f>
        <v>0</v>
      </c>
    </row>
    <row r="4070" spans="1:7">
      <c r="A4070" s="3">
        <v>12</v>
      </c>
      <c r="B4070" s="3">
        <v>4</v>
      </c>
      <c r="C4070" s="3">
        <v>69</v>
      </c>
      <c r="D4070" s="3">
        <v>67</v>
      </c>
      <c r="E4070" s="3">
        <v>-18740.664</v>
      </c>
      <c r="F4070" s="4" t="str">
        <f>HYPERLINK("http://141.218.60.56/~jnz1568/getInfo.php?workbook=12_04.xlsx&amp;sheet=A0&amp;row=4070&amp;col=6&amp;number=0.0202&amp;sourceID=14","0.0202")</f>
        <v>0.0202</v>
      </c>
      <c r="G4070" s="4" t="str">
        <f>HYPERLINK("http://141.218.60.56/~jnz1568/getInfo.php?workbook=12_04.xlsx&amp;sheet=A0&amp;row=4070&amp;col=7&amp;number=0&amp;sourceID=14","0")</f>
        <v>0</v>
      </c>
    </row>
    <row r="4071" spans="1:7">
      <c r="A4071" s="3">
        <v>12</v>
      </c>
      <c r="B4071" s="3">
        <v>4</v>
      </c>
      <c r="C4071" s="3">
        <v>70</v>
      </c>
      <c r="D4071" s="3">
        <v>67</v>
      </c>
      <c r="E4071" s="3">
        <v>-16756.062</v>
      </c>
      <c r="F4071" s="4" t="str">
        <f>HYPERLINK("http://141.218.60.56/~jnz1568/getInfo.php?workbook=12_04.xlsx&amp;sheet=A0&amp;row=4071&amp;col=6&amp;number=0.0128&amp;sourceID=14","0.0128")</f>
        <v>0.0128</v>
      </c>
      <c r="G4071" s="4" t="str">
        <f>HYPERLINK("http://141.218.60.56/~jnz1568/getInfo.php?workbook=12_04.xlsx&amp;sheet=A0&amp;row=4071&amp;col=7&amp;number=0&amp;sourceID=14","0")</f>
        <v>0</v>
      </c>
    </row>
    <row r="4072" spans="1:7">
      <c r="A4072" s="3">
        <v>12</v>
      </c>
      <c r="B4072" s="3">
        <v>4</v>
      </c>
      <c r="C4072" s="3">
        <v>71</v>
      </c>
      <c r="D4072" s="3">
        <v>67</v>
      </c>
      <c r="E4072" s="3">
        <v>-12659.853</v>
      </c>
      <c r="F4072" s="4" t="str">
        <f>HYPERLINK("http://141.218.60.56/~jnz1568/getInfo.php?workbook=12_04.xlsx&amp;sheet=A0&amp;row=4072&amp;col=6&amp;number=0.00321&amp;sourceID=14","0.00321")</f>
        <v>0.00321</v>
      </c>
      <c r="G4072" s="4" t="str">
        <f>HYPERLINK("http://141.218.60.56/~jnz1568/getInfo.php?workbook=12_04.xlsx&amp;sheet=A0&amp;row=4072&amp;col=7&amp;number=0&amp;sourceID=14","0")</f>
        <v>0</v>
      </c>
    </row>
    <row r="4073" spans="1:7">
      <c r="A4073" s="3">
        <v>12</v>
      </c>
      <c r="B4073" s="3">
        <v>4</v>
      </c>
      <c r="C4073" s="3">
        <v>72</v>
      </c>
      <c r="D4073" s="3">
        <v>67</v>
      </c>
      <c r="E4073" s="3">
        <v>-11953.166</v>
      </c>
      <c r="F4073" s="4" t="str">
        <f>HYPERLINK("http://141.218.60.56/~jnz1568/getInfo.php?workbook=12_04.xlsx&amp;sheet=A0&amp;row=4073&amp;col=6&amp;number=0.19&amp;sourceID=14","0.19")</f>
        <v>0.19</v>
      </c>
      <c r="G4073" s="4" t="str">
        <f>HYPERLINK("http://141.218.60.56/~jnz1568/getInfo.php?workbook=12_04.xlsx&amp;sheet=A0&amp;row=4073&amp;col=7&amp;number=0&amp;sourceID=14","0")</f>
        <v>0</v>
      </c>
    </row>
    <row r="4074" spans="1:7">
      <c r="A4074" s="3">
        <v>12</v>
      </c>
      <c r="B4074" s="3">
        <v>4</v>
      </c>
      <c r="C4074" s="3">
        <v>73</v>
      </c>
      <c r="D4074" s="3">
        <v>67</v>
      </c>
      <c r="E4074" s="3">
        <v>-8770.407</v>
      </c>
      <c r="F4074" s="4" t="str">
        <f>HYPERLINK("http://141.218.60.56/~jnz1568/getInfo.php?workbook=12_04.xlsx&amp;sheet=A0&amp;row=4074&amp;col=6&amp;number=780000&amp;sourceID=14","780000")</f>
        <v>780000</v>
      </c>
      <c r="G4074" s="4" t="str">
        <f>HYPERLINK("http://141.218.60.56/~jnz1568/getInfo.php?workbook=12_04.xlsx&amp;sheet=A0&amp;row=4074&amp;col=7&amp;number=0&amp;sourceID=14","0")</f>
        <v>0</v>
      </c>
    </row>
    <row r="4075" spans="1:7">
      <c r="A4075" s="3">
        <v>12</v>
      </c>
      <c r="B4075" s="3">
        <v>4</v>
      </c>
      <c r="C4075" s="3">
        <v>74</v>
      </c>
      <c r="D4075" s="3">
        <v>67</v>
      </c>
      <c r="E4075" s="3">
        <v>-7512.033</v>
      </c>
      <c r="F4075" s="4" t="str">
        <f>HYPERLINK("http://141.218.60.56/~jnz1568/getInfo.php?workbook=12_04.xlsx&amp;sheet=A0&amp;row=4075&amp;col=6&amp;number=9970000&amp;sourceID=14","9970000")</f>
        <v>9970000</v>
      </c>
      <c r="G4075" s="4" t="str">
        <f>HYPERLINK("http://141.218.60.56/~jnz1568/getInfo.php?workbook=12_04.xlsx&amp;sheet=A0&amp;row=4075&amp;col=7&amp;number=0&amp;sourceID=14","0")</f>
        <v>0</v>
      </c>
    </row>
    <row r="4076" spans="1:7">
      <c r="A4076" s="3">
        <v>12</v>
      </c>
      <c r="B4076" s="3">
        <v>4</v>
      </c>
      <c r="C4076" s="3">
        <v>75</v>
      </c>
      <c r="D4076" s="3">
        <v>67</v>
      </c>
      <c r="E4076" s="3">
        <v>-7187.019</v>
      </c>
      <c r="F4076" s="4" t="str">
        <f>HYPERLINK("http://141.218.60.56/~jnz1568/getInfo.php?workbook=12_04.xlsx&amp;sheet=A0&amp;row=4076&amp;col=6&amp;number=45300&amp;sourceID=14","45300")</f>
        <v>45300</v>
      </c>
      <c r="G4076" s="4" t="str">
        <f>HYPERLINK("http://141.218.60.56/~jnz1568/getInfo.php?workbook=12_04.xlsx&amp;sheet=A0&amp;row=4076&amp;col=7&amp;number=0&amp;sourceID=14","0")</f>
        <v>0</v>
      </c>
    </row>
    <row r="4077" spans="1:7">
      <c r="A4077" s="3">
        <v>12</v>
      </c>
      <c r="B4077" s="3">
        <v>4</v>
      </c>
      <c r="C4077" s="3">
        <v>76</v>
      </c>
      <c r="D4077" s="3">
        <v>67</v>
      </c>
      <c r="E4077" s="3">
        <v>-6671.127</v>
      </c>
      <c r="F4077" s="4" t="str">
        <f>HYPERLINK("http://141.218.60.56/~jnz1568/getInfo.php?workbook=12_04.xlsx&amp;sheet=A0&amp;row=4077&amp;col=6&amp;number=0.255&amp;sourceID=14","0.255")</f>
        <v>0.255</v>
      </c>
      <c r="G4077" s="4" t="str">
        <f>HYPERLINK("http://141.218.60.56/~jnz1568/getInfo.php?workbook=12_04.xlsx&amp;sheet=A0&amp;row=4077&amp;col=7&amp;number=0&amp;sourceID=14","0")</f>
        <v>0</v>
      </c>
    </row>
    <row r="4078" spans="1:7">
      <c r="A4078" s="3">
        <v>12</v>
      </c>
      <c r="B4078" s="3">
        <v>4</v>
      </c>
      <c r="C4078" s="3">
        <v>77</v>
      </c>
      <c r="D4078" s="3">
        <v>67</v>
      </c>
      <c r="E4078" s="3">
        <v>-6457.041</v>
      </c>
      <c r="F4078" s="4" t="str">
        <f>HYPERLINK("http://141.218.60.56/~jnz1568/getInfo.php?workbook=12_04.xlsx&amp;sheet=A0&amp;row=4078&amp;col=6&amp;number=5.89e-06&amp;sourceID=14","5.89e-06")</f>
        <v>5.89e-06</v>
      </c>
      <c r="G4078" s="4" t="str">
        <f>HYPERLINK("http://141.218.60.56/~jnz1568/getInfo.php?workbook=12_04.xlsx&amp;sheet=A0&amp;row=4078&amp;col=7&amp;number=0&amp;sourceID=14","0")</f>
        <v>0</v>
      </c>
    </row>
    <row r="4079" spans="1:7">
      <c r="A4079" s="3">
        <v>12</v>
      </c>
      <c r="B4079" s="3">
        <v>4</v>
      </c>
      <c r="C4079" s="3">
        <v>78</v>
      </c>
      <c r="D4079" s="3">
        <v>67</v>
      </c>
      <c r="E4079" s="3">
        <v>-5408.046</v>
      </c>
      <c r="F4079" s="4" t="str">
        <f>HYPERLINK("http://141.218.60.56/~jnz1568/getInfo.php?workbook=12_04.xlsx&amp;sheet=A0&amp;row=4079&amp;col=6&amp;number=605000&amp;sourceID=14","605000")</f>
        <v>605000</v>
      </c>
      <c r="G4079" s="4" t="str">
        <f>HYPERLINK("http://141.218.60.56/~jnz1568/getInfo.php?workbook=12_04.xlsx&amp;sheet=A0&amp;row=4079&amp;col=7&amp;number=0&amp;sourceID=14","0")</f>
        <v>0</v>
      </c>
    </row>
    <row r="4080" spans="1:7">
      <c r="A4080" s="3">
        <v>12</v>
      </c>
      <c r="B4080" s="3">
        <v>4</v>
      </c>
      <c r="C4080" s="3">
        <v>79</v>
      </c>
      <c r="D4080" s="3">
        <v>67</v>
      </c>
      <c r="E4080" s="3">
        <v>-5232.872</v>
      </c>
      <c r="F4080" s="4" t="str">
        <f>HYPERLINK("http://141.218.60.56/~jnz1568/getInfo.php?workbook=12_04.xlsx&amp;sheet=A0&amp;row=4080&amp;col=6&amp;number=5740000&amp;sourceID=14","5740000")</f>
        <v>5740000</v>
      </c>
      <c r="G4080" s="4" t="str">
        <f>HYPERLINK("http://141.218.60.56/~jnz1568/getInfo.php?workbook=12_04.xlsx&amp;sheet=A0&amp;row=4080&amp;col=7&amp;number=0&amp;sourceID=14","0")</f>
        <v>0</v>
      </c>
    </row>
    <row r="4081" spans="1:7">
      <c r="A4081" s="3">
        <v>12</v>
      </c>
      <c r="B4081" s="3">
        <v>4</v>
      </c>
      <c r="C4081" s="3">
        <v>80</v>
      </c>
      <c r="D4081" s="3">
        <v>67</v>
      </c>
      <c r="E4081" s="3">
        <v>-4913.773</v>
      </c>
      <c r="F4081" s="4" t="str">
        <f>HYPERLINK("http://141.218.60.56/~jnz1568/getInfo.php?workbook=12_04.xlsx&amp;sheet=A0&amp;row=4081&amp;col=6&amp;number=0.23&amp;sourceID=14","0.23")</f>
        <v>0.23</v>
      </c>
      <c r="G4081" s="4" t="str">
        <f>HYPERLINK("http://141.218.60.56/~jnz1568/getInfo.php?workbook=12_04.xlsx&amp;sheet=A0&amp;row=4081&amp;col=7&amp;number=0&amp;sourceID=14","0")</f>
        <v>0</v>
      </c>
    </row>
    <row r="4082" spans="1:7">
      <c r="A4082" s="3">
        <v>12</v>
      </c>
      <c r="B4082" s="3">
        <v>4</v>
      </c>
      <c r="C4082" s="3">
        <v>81</v>
      </c>
      <c r="D4082" s="3">
        <v>67</v>
      </c>
      <c r="E4082" s="3">
        <v>-4907.262</v>
      </c>
      <c r="F4082" s="4" t="str">
        <f>HYPERLINK("http://141.218.60.56/~jnz1568/getInfo.php?workbook=12_04.xlsx&amp;sheet=A0&amp;row=4082&amp;col=6&amp;number=378000&amp;sourceID=14","378000")</f>
        <v>378000</v>
      </c>
      <c r="G4082" s="4" t="str">
        <f>HYPERLINK("http://141.218.60.56/~jnz1568/getInfo.php?workbook=12_04.xlsx&amp;sheet=A0&amp;row=4082&amp;col=7&amp;number=0&amp;sourceID=14","0")</f>
        <v>0</v>
      </c>
    </row>
    <row r="4083" spans="1:7">
      <c r="A4083" s="3">
        <v>12</v>
      </c>
      <c r="B4083" s="3">
        <v>4</v>
      </c>
      <c r="C4083" s="3">
        <v>82</v>
      </c>
      <c r="D4083" s="3">
        <v>67</v>
      </c>
      <c r="E4083" s="3">
        <v>-4827.895</v>
      </c>
      <c r="F4083" s="4" t="str">
        <f>HYPERLINK("http://141.218.60.56/~jnz1568/getInfo.php?workbook=12_04.xlsx&amp;sheet=A0&amp;row=4083&amp;col=6&amp;number=0.228&amp;sourceID=14","0.228")</f>
        <v>0.228</v>
      </c>
      <c r="G4083" s="4" t="str">
        <f>HYPERLINK("http://141.218.60.56/~jnz1568/getInfo.php?workbook=12_04.xlsx&amp;sheet=A0&amp;row=4083&amp;col=7&amp;number=0&amp;sourceID=14","0")</f>
        <v>0</v>
      </c>
    </row>
    <row r="4084" spans="1:7">
      <c r="A4084" s="3">
        <v>12</v>
      </c>
      <c r="B4084" s="3">
        <v>4</v>
      </c>
      <c r="C4084" s="3">
        <v>83</v>
      </c>
      <c r="D4084" s="3">
        <v>67</v>
      </c>
      <c r="E4084" s="3">
        <v>-4826.73</v>
      </c>
      <c r="F4084" s="4" t="str">
        <f>HYPERLINK("http://141.218.60.56/~jnz1568/getInfo.php?workbook=12_04.xlsx&amp;sheet=A0&amp;row=4084&amp;col=6&amp;number=0.0259&amp;sourceID=14","0.0259")</f>
        <v>0.0259</v>
      </c>
      <c r="G4084" s="4" t="str">
        <f>HYPERLINK("http://141.218.60.56/~jnz1568/getInfo.php?workbook=12_04.xlsx&amp;sheet=A0&amp;row=4084&amp;col=7&amp;number=0&amp;sourceID=14","0")</f>
        <v>0</v>
      </c>
    </row>
    <row r="4085" spans="1:7">
      <c r="A4085" s="3">
        <v>12</v>
      </c>
      <c r="B4085" s="3">
        <v>4</v>
      </c>
      <c r="C4085" s="3">
        <v>84</v>
      </c>
      <c r="D4085" s="3">
        <v>67</v>
      </c>
      <c r="E4085" s="3">
        <v>-4752.183</v>
      </c>
      <c r="F4085" s="4" t="str">
        <f>HYPERLINK("http://141.218.60.56/~jnz1568/getInfo.php?workbook=12_04.xlsx&amp;sheet=A0&amp;row=4085&amp;col=6&amp;number=1.29&amp;sourceID=14","1.29")</f>
        <v>1.29</v>
      </c>
      <c r="G4085" s="4" t="str">
        <f>HYPERLINK("http://141.218.60.56/~jnz1568/getInfo.php?workbook=12_04.xlsx&amp;sheet=A0&amp;row=4085&amp;col=7&amp;number=0&amp;sourceID=14","0")</f>
        <v>0</v>
      </c>
    </row>
    <row r="4086" spans="1:7">
      <c r="A4086" s="3">
        <v>12</v>
      </c>
      <c r="B4086" s="3">
        <v>4</v>
      </c>
      <c r="C4086" s="3">
        <v>85</v>
      </c>
      <c r="D4086" s="3">
        <v>67</v>
      </c>
      <c r="E4086" s="3">
        <v>-4440.308</v>
      </c>
      <c r="F4086" s="4" t="str">
        <f>HYPERLINK("http://141.218.60.56/~jnz1568/getInfo.php?workbook=12_04.xlsx&amp;sheet=A0&amp;row=4086&amp;col=6&amp;number=1040&amp;sourceID=14","1040")</f>
        <v>1040</v>
      </c>
      <c r="G4086" s="4" t="str">
        <f>HYPERLINK("http://141.218.60.56/~jnz1568/getInfo.php?workbook=12_04.xlsx&amp;sheet=A0&amp;row=4086&amp;col=7&amp;number=0&amp;sourceID=14","0")</f>
        <v>0</v>
      </c>
    </row>
    <row r="4087" spans="1:7">
      <c r="A4087" s="3">
        <v>12</v>
      </c>
      <c r="B4087" s="3">
        <v>4</v>
      </c>
      <c r="C4087" s="3">
        <v>86</v>
      </c>
      <c r="D4087" s="3">
        <v>67</v>
      </c>
      <c r="E4087" s="3">
        <v>-4321.342</v>
      </c>
      <c r="F4087" s="4" t="str">
        <f>HYPERLINK("http://141.218.60.56/~jnz1568/getInfo.php?workbook=12_04.xlsx&amp;sheet=A0&amp;row=4087&amp;col=6&amp;number=4090000&amp;sourceID=14","4090000")</f>
        <v>4090000</v>
      </c>
      <c r="G4087" s="4" t="str">
        <f>HYPERLINK("http://141.218.60.56/~jnz1568/getInfo.php?workbook=12_04.xlsx&amp;sheet=A0&amp;row=4087&amp;col=7&amp;number=0&amp;sourceID=14","0")</f>
        <v>0</v>
      </c>
    </row>
    <row r="4088" spans="1:7">
      <c r="A4088" s="3">
        <v>12</v>
      </c>
      <c r="B4088" s="3">
        <v>4</v>
      </c>
      <c r="C4088" s="3">
        <v>87</v>
      </c>
      <c r="D4088" s="3">
        <v>67</v>
      </c>
      <c r="E4088" s="3">
        <v>-4260.222</v>
      </c>
      <c r="F4088" s="4" t="str">
        <f>HYPERLINK("http://141.218.60.56/~jnz1568/getInfo.php?workbook=12_04.xlsx&amp;sheet=A0&amp;row=4088&amp;col=6&amp;number=1.32e-06&amp;sourceID=14","1.32e-06")</f>
        <v>1.32e-06</v>
      </c>
      <c r="G4088" s="4" t="str">
        <f>HYPERLINK("http://141.218.60.56/~jnz1568/getInfo.php?workbook=12_04.xlsx&amp;sheet=A0&amp;row=4088&amp;col=7&amp;number=0&amp;sourceID=14","0")</f>
        <v>0</v>
      </c>
    </row>
    <row r="4089" spans="1:7">
      <c r="A4089" s="3">
        <v>12</v>
      </c>
      <c r="B4089" s="3">
        <v>4</v>
      </c>
      <c r="C4089" s="3">
        <v>88</v>
      </c>
      <c r="D4089" s="3">
        <v>67</v>
      </c>
      <c r="E4089" s="3">
        <v>-4122.699</v>
      </c>
      <c r="F4089" s="4" t="str">
        <f>HYPERLINK("http://141.218.60.56/~jnz1568/getInfo.php?workbook=12_04.xlsx&amp;sheet=A0&amp;row=4089&amp;col=6&amp;number=1.23&amp;sourceID=14","1.23")</f>
        <v>1.23</v>
      </c>
      <c r="G4089" s="4" t="str">
        <f>HYPERLINK("http://141.218.60.56/~jnz1568/getInfo.php?workbook=12_04.xlsx&amp;sheet=A0&amp;row=4089&amp;col=7&amp;number=0&amp;sourceID=14","0")</f>
        <v>0</v>
      </c>
    </row>
    <row r="4090" spans="1:7">
      <c r="A4090" s="3">
        <v>12</v>
      </c>
      <c r="B4090" s="3">
        <v>4</v>
      </c>
      <c r="C4090" s="3">
        <v>89</v>
      </c>
      <c r="D4090" s="3">
        <v>67</v>
      </c>
      <c r="E4090" s="3">
        <v>-4045.479</v>
      </c>
      <c r="F4090" s="4" t="str">
        <f>HYPERLINK("http://141.218.60.56/~jnz1568/getInfo.php?workbook=12_04.xlsx&amp;sheet=A0&amp;row=4090&amp;col=6&amp;number=2&amp;sourceID=14","2")</f>
        <v>2</v>
      </c>
      <c r="G4090" s="4" t="str">
        <f>HYPERLINK("http://141.218.60.56/~jnz1568/getInfo.php?workbook=12_04.xlsx&amp;sheet=A0&amp;row=4090&amp;col=7&amp;number=0&amp;sourceID=14","0")</f>
        <v>0</v>
      </c>
    </row>
    <row r="4091" spans="1:7">
      <c r="A4091" s="3">
        <v>12</v>
      </c>
      <c r="B4091" s="3">
        <v>4</v>
      </c>
      <c r="C4091" s="3">
        <v>90</v>
      </c>
      <c r="D4091" s="3">
        <v>67</v>
      </c>
      <c r="E4091" s="3">
        <v>-3832.453</v>
      </c>
      <c r="F4091" s="4" t="str">
        <f>HYPERLINK("http://141.218.60.56/~jnz1568/getInfo.php?workbook=12_04.xlsx&amp;sheet=A0&amp;row=4091&amp;col=6&amp;number=1.24e-11&amp;sourceID=14","1.24e-11")</f>
        <v>1.24e-11</v>
      </c>
      <c r="G4091" s="4" t="str">
        <f>HYPERLINK("http://141.218.60.56/~jnz1568/getInfo.php?workbook=12_04.xlsx&amp;sheet=A0&amp;row=4091&amp;col=7&amp;number=0&amp;sourceID=14","0")</f>
        <v>0</v>
      </c>
    </row>
    <row r="4092" spans="1:7">
      <c r="A4092" s="3">
        <v>12</v>
      </c>
      <c r="B4092" s="3">
        <v>4</v>
      </c>
      <c r="C4092" s="3">
        <v>91</v>
      </c>
      <c r="D4092" s="3">
        <v>67</v>
      </c>
      <c r="E4092" s="3">
        <v>-3661.401</v>
      </c>
      <c r="F4092" s="4" t="str">
        <f>HYPERLINK("http://141.218.60.56/~jnz1568/getInfo.php?workbook=12_04.xlsx&amp;sheet=A0&amp;row=4092&amp;col=6&amp;number=0.113&amp;sourceID=14","0.113")</f>
        <v>0.113</v>
      </c>
      <c r="G4092" s="4" t="str">
        <f>HYPERLINK("http://141.218.60.56/~jnz1568/getInfo.php?workbook=12_04.xlsx&amp;sheet=A0&amp;row=4092&amp;col=7&amp;number=0&amp;sourceID=14","0")</f>
        <v>0</v>
      </c>
    </row>
    <row r="4093" spans="1:7">
      <c r="A4093" s="3">
        <v>12</v>
      </c>
      <c r="B4093" s="3">
        <v>4</v>
      </c>
      <c r="C4093" s="3">
        <v>92</v>
      </c>
      <c r="D4093" s="3">
        <v>67</v>
      </c>
      <c r="E4093" s="3">
        <v>-3623.326</v>
      </c>
      <c r="F4093" s="4" t="str">
        <f>HYPERLINK("http://141.218.60.56/~jnz1568/getInfo.php?workbook=12_04.xlsx&amp;sheet=A0&amp;row=4093&amp;col=6&amp;number=0.779&amp;sourceID=14","0.779")</f>
        <v>0.779</v>
      </c>
      <c r="G4093" s="4" t="str">
        <f>HYPERLINK("http://141.218.60.56/~jnz1568/getInfo.php?workbook=12_04.xlsx&amp;sheet=A0&amp;row=4093&amp;col=7&amp;number=0&amp;sourceID=14","0")</f>
        <v>0</v>
      </c>
    </row>
    <row r="4094" spans="1:7">
      <c r="A4094" s="3">
        <v>12</v>
      </c>
      <c r="B4094" s="3">
        <v>4</v>
      </c>
      <c r="C4094" s="3">
        <v>93</v>
      </c>
      <c r="D4094" s="3">
        <v>67</v>
      </c>
      <c r="E4094" s="3">
        <v>-3589.124</v>
      </c>
      <c r="F4094" s="4" t="str">
        <f>HYPERLINK("http://141.218.60.56/~jnz1568/getInfo.php?workbook=12_04.xlsx&amp;sheet=A0&amp;row=4094&amp;col=6&amp;number=0.156&amp;sourceID=14","0.156")</f>
        <v>0.156</v>
      </c>
      <c r="G4094" s="4" t="str">
        <f>HYPERLINK("http://141.218.60.56/~jnz1568/getInfo.php?workbook=12_04.xlsx&amp;sheet=A0&amp;row=4094&amp;col=7&amp;number=0&amp;sourceID=14","0")</f>
        <v>0</v>
      </c>
    </row>
    <row r="4095" spans="1:7">
      <c r="A4095" s="3">
        <v>12</v>
      </c>
      <c r="B4095" s="3">
        <v>4</v>
      </c>
      <c r="C4095" s="3">
        <v>94</v>
      </c>
      <c r="D4095" s="3">
        <v>67</v>
      </c>
      <c r="E4095" s="3">
        <v>-3468.736</v>
      </c>
      <c r="F4095" s="4" t="str">
        <f>HYPERLINK("http://141.218.60.56/~jnz1568/getInfo.php?workbook=12_04.xlsx&amp;sheet=A0&amp;row=4095&amp;col=6&amp;number=0.261&amp;sourceID=14","0.261")</f>
        <v>0.261</v>
      </c>
      <c r="G4095" s="4" t="str">
        <f>HYPERLINK("http://141.218.60.56/~jnz1568/getInfo.php?workbook=12_04.xlsx&amp;sheet=A0&amp;row=4095&amp;col=7&amp;number=0&amp;sourceID=14","0")</f>
        <v>0</v>
      </c>
    </row>
    <row r="4096" spans="1:7">
      <c r="A4096" s="3">
        <v>12</v>
      </c>
      <c r="B4096" s="3">
        <v>4</v>
      </c>
      <c r="C4096" s="3">
        <v>95</v>
      </c>
      <c r="D4096" s="3">
        <v>67</v>
      </c>
      <c r="E4096" s="3">
        <v>-3394.094</v>
      </c>
      <c r="F4096" s="4" t="str">
        <f>HYPERLINK("http://141.218.60.56/~jnz1568/getInfo.php?workbook=12_04.xlsx&amp;sheet=A0&amp;row=4096&amp;col=6&amp;number=0.0544&amp;sourceID=14","0.0544")</f>
        <v>0.0544</v>
      </c>
      <c r="G4096" s="4" t="str">
        <f>HYPERLINK("http://141.218.60.56/~jnz1568/getInfo.php?workbook=12_04.xlsx&amp;sheet=A0&amp;row=4096&amp;col=7&amp;number=0&amp;sourceID=14","0")</f>
        <v>0</v>
      </c>
    </row>
    <row r="4097" spans="1:7">
      <c r="A4097" s="3">
        <v>12</v>
      </c>
      <c r="B4097" s="3">
        <v>4</v>
      </c>
      <c r="C4097" s="3">
        <v>96</v>
      </c>
      <c r="D4097" s="3">
        <v>67</v>
      </c>
      <c r="E4097" s="3">
        <v>-3327.793</v>
      </c>
      <c r="F4097" s="4" t="str">
        <f>HYPERLINK("http://141.218.60.56/~jnz1568/getInfo.php?workbook=12_04.xlsx&amp;sheet=A0&amp;row=4097&amp;col=6&amp;number=0.0115&amp;sourceID=14","0.0115")</f>
        <v>0.0115</v>
      </c>
      <c r="G4097" s="4" t="str">
        <f>HYPERLINK("http://141.218.60.56/~jnz1568/getInfo.php?workbook=12_04.xlsx&amp;sheet=A0&amp;row=4097&amp;col=7&amp;number=0&amp;sourceID=14","0")</f>
        <v>0</v>
      </c>
    </row>
    <row r="4098" spans="1:7">
      <c r="A4098" s="3">
        <v>12</v>
      </c>
      <c r="B4098" s="3">
        <v>4</v>
      </c>
      <c r="C4098" s="3">
        <v>97</v>
      </c>
      <c r="D4098" s="3">
        <v>67</v>
      </c>
      <c r="E4098" s="3">
        <v>-3072.485</v>
      </c>
      <c r="F4098" s="4" t="str">
        <f>HYPERLINK("http://141.218.60.56/~jnz1568/getInfo.php?workbook=12_04.xlsx&amp;sheet=A0&amp;row=4098&amp;col=6&amp;number=19700&amp;sourceID=14","19700")</f>
        <v>19700</v>
      </c>
      <c r="G4098" s="4" t="str">
        <f>HYPERLINK("http://141.218.60.56/~jnz1568/getInfo.php?workbook=12_04.xlsx&amp;sheet=A0&amp;row=4098&amp;col=7&amp;number=0&amp;sourceID=14","0")</f>
        <v>0</v>
      </c>
    </row>
    <row r="4099" spans="1:7">
      <c r="A4099" s="3">
        <v>12</v>
      </c>
      <c r="B4099" s="3">
        <v>4</v>
      </c>
      <c r="C4099" s="3">
        <v>98</v>
      </c>
      <c r="D4099" s="3">
        <v>67</v>
      </c>
      <c r="E4099" s="3">
        <v>-2963.583</v>
      </c>
      <c r="F4099" s="4" t="str">
        <f>HYPERLINK("http://141.218.60.56/~jnz1568/getInfo.php?workbook=12_04.xlsx&amp;sheet=A0&amp;row=4099&amp;col=6&amp;number=36900&amp;sourceID=14","36900")</f>
        <v>36900</v>
      </c>
      <c r="G4099" s="4" t="str">
        <f>HYPERLINK("http://141.218.60.56/~jnz1568/getInfo.php?workbook=12_04.xlsx&amp;sheet=A0&amp;row=4099&amp;col=7&amp;number=0&amp;sourceID=14","0")</f>
        <v>0</v>
      </c>
    </row>
    <row r="4100" spans="1:7">
      <c r="A4100" s="3">
        <v>12</v>
      </c>
      <c r="B4100" s="3">
        <v>4</v>
      </c>
      <c r="C4100" s="3">
        <v>69</v>
      </c>
      <c r="D4100" s="3">
        <v>68</v>
      </c>
      <c r="E4100" s="3">
        <v>-34530.449</v>
      </c>
      <c r="F4100" s="4" t="str">
        <f>HYPERLINK("http://141.218.60.56/~jnz1568/getInfo.php?workbook=12_04.xlsx&amp;sheet=A0&amp;row=4100&amp;col=6&amp;number=1.29e-05&amp;sourceID=14","1.29e-05")</f>
        <v>1.29e-05</v>
      </c>
      <c r="G4100" s="4" t="str">
        <f>HYPERLINK("http://141.218.60.56/~jnz1568/getInfo.php?workbook=12_04.xlsx&amp;sheet=A0&amp;row=4100&amp;col=7&amp;number=0&amp;sourceID=14","0")</f>
        <v>0</v>
      </c>
    </row>
    <row r="4101" spans="1:7">
      <c r="A4101" s="3">
        <v>12</v>
      </c>
      <c r="B4101" s="3">
        <v>4</v>
      </c>
      <c r="C4101" s="3">
        <v>71</v>
      </c>
      <c r="D4101" s="3">
        <v>68</v>
      </c>
      <c r="E4101" s="3">
        <v>-18318.406</v>
      </c>
      <c r="F4101" s="4" t="str">
        <f>HYPERLINK("http://141.218.60.56/~jnz1568/getInfo.php?workbook=12_04.xlsx&amp;sheet=A0&amp;row=4101&amp;col=6&amp;number=0.00519&amp;sourceID=14","0.00519")</f>
        <v>0.00519</v>
      </c>
      <c r="G4101" s="4" t="str">
        <f>HYPERLINK("http://141.218.60.56/~jnz1568/getInfo.php?workbook=12_04.xlsx&amp;sheet=A0&amp;row=4101&amp;col=7&amp;number=0&amp;sourceID=14","0")</f>
        <v>0</v>
      </c>
    </row>
    <row r="4102" spans="1:7">
      <c r="A4102" s="3">
        <v>12</v>
      </c>
      <c r="B4102" s="3">
        <v>4</v>
      </c>
      <c r="C4102" s="3">
        <v>72</v>
      </c>
      <c r="D4102" s="3">
        <v>68</v>
      </c>
      <c r="E4102" s="3">
        <v>17793.627</v>
      </c>
      <c r="F4102" s="4" t="str">
        <f>HYPERLINK("http://141.218.60.56/~jnz1568/getInfo.php?workbook=12_04.xlsx&amp;sheet=A0&amp;row=4102&amp;col=6&amp;number=0.101&amp;sourceID=14","0.101")</f>
        <v>0.101</v>
      </c>
      <c r="G4102" s="4" t="str">
        <f>HYPERLINK("http://141.218.60.56/~jnz1568/getInfo.php?workbook=12_04.xlsx&amp;sheet=A0&amp;row=4102&amp;col=7&amp;number=0&amp;sourceID=14","0")</f>
        <v>0</v>
      </c>
    </row>
    <row r="4103" spans="1:7">
      <c r="A4103" s="3">
        <v>12</v>
      </c>
      <c r="B4103" s="3">
        <v>4</v>
      </c>
      <c r="C4103" s="3">
        <v>73</v>
      </c>
      <c r="D4103" s="3">
        <v>68</v>
      </c>
      <c r="E4103" s="3">
        <v>-11158.244</v>
      </c>
      <c r="F4103" s="4" t="str">
        <f>HYPERLINK("http://141.218.60.56/~jnz1568/getInfo.php?workbook=12_04.xlsx&amp;sheet=A0&amp;row=4103&amp;col=6&amp;number=1560&amp;sourceID=14","1560")</f>
        <v>1560</v>
      </c>
      <c r="G4103" s="4" t="str">
        <f>HYPERLINK("http://141.218.60.56/~jnz1568/getInfo.php?workbook=12_04.xlsx&amp;sheet=A0&amp;row=4103&amp;col=7&amp;number=0&amp;sourceID=14","0")</f>
        <v>0</v>
      </c>
    </row>
    <row r="4104" spans="1:7">
      <c r="A4104" s="3">
        <v>12</v>
      </c>
      <c r="B4104" s="3">
        <v>4</v>
      </c>
      <c r="C4104" s="3">
        <v>74</v>
      </c>
      <c r="D4104" s="3">
        <v>68</v>
      </c>
      <c r="E4104" s="3">
        <v>-9197.957</v>
      </c>
      <c r="F4104" s="4" t="str">
        <f>HYPERLINK("http://141.218.60.56/~jnz1568/getInfo.php?workbook=12_04.xlsx&amp;sheet=A0&amp;row=4104&amp;col=6&amp;number=298000&amp;sourceID=14","298000")</f>
        <v>298000</v>
      </c>
      <c r="G4104" s="4" t="str">
        <f>HYPERLINK("http://141.218.60.56/~jnz1568/getInfo.php?workbook=12_04.xlsx&amp;sheet=A0&amp;row=4104&amp;col=7&amp;number=0&amp;sourceID=14","0")</f>
        <v>0</v>
      </c>
    </row>
    <row r="4105" spans="1:7">
      <c r="A4105" s="3">
        <v>12</v>
      </c>
      <c r="B4105" s="3">
        <v>4</v>
      </c>
      <c r="C4105" s="3">
        <v>75</v>
      </c>
      <c r="D4105" s="3">
        <v>68</v>
      </c>
      <c r="E4105" s="3">
        <v>8710.817</v>
      </c>
      <c r="F4105" s="4" t="str">
        <f>HYPERLINK("http://141.218.60.56/~jnz1568/getInfo.php?workbook=12_04.xlsx&amp;sheet=A0&amp;row=4105&amp;col=6&amp;number=19500&amp;sourceID=14","19500")</f>
        <v>19500</v>
      </c>
      <c r="G4105" s="4" t="str">
        <f>HYPERLINK("http://141.218.60.56/~jnz1568/getInfo.php?workbook=12_04.xlsx&amp;sheet=A0&amp;row=4105&amp;col=7&amp;number=0&amp;sourceID=14","0")</f>
        <v>0</v>
      </c>
    </row>
    <row r="4106" spans="1:7">
      <c r="A4106" s="3">
        <v>12</v>
      </c>
      <c r="B4106" s="3">
        <v>4</v>
      </c>
      <c r="C4106" s="3">
        <v>76</v>
      </c>
      <c r="D4106" s="3">
        <v>68</v>
      </c>
      <c r="E4106" s="3">
        <v>8810.589</v>
      </c>
      <c r="F4106" s="4" t="str">
        <f>HYPERLINK("http://141.218.60.56/~jnz1568/getInfo.php?workbook=12_04.xlsx&amp;sheet=A0&amp;row=4106&amp;col=6&amp;number=0.274&amp;sourceID=14","0.274")</f>
        <v>0.274</v>
      </c>
      <c r="G4106" s="4" t="str">
        <f>HYPERLINK("http://141.218.60.56/~jnz1568/getInfo.php?workbook=12_04.xlsx&amp;sheet=A0&amp;row=4106&amp;col=7&amp;number=0&amp;sourceID=14","0")</f>
        <v>0</v>
      </c>
    </row>
    <row r="4107" spans="1:7">
      <c r="A4107" s="3">
        <v>12</v>
      </c>
      <c r="B4107" s="3">
        <v>4</v>
      </c>
      <c r="C4107" s="3">
        <v>77</v>
      </c>
      <c r="D4107" s="3">
        <v>68</v>
      </c>
      <c r="E4107" s="3">
        <v>-7664.611</v>
      </c>
      <c r="F4107" s="4" t="str">
        <f>HYPERLINK("http://141.218.60.56/~jnz1568/getInfo.php?workbook=12_04.xlsx&amp;sheet=A0&amp;row=4107&amp;col=6&amp;number=8940000&amp;sourceID=14","8940000")</f>
        <v>8940000</v>
      </c>
      <c r="G4107" s="4" t="str">
        <f>HYPERLINK("http://141.218.60.56/~jnz1568/getInfo.php?workbook=12_04.xlsx&amp;sheet=A0&amp;row=4107&amp;col=7&amp;number=0&amp;sourceID=14","0")</f>
        <v>0</v>
      </c>
    </row>
    <row r="4108" spans="1:7">
      <c r="A4108" s="3">
        <v>12</v>
      </c>
      <c r="B4108" s="3">
        <v>4</v>
      </c>
      <c r="C4108" s="3">
        <v>78</v>
      </c>
      <c r="D4108" s="3">
        <v>68</v>
      </c>
      <c r="E4108" s="3">
        <v>-6230.153</v>
      </c>
      <c r="F4108" s="4" t="str">
        <f>HYPERLINK("http://141.218.60.56/~jnz1568/getInfo.php?workbook=12_04.xlsx&amp;sheet=A0&amp;row=4108&amp;col=6&amp;number=4.85e-08&amp;sourceID=14","4.85e-08")</f>
        <v>4.85e-08</v>
      </c>
      <c r="G4108" s="4" t="str">
        <f>HYPERLINK("http://141.218.60.56/~jnz1568/getInfo.php?workbook=12_04.xlsx&amp;sheet=A0&amp;row=4108&amp;col=7&amp;number=0&amp;sourceID=14","0")</f>
        <v>0</v>
      </c>
    </row>
    <row r="4109" spans="1:7">
      <c r="A4109" s="3">
        <v>12</v>
      </c>
      <c r="B4109" s="3">
        <v>4</v>
      </c>
      <c r="C4109" s="3">
        <v>79</v>
      </c>
      <c r="D4109" s="3">
        <v>68</v>
      </c>
      <c r="E4109" s="3">
        <v>-5998.811</v>
      </c>
      <c r="F4109" s="4" t="str">
        <f>HYPERLINK("http://141.218.60.56/~jnz1568/getInfo.php?workbook=12_04.xlsx&amp;sheet=A0&amp;row=4109&amp;col=6&amp;number=42700&amp;sourceID=14","42700")</f>
        <v>42700</v>
      </c>
      <c r="G4109" s="4" t="str">
        <f>HYPERLINK("http://141.218.60.56/~jnz1568/getInfo.php?workbook=12_04.xlsx&amp;sheet=A0&amp;row=4109&amp;col=7&amp;number=0&amp;sourceID=14","0")</f>
        <v>0</v>
      </c>
    </row>
    <row r="4110" spans="1:7">
      <c r="A4110" s="3">
        <v>12</v>
      </c>
      <c r="B4110" s="3">
        <v>4</v>
      </c>
      <c r="C4110" s="3">
        <v>80</v>
      </c>
      <c r="D4110" s="3">
        <v>68</v>
      </c>
      <c r="E4110" s="3">
        <v>-5583.171</v>
      </c>
      <c r="F4110" s="4" t="str">
        <f>HYPERLINK("http://141.218.60.56/~jnz1568/getInfo.php?workbook=12_04.xlsx&amp;sheet=A0&amp;row=4110&amp;col=6&amp;number=0.00474&amp;sourceID=14","0.00474")</f>
        <v>0.00474</v>
      </c>
      <c r="G4110" s="4" t="str">
        <f>HYPERLINK("http://141.218.60.56/~jnz1568/getInfo.php?workbook=12_04.xlsx&amp;sheet=A0&amp;row=4110&amp;col=7&amp;number=0&amp;sourceID=14","0")</f>
        <v>0</v>
      </c>
    </row>
    <row r="4111" spans="1:7">
      <c r="A4111" s="3">
        <v>12</v>
      </c>
      <c r="B4111" s="3">
        <v>4</v>
      </c>
      <c r="C4111" s="3">
        <v>81</v>
      </c>
      <c r="D4111" s="3">
        <v>68</v>
      </c>
      <c r="E4111" s="3">
        <v>5399.578</v>
      </c>
      <c r="F4111" s="4" t="str">
        <f>HYPERLINK("http://141.218.60.56/~jnz1568/getInfo.php?workbook=12_04.xlsx&amp;sheet=A0&amp;row=4111&amp;col=6&amp;number=7280000&amp;sourceID=14","7280000")</f>
        <v>7280000</v>
      </c>
      <c r="G4111" s="4" t="str">
        <f>HYPERLINK("http://141.218.60.56/~jnz1568/getInfo.php?workbook=12_04.xlsx&amp;sheet=A0&amp;row=4111&amp;col=7&amp;number=0&amp;sourceID=14","0")</f>
        <v>0</v>
      </c>
    </row>
    <row r="4112" spans="1:7">
      <c r="A4112" s="3">
        <v>12</v>
      </c>
      <c r="B4112" s="3">
        <v>4</v>
      </c>
      <c r="C4112" s="3">
        <v>82</v>
      </c>
      <c r="D4112" s="3">
        <v>68</v>
      </c>
      <c r="E4112" s="3">
        <v>-5472.565</v>
      </c>
      <c r="F4112" s="4" t="str">
        <f>HYPERLINK("http://141.218.60.56/~jnz1568/getInfo.php?workbook=12_04.xlsx&amp;sheet=A0&amp;row=4112&amp;col=6&amp;number=0.00803&amp;sourceID=14","0.00803")</f>
        <v>0.00803</v>
      </c>
      <c r="G4112" s="4" t="str">
        <f>HYPERLINK("http://141.218.60.56/~jnz1568/getInfo.php?workbook=12_04.xlsx&amp;sheet=A0&amp;row=4112&amp;col=7&amp;number=0&amp;sourceID=14","0")</f>
        <v>0</v>
      </c>
    </row>
    <row r="4113" spans="1:7">
      <c r="A4113" s="3">
        <v>12</v>
      </c>
      <c r="B4113" s="3">
        <v>4</v>
      </c>
      <c r="C4113" s="3">
        <v>83</v>
      </c>
      <c r="D4113" s="3">
        <v>68</v>
      </c>
      <c r="E4113" s="3">
        <v>-5471.068</v>
      </c>
      <c r="F4113" s="4" t="str">
        <f>HYPERLINK("http://141.218.60.56/~jnz1568/getInfo.php?workbook=12_04.xlsx&amp;sheet=A0&amp;row=4113&amp;col=6&amp;number=0.0324&amp;sourceID=14","0.0324")</f>
        <v>0.0324</v>
      </c>
      <c r="G4113" s="4" t="str">
        <f>HYPERLINK("http://141.218.60.56/~jnz1568/getInfo.php?workbook=12_04.xlsx&amp;sheet=A0&amp;row=4113&amp;col=7&amp;number=0&amp;sourceID=14","0")</f>
        <v>0</v>
      </c>
    </row>
    <row r="4114" spans="1:7">
      <c r="A4114" s="3">
        <v>12</v>
      </c>
      <c r="B4114" s="3">
        <v>4</v>
      </c>
      <c r="C4114" s="3">
        <v>84</v>
      </c>
      <c r="D4114" s="3">
        <v>68</v>
      </c>
      <c r="E4114" s="3">
        <v>-5375.487</v>
      </c>
      <c r="F4114" s="4" t="str">
        <f>HYPERLINK("http://141.218.60.56/~jnz1568/getInfo.php?workbook=12_04.xlsx&amp;sheet=A0&amp;row=4114&amp;col=6&amp;number=0.0829&amp;sourceID=14","0.0829")</f>
        <v>0.0829</v>
      </c>
      <c r="G4114" s="4" t="str">
        <f>HYPERLINK("http://141.218.60.56/~jnz1568/getInfo.php?workbook=12_04.xlsx&amp;sheet=A0&amp;row=4114&amp;col=7&amp;number=0&amp;sourceID=14","0")</f>
        <v>0</v>
      </c>
    </row>
    <row r="4115" spans="1:7">
      <c r="A4115" s="3">
        <v>12</v>
      </c>
      <c r="B4115" s="3">
        <v>4</v>
      </c>
      <c r="C4115" s="3">
        <v>85</v>
      </c>
      <c r="D4115" s="3">
        <v>68</v>
      </c>
      <c r="E4115" s="3">
        <v>5071.003</v>
      </c>
      <c r="F4115" s="4" t="str">
        <f>HYPERLINK("http://141.218.60.56/~jnz1568/getInfo.php?workbook=12_04.xlsx&amp;sheet=A0&amp;row=4115&amp;col=6&amp;number=4260000&amp;sourceID=14","4260000")</f>
        <v>4260000</v>
      </c>
      <c r="G4115" s="4" t="str">
        <f>HYPERLINK("http://141.218.60.56/~jnz1568/getInfo.php?workbook=12_04.xlsx&amp;sheet=A0&amp;row=4115&amp;col=7&amp;number=0&amp;sourceID=14","0")</f>
        <v>0</v>
      </c>
    </row>
    <row r="4116" spans="1:7">
      <c r="A4116" s="3">
        <v>12</v>
      </c>
      <c r="B4116" s="3">
        <v>4</v>
      </c>
      <c r="C4116" s="3">
        <v>86</v>
      </c>
      <c r="D4116" s="3">
        <v>68</v>
      </c>
      <c r="E4116" s="3">
        <v>4940.721</v>
      </c>
      <c r="F4116" s="4" t="str">
        <f>HYPERLINK("http://141.218.60.56/~jnz1568/getInfo.php?workbook=12_04.xlsx&amp;sheet=A0&amp;row=4116&amp;col=6&amp;number=5.75e-07&amp;sourceID=14","5.75e-07")</f>
        <v>5.75e-07</v>
      </c>
      <c r="G4116" s="4" t="str">
        <f>HYPERLINK("http://141.218.60.56/~jnz1568/getInfo.php?workbook=12_04.xlsx&amp;sheet=A0&amp;row=4116&amp;col=7&amp;number=0&amp;sourceID=14","0")</f>
        <v>0</v>
      </c>
    </row>
    <row r="4117" spans="1:7">
      <c r="A4117" s="3">
        <v>12</v>
      </c>
      <c r="B4117" s="3">
        <v>4</v>
      </c>
      <c r="C4117" s="3">
        <v>87</v>
      </c>
      <c r="D4117" s="3">
        <v>68</v>
      </c>
      <c r="E4117" s="3">
        <v>-4754.442</v>
      </c>
      <c r="F4117" s="4" t="str">
        <f>HYPERLINK("http://141.218.60.56/~jnz1568/getInfo.php?workbook=12_04.xlsx&amp;sheet=A0&amp;row=4117&amp;col=6&amp;number=4.64e-07&amp;sourceID=14","4.64e-07")</f>
        <v>4.64e-07</v>
      </c>
      <c r="G4117" s="4" t="str">
        <f>HYPERLINK("http://141.218.60.56/~jnz1568/getInfo.php?workbook=12_04.xlsx&amp;sheet=A0&amp;row=4117&amp;col=7&amp;number=0&amp;sourceID=14","0")</f>
        <v>0</v>
      </c>
    </row>
    <row r="4118" spans="1:7">
      <c r="A4118" s="3">
        <v>12</v>
      </c>
      <c r="B4118" s="3">
        <v>4</v>
      </c>
      <c r="C4118" s="3">
        <v>88</v>
      </c>
      <c r="D4118" s="3">
        <v>68</v>
      </c>
      <c r="E4118" s="3">
        <v>-4583.8</v>
      </c>
      <c r="F4118" s="4" t="str">
        <f>HYPERLINK("http://141.218.60.56/~jnz1568/getInfo.php?workbook=12_04.xlsx&amp;sheet=A0&amp;row=4118&amp;col=6&amp;number=0.128&amp;sourceID=14","0.128")</f>
        <v>0.128</v>
      </c>
      <c r="G4118" s="4" t="str">
        <f>HYPERLINK("http://141.218.60.56/~jnz1568/getInfo.php?workbook=12_04.xlsx&amp;sheet=A0&amp;row=4118&amp;col=7&amp;number=0&amp;sourceID=14","0")</f>
        <v>0</v>
      </c>
    </row>
    <row r="4119" spans="1:7">
      <c r="A4119" s="3">
        <v>12</v>
      </c>
      <c r="B4119" s="3">
        <v>4</v>
      </c>
      <c r="C4119" s="3">
        <v>89</v>
      </c>
      <c r="D4119" s="3">
        <v>68</v>
      </c>
      <c r="E4119" s="3">
        <v>-4488.54</v>
      </c>
      <c r="F4119" s="4" t="str">
        <f>HYPERLINK("http://141.218.60.56/~jnz1568/getInfo.php?workbook=12_04.xlsx&amp;sheet=A0&amp;row=4119&amp;col=6&amp;number=1.09&amp;sourceID=14","1.09")</f>
        <v>1.09</v>
      </c>
      <c r="G4119" s="4" t="str">
        <f>HYPERLINK("http://141.218.60.56/~jnz1568/getInfo.php?workbook=12_04.xlsx&amp;sheet=A0&amp;row=4119&amp;col=7&amp;number=0&amp;sourceID=14","0")</f>
        <v>0</v>
      </c>
    </row>
    <row r="4120" spans="1:7">
      <c r="A4120" s="3">
        <v>12</v>
      </c>
      <c r="B4120" s="3">
        <v>4</v>
      </c>
      <c r="C4120" s="3">
        <v>90</v>
      </c>
      <c r="D4120" s="3">
        <v>68</v>
      </c>
      <c r="E4120" s="3">
        <v>-4227.801</v>
      </c>
      <c r="F4120" s="4" t="str">
        <f>HYPERLINK("http://141.218.60.56/~jnz1568/getInfo.php?workbook=12_04.xlsx&amp;sheet=A0&amp;row=4120&amp;col=6&amp;number=4.15&amp;sourceID=14","4.15")</f>
        <v>4.15</v>
      </c>
      <c r="G4120" s="4" t="str">
        <f>HYPERLINK("http://141.218.60.56/~jnz1568/getInfo.php?workbook=12_04.xlsx&amp;sheet=A0&amp;row=4120&amp;col=7&amp;number=0&amp;sourceID=14","0")</f>
        <v>0</v>
      </c>
    </row>
    <row r="4121" spans="1:7">
      <c r="A4121" s="3">
        <v>12</v>
      </c>
      <c r="B4121" s="3">
        <v>4</v>
      </c>
      <c r="C4121" s="3">
        <v>91</v>
      </c>
      <c r="D4121" s="3">
        <v>68</v>
      </c>
      <c r="E4121" s="3">
        <v>-4020.593</v>
      </c>
      <c r="F4121" s="4" t="str">
        <f>HYPERLINK("http://141.218.60.56/~jnz1568/getInfo.php?workbook=12_04.xlsx&amp;sheet=A0&amp;row=4121&amp;col=6&amp;number=0.4&amp;sourceID=14","0.4")</f>
        <v>0.4</v>
      </c>
      <c r="G4121" s="4" t="str">
        <f>HYPERLINK("http://141.218.60.56/~jnz1568/getInfo.php?workbook=12_04.xlsx&amp;sheet=A0&amp;row=4121&amp;col=7&amp;number=0&amp;sourceID=14","0")</f>
        <v>0</v>
      </c>
    </row>
    <row r="4122" spans="1:7">
      <c r="A4122" s="3">
        <v>12</v>
      </c>
      <c r="B4122" s="3">
        <v>4</v>
      </c>
      <c r="C4122" s="3">
        <v>92</v>
      </c>
      <c r="D4122" s="3">
        <v>68</v>
      </c>
      <c r="E4122" s="3">
        <v>-3974.728</v>
      </c>
      <c r="F4122" s="4" t="str">
        <f>HYPERLINK("http://141.218.60.56/~jnz1568/getInfo.php?workbook=12_04.xlsx&amp;sheet=A0&amp;row=4122&amp;col=6&amp;number=0.0562&amp;sourceID=14","0.0562")</f>
        <v>0.0562</v>
      </c>
      <c r="G4122" s="4" t="str">
        <f>HYPERLINK("http://141.218.60.56/~jnz1568/getInfo.php?workbook=12_04.xlsx&amp;sheet=A0&amp;row=4122&amp;col=7&amp;number=0&amp;sourceID=14","0")</f>
        <v>0</v>
      </c>
    </row>
    <row r="4123" spans="1:7">
      <c r="A4123" s="3">
        <v>12</v>
      </c>
      <c r="B4123" s="3">
        <v>4</v>
      </c>
      <c r="C4123" s="3">
        <v>93</v>
      </c>
      <c r="D4123" s="3">
        <v>68</v>
      </c>
      <c r="E4123" s="3">
        <v>-3933.608</v>
      </c>
      <c r="F4123" s="4" t="str">
        <f>HYPERLINK("http://141.218.60.56/~jnz1568/getInfo.php?workbook=12_04.xlsx&amp;sheet=A0&amp;row=4123&amp;col=6&amp;number=0.178&amp;sourceID=14","0.178")</f>
        <v>0.178</v>
      </c>
      <c r="G4123" s="4" t="str">
        <f>HYPERLINK("http://141.218.60.56/~jnz1568/getInfo.php?workbook=12_04.xlsx&amp;sheet=A0&amp;row=4123&amp;col=7&amp;number=0&amp;sourceID=14","0")</f>
        <v>0</v>
      </c>
    </row>
    <row r="4124" spans="1:7">
      <c r="A4124" s="3">
        <v>12</v>
      </c>
      <c r="B4124" s="3">
        <v>4</v>
      </c>
      <c r="C4124" s="3">
        <v>94</v>
      </c>
      <c r="D4124" s="3">
        <v>68</v>
      </c>
      <c r="E4124" s="3">
        <v>-3789.465</v>
      </c>
      <c r="F4124" s="4" t="str">
        <f>HYPERLINK("http://141.218.60.56/~jnz1568/getInfo.php?workbook=12_04.xlsx&amp;sheet=A0&amp;row=4124&amp;col=6&amp;number=0.0309&amp;sourceID=14","0.0309")</f>
        <v>0.0309</v>
      </c>
      <c r="G4124" s="4" t="str">
        <f>HYPERLINK("http://141.218.60.56/~jnz1568/getInfo.php?workbook=12_04.xlsx&amp;sheet=A0&amp;row=4124&amp;col=7&amp;number=0&amp;sourceID=14","0")</f>
        <v>0</v>
      </c>
    </row>
    <row r="4125" spans="1:7">
      <c r="A4125" s="3">
        <v>12</v>
      </c>
      <c r="B4125" s="3">
        <v>4</v>
      </c>
      <c r="C4125" s="3">
        <v>96</v>
      </c>
      <c r="D4125" s="3">
        <v>68</v>
      </c>
      <c r="E4125" s="3">
        <v>-3621.883</v>
      </c>
      <c r="F4125" s="4" t="str">
        <f>HYPERLINK("http://141.218.60.56/~jnz1568/getInfo.php?workbook=12_04.xlsx&amp;sheet=A0&amp;row=4125&amp;col=6&amp;number=0.0571&amp;sourceID=14","0.0571")</f>
        <v>0.0571</v>
      </c>
      <c r="G4125" s="4" t="str">
        <f>HYPERLINK("http://141.218.60.56/~jnz1568/getInfo.php?workbook=12_04.xlsx&amp;sheet=A0&amp;row=4125&amp;col=7&amp;number=0&amp;sourceID=14","0")</f>
        <v>0</v>
      </c>
    </row>
    <row r="4126" spans="1:7">
      <c r="A4126" s="3">
        <v>12</v>
      </c>
      <c r="B4126" s="3">
        <v>4</v>
      </c>
      <c r="C4126" s="3">
        <v>97</v>
      </c>
      <c r="D4126" s="3">
        <v>68</v>
      </c>
      <c r="E4126" s="3">
        <v>3725.789</v>
      </c>
      <c r="F4126" s="4" t="str">
        <f>HYPERLINK("http://141.218.60.56/~jnz1568/getInfo.php?workbook=12_04.xlsx&amp;sheet=A0&amp;row=4126&amp;col=6&amp;number=14500&amp;sourceID=14","14500")</f>
        <v>14500</v>
      </c>
      <c r="G4126" s="4" t="str">
        <f>HYPERLINK("http://141.218.60.56/~jnz1568/getInfo.php?workbook=12_04.xlsx&amp;sheet=A0&amp;row=4126&amp;col=7&amp;number=0&amp;sourceID=14","0")</f>
        <v>0</v>
      </c>
    </row>
    <row r="4127" spans="1:7">
      <c r="A4127" s="3">
        <v>12</v>
      </c>
      <c r="B4127" s="3">
        <v>4</v>
      </c>
      <c r="C4127" s="3">
        <v>98</v>
      </c>
      <c r="D4127" s="3">
        <v>68</v>
      </c>
      <c r="E4127" s="3">
        <v>3498.957</v>
      </c>
      <c r="F4127" s="4" t="str">
        <f>HYPERLINK("http://141.218.60.56/~jnz1568/getInfo.php?workbook=12_04.xlsx&amp;sheet=A0&amp;row=4127&amp;col=6&amp;number=8.65e-06&amp;sourceID=14","8.65e-06")</f>
        <v>8.65e-06</v>
      </c>
      <c r="G4127" s="4" t="str">
        <f>HYPERLINK("http://141.218.60.56/~jnz1568/getInfo.php?workbook=12_04.xlsx&amp;sheet=A0&amp;row=4127&amp;col=7&amp;number=0&amp;sourceID=14","0")</f>
        <v>0</v>
      </c>
    </row>
    <row r="4128" spans="1:7">
      <c r="A4128" s="3">
        <v>12</v>
      </c>
      <c r="B4128" s="3">
        <v>4</v>
      </c>
      <c r="C4128" s="3">
        <v>70</v>
      </c>
      <c r="D4128" s="3">
        <v>69</v>
      </c>
      <c r="E4128" s="3">
        <v>-158228.141</v>
      </c>
      <c r="F4128" s="4" t="str">
        <f>HYPERLINK("http://141.218.60.56/~jnz1568/getInfo.php?workbook=12_04.xlsx&amp;sheet=A0&amp;row=4128&amp;col=6&amp;number=0.00395&amp;sourceID=14","0.00395")</f>
        <v>0.00395</v>
      </c>
      <c r="G4128" s="4" t="str">
        <f>HYPERLINK("http://141.218.60.56/~jnz1568/getInfo.php?workbook=12_04.xlsx&amp;sheet=A0&amp;row=4128&amp;col=7&amp;number=0&amp;sourceID=14","0")</f>
        <v>0</v>
      </c>
    </row>
    <row r="4129" spans="1:7">
      <c r="A4129" s="3">
        <v>12</v>
      </c>
      <c r="B4129" s="3">
        <v>4</v>
      </c>
      <c r="C4129" s="3">
        <v>71</v>
      </c>
      <c r="D4129" s="3">
        <v>69</v>
      </c>
      <c r="E4129" s="3">
        <v>-39016.848</v>
      </c>
      <c r="F4129" s="4" t="str">
        <f>HYPERLINK("http://141.218.60.56/~jnz1568/getInfo.php?workbook=12_04.xlsx&amp;sheet=A0&amp;row=4129&amp;col=6&amp;number=0.0508&amp;sourceID=14","0.0508")</f>
        <v>0.0508</v>
      </c>
      <c r="G4129" s="4" t="str">
        <f>HYPERLINK("http://141.218.60.56/~jnz1568/getInfo.php?workbook=12_04.xlsx&amp;sheet=A0&amp;row=4129&amp;col=7&amp;number=0&amp;sourceID=14","0")</f>
        <v>0</v>
      </c>
    </row>
    <row r="4130" spans="1:7">
      <c r="A4130" s="3">
        <v>12</v>
      </c>
      <c r="B4130" s="3">
        <v>4</v>
      </c>
      <c r="C4130" s="3">
        <v>72</v>
      </c>
      <c r="D4130" s="3">
        <v>69</v>
      </c>
      <c r="E4130" s="3">
        <v>-33003.359</v>
      </c>
      <c r="F4130" s="4" t="str">
        <f>HYPERLINK("http://141.218.60.56/~jnz1568/getInfo.php?workbook=12_04.xlsx&amp;sheet=A0&amp;row=4130&amp;col=6&amp;number=0.135&amp;sourceID=14","0.135")</f>
        <v>0.135</v>
      </c>
      <c r="G4130" s="4" t="str">
        <f>HYPERLINK("http://141.218.60.56/~jnz1568/getInfo.php?workbook=12_04.xlsx&amp;sheet=A0&amp;row=4130&amp;col=7&amp;number=0&amp;sourceID=14","0")</f>
        <v>0</v>
      </c>
    </row>
    <row r="4131" spans="1:7">
      <c r="A4131" s="3">
        <v>12</v>
      </c>
      <c r="B4131" s="3">
        <v>4</v>
      </c>
      <c r="C4131" s="3">
        <v>73</v>
      </c>
      <c r="D4131" s="3">
        <v>69</v>
      </c>
      <c r="E4131" s="3">
        <v>-16485.357</v>
      </c>
      <c r="F4131" s="4" t="str">
        <f>HYPERLINK("http://141.218.60.56/~jnz1568/getInfo.php?workbook=12_04.xlsx&amp;sheet=A0&amp;row=4131&amp;col=6&amp;number=29.1&amp;sourceID=14","29.1")</f>
        <v>29.1</v>
      </c>
      <c r="G4131" s="4" t="str">
        <f>HYPERLINK("http://141.218.60.56/~jnz1568/getInfo.php?workbook=12_04.xlsx&amp;sheet=A0&amp;row=4131&amp;col=7&amp;number=0&amp;sourceID=14","0")</f>
        <v>0</v>
      </c>
    </row>
    <row r="4132" spans="1:7">
      <c r="A4132" s="3">
        <v>12</v>
      </c>
      <c r="B4132" s="3">
        <v>4</v>
      </c>
      <c r="C4132" s="3">
        <v>74</v>
      </c>
      <c r="D4132" s="3">
        <v>69</v>
      </c>
      <c r="E4132" s="3">
        <v>-12537.636</v>
      </c>
      <c r="F4132" s="4" t="str">
        <f>HYPERLINK("http://141.218.60.56/~jnz1568/getInfo.php?workbook=12_04.xlsx&amp;sheet=A0&amp;row=4132&amp;col=6&amp;number=5.89e-08&amp;sourceID=14","5.89e-08")</f>
        <v>5.89e-08</v>
      </c>
      <c r="G4132" s="4" t="str">
        <f>HYPERLINK("http://141.218.60.56/~jnz1568/getInfo.php?workbook=12_04.xlsx&amp;sheet=A0&amp;row=4132&amp;col=7&amp;number=0&amp;sourceID=14","0")</f>
        <v>0</v>
      </c>
    </row>
    <row r="4133" spans="1:7">
      <c r="A4133" s="3">
        <v>12</v>
      </c>
      <c r="B4133" s="3">
        <v>4</v>
      </c>
      <c r="C4133" s="3">
        <v>75</v>
      </c>
      <c r="D4133" s="3">
        <v>69</v>
      </c>
      <c r="E4133" s="3">
        <v>-11657.751</v>
      </c>
      <c r="F4133" s="4" t="str">
        <f>HYPERLINK("http://141.218.60.56/~jnz1568/getInfo.php?workbook=12_04.xlsx&amp;sheet=A0&amp;row=4133&amp;col=6&amp;number=1090&amp;sourceID=14","1090")</f>
        <v>1090</v>
      </c>
      <c r="G4133" s="4" t="str">
        <f>HYPERLINK("http://141.218.60.56/~jnz1568/getInfo.php?workbook=12_04.xlsx&amp;sheet=A0&amp;row=4133&amp;col=7&amp;number=0&amp;sourceID=14","0")</f>
        <v>0</v>
      </c>
    </row>
    <row r="4134" spans="1:7">
      <c r="A4134" s="3">
        <v>12</v>
      </c>
      <c r="B4134" s="3">
        <v>4</v>
      </c>
      <c r="C4134" s="3">
        <v>76</v>
      </c>
      <c r="D4134" s="3">
        <v>69</v>
      </c>
      <c r="E4134" s="3">
        <v>-10358.42</v>
      </c>
      <c r="F4134" s="4" t="str">
        <f>HYPERLINK("http://141.218.60.56/~jnz1568/getInfo.php?workbook=12_04.xlsx&amp;sheet=A0&amp;row=4134&amp;col=6&amp;number=0.0433&amp;sourceID=14","0.0433")</f>
        <v>0.0433</v>
      </c>
      <c r="G4134" s="4" t="str">
        <f>HYPERLINK("http://141.218.60.56/~jnz1568/getInfo.php?workbook=12_04.xlsx&amp;sheet=A0&amp;row=4134&amp;col=7&amp;number=0&amp;sourceID=14","0")</f>
        <v>0</v>
      </c>
    </row>
    <row r="4135" spans="1:7">
      <c r="A4135" s="3">
        <v>12</v>
      </c>
      <c r="B4135" s="3">
        <v>4</v>
      </c>
      <c r="C4135" s="3">
        <v>77</v>
      </c>
      <c r="D4135" s="3">
        <v>69</v>
      </c>
      <c r="E4135" s="3">
        <v>-9851.265</v>
      </c>
      <c r="F4135" s="4" t="str">
        <f>HYPERLINK("http://141.218.60.56/~jnz1568/getInfo.php?workbook=12_04.xlsx&amp;sheet=A0&amp;row=4135&amp;col=6&amp;number=7.67e-11&amp;sourceID=14","7.67e-11")</f>
        <v>7.67e-11</v>
      </c>
      <c r="G4135" s="4" t="str">
        <f>HYPERLINK("http://141.218.60.56/~jnz1568/getInfo.php?workbook=12_04.xlsx&amp;sheet=A0&amp;row=4135&amp;col=7&amp;number=0&amp;sourceID=14","0")</f>
        <v>0</v>
      </c>
    </row>
    <row r="4136" spans="1:7">
      <c r="A4136" s="3">
        <v>12</v>
      </c>
      <c r="B4136" s="3">
        <v>4</v>
      </c>
      <c r="C4136" s="3">
        <v>78</v>
      </c>
      <c r="D4136" s="3">
        <v>69</v>
      </c>
      <c r="E4136" s="3">
        <v>-7601.686</v>
      </c>
      <c r="F4136" s="4" t="str">
        <f>HYPERLINK("http://141.218.60.56/~jnz1568/getInfo.php?workbook=12_04.xlsx&amp;sheet=A0&amp;row=4136&amp;col=6&amp;number=2030000&amp;sourceID=14","2030000")</f>
        <v>2030000</v>
      </c>
      <c r="G4136" s="4" t="str">
        <f>HYPERLINK("http://141.218.60.56/~jnz1568/getInfo.php?workbook=12_04.xlsx&amp;sheet=A0&amp;row=4136&amp;col=7&amp;number=0&amp;sourceID=14","0")</f>
        <v>0</v>
      </c>
    </row>
    <row r="4137" spans="1:7">
      <c r="A4137" s="3">
        <v>12</v>
      </c>
      <c r="B4137" s="3">
        <v>4</v>
      </c>
      <c r="C4137" s="3">
        <v>79</v>
      </c>
      <c r="D4137" s="3">
        <v>69</v>
      </c>
      <c r="E4137" s="3">
        <v>-7260.068</v>
      </c>
      <c r="F4137" s="4" t="str">
        <f>HYPERLINK("http://141.218.60.56/~jnz1568/getInfo.php?workbook=12_04.xlsx&amp;sheet=A0&amp;row=4137&amp;col=6&amp;number=5840000&amp;sourceID=14","5840000")</f>
        <v>5840000</v>
      </c>
      <c r="G4137" s="4" t="str">
        <f>HYPERLINK("http://141.218.60.56/~jnz1568/getInfo.php?workbook=12_04.xlsx&amp;sheet=A0&amp;row=4137&amp;col=7&amp;number=0&amp;sourceID=14","0")</f>
        <v>0</v>
      </c>
    </row>
    <row r="4138" spans="1:7">
      <c r="A4138" s="3">
        <v>12</v>
      </c>
      <c r="B4138" s="3">
        <v>4</v>
      </c>
      <c r="C4138" s="3">
        <v>80</v>
      </c>
      <c r="D4138" s="3">
        <v>69</v>
      </c>
      <c r="E4138" s="3">
        <v>-6660.019</v>
      </c>
      <c r="F4138" s="4" t="str">
        <f>HYPERLINK("http://141.218.60.56/~jnz1568/getInfo.php?workbook=12_04.xlsx&amp;sheet=A0&amp;row=4138&amp;col=6&amp;number=0.00819&amp;sourceID=14","0.00819")</f>
        <v>0.00819</v>
      </c>
      <c r="G4138" s="4" t="str">
        <f>HYPERLINK("http://141.218.60.56/~jnz1568/getInfo.php?workbook=12_04.xlsx&amp;sheet=A0&amp;row=4138&amp;col=7&amp;number=0&amp;sourceID=14","0")</f>
        <v>0</v>
      </c>
    </row>
    <row r="4139" spans="1:7">
      <c r="A4139" s="3">
        <v>12</v>
      </c>
      <c r="B4139" s="3">
        <v>4</v>
      </c>
      <c r="C4139" s="3">
        <v>81</v>
      </c>
      <c r="D4139" s="3">
        <v>69</v>
      </c>
      <c r="E4139" s="3">
        <v>-6648.065</v>
      </c>
      <c r="F4139" s="4" t="str">
        <f>HYPERLINK("http://141.218.60.56/~jnz1568/getInfo.php?workbook=12_04.xlsx&amp;sheet=A0&amp;row=4139&amp;col=6&amp;number=1.11e-06&amp;sourceID=14","1.11e-06")</f>
        <v>1.11e-06</v>
      </c>
      <c r="G4139" s="4" t="str">
        <f>HYPERLINK("http://141.218.60.56/~jnz1568/getInfo.php?workbook=12_04.xlsx&amp;sheet=A0&amp;row=4139&amp;col=7&amp;number=0&amp;sourceID=14","0")</f>
        <v>0</v>
      </c>
    </row>
    <row r="4140" spans="1:7">
      <c r="A4140" s="3">
        <v>12</v>
      </c>
      <c r="B4140" s="3">
        <v>4</v>
      </c>
      <c r="C4140" s="3">
        <v>82</v>
      </c>
      <c r="D4140" s="3">
        <v>69</v>
      </c>
      <c r="E4140" s="3">
        <v>-6503.231</v>
      </c>
      <c r="F4140" s="4" t="str">
        <f>HYPERLINK("http://141.218.60.56/~jnz1568/getInfo.php?workbook=12_04.xlsx&amp;sheet=A0&amp;row=4140&amp;col=6&amp;number=0.0697&amp;sourceID=14","0.0697")</f>
        <v>0.0697</v>
      </c>
      <c r="G4140" s="4" t="str">
        <f>HYPERLINK("http://141.218.60.56/~jnz1568/getInfo.php?workbook=12_04.xlsx&amp;sheet=A0&amp;row=4140&amp;col=7&amp;number=0&amp;sourceID=14","0")</f>
        <v>0</v>
      </c>
    </row>
    <row r="4141" spans="1:7">
      <c r="A4141" s="3">
        <v>12</v>
      </c>
      <c r="B4141" s="3">
        <v>4</v>
      </c>
      <c r="C4141" s="3">
        <v>83</v>
      </c>
      <c r="D4141" s="3">
        <v>69</v>
      </c>
      <c r="E4141" s="3">
        <v>-6501.117</v>
      </c>
      <c r="F4141" s="4" t="str">
        <f>HYPERLINK("http://141.218.60.56/~jnz1568/getInfo.php?workbook=12_04.xlsx&amp;sheet=A0&amp;row=4141&amp;col=6&amp;number=0.0836&amp;sourceID=14","0.0836")</f>
        <v>0.0836</v>
      </c>
      <c r="G4141" s="4" t="str">
        <f>HYPERLINK("http://141.218.60.56/~jnz1568/getInfo.php?workbook=12_04.xlsx&amp;sheet=A0&amp;row=4141&amp;col=7&amp;number=0&amp;sourceID=14","0")</f>
        <v>0</v>
      </c>
    </row>
    <row r="4142" spans="1:7">
      <c r="A4142" s="3">
        <v>12</v>
      </c>
      <c r="B4142" s="3">
        <v>4</v>
      </c>
      <c r="C4142" s="3">
        <v>84</v>
      </c>
      <c r="D4142" s="3">
        <v>69</v>
      </c>
      <c r="E4142" s="3">
        <v>-6366.6</v>
      </c>
      <c r="F4142" s="4" t="str">
        <f>HYPERLINK("http://141.218.60.56/~jnz1568/getInfo.php?workbook=12_04.xlsx&amp;sheet=A0&amp;row=4142&amp;col=6&amp;number=2.85e-14&amp;sourceID=14","2.85e-14")</f>
        <v>2.85e-14</v>
      </c>
      <c r="G4142" s="4" t="str">
        <f>HYPERLINK("http://141.218.60.56/~jnz1568/getInfo.php?workbook=12_04.xlsx&amp;sheet=A0&amp;row=4142&amp;col=7&amp;number=0&amp;sourceID=14","0")</f>
        <v>0</v>
      </c>
    </row>
    <row r="4143" spans="1:7">
      <c r="A4143" s="3">
        <v>12</v>
      </c>
      <c r="B4143" s="3">
        <v>4</v>
      </c>
      <c r="C4143" s="3">
        <v>85</v>
      </c>
      <c r="D4143" s="3">
        <v>69</v>
      </c>
      <c r="E4143" s="3">
        <v>-5819.039</v>
      </c>
      <c r="F4143" s="4" t="str">
        <f>HYPERLINK("http://141.218.60.56/~jnz1568/getInfo.php?workbook=12_04.xlsx&amp;sheet=A0&amp;row=4143&amp;col=6&amp;number=7050000&amp;sourceID=14","7050000")</f>
        <v>7050000</v>
      </c>
      <c r="G4143" s="4" t="str">
        <f>HYPERLINK("http://141.218.60.56/~jnz1568/getInfo.php?workbook=12_04.xlsx&amp;sheet=A0&amp;row=4143&amp;col=7&amp;number=0&amp;sourceID=14","0")</f>
        <v>0</v>
      </c>
    </row>
    <row r="4144" spans="1:7">
      <c r="A4144" s="3">
        <v>12</v>
      </c>
      <c r="B4144" s="3">
        <v>4</v>
      </c>
      <c r="C4144" s="3">
        <v>86</v>
      </c>
      <c r="D4144" s="3">
        <v>69</v>
      </c>
      <c r="E4144" s="3">
        <v>-5616.41</v>
      </c>
      <c r="F4144" s="4" t="str">
        <f>HYPERLINK("http://141.218.60.56/~jnz1568/getInfo.php?workbook=12_04.xlsx&amp;sheet=A0&amp;row=4144&amp;col=6&amp;number=3670000&amp;sourceID=14","3670000")</f>
        <v>3670000</v>
      </c>
      <c r="G4144" s="4" t="str">
        <f>HYPERLINK("http://141.218.60.56/~jnz1568/getInfo.php?workbook=12_04.xlsx&amp;sheet=A0&amp;row=4144&amp;col=7&amp;number=0&amp;sourceID=14","0")</f>
        <v>0</v>
      </c>
    </row>
    <row r="4145" spans="1:7">
      <c r="A4145" s="3">
        <v>12</v>
      </c>
      <c r="B4145" s="3">
        <v>4</v>
      </c>
      <c r="C4145" s="3">
        <v>87</v>
      </c>
      <c r="D4145" s="3">
        <v>69</v>
      </c>
      <c r="E4145" s="3">
        <v>-5513.601</v>
      </c>
      <c r="F4145" s="4" t="str">
        <f>HYPERLINK("http://141.218.60.56/~jnz1568/getInfo.php?workbook=12_04.xlsx&amp;sheet=A0&amp;row=4145&amp;col=6&amp;number=2350000&amp;sourceID=14","2350000")</f>
        <v>2350000</v>
      </c>
      <c r="G4145" s="4" t="str">
        <f>HYPERLINK("http://141.218.60.56/~jnz1568/getInfo.php?workbook=12_04.xlsx&amp;sheet=A0&amp;row=4145&amp;col=7&amp;number=0&amp;sourceID=14","0")</f>
        <v>0</v>
      </c>
    </row>
    <row r="4146" spans="1:7">
      <c r="A4146" s="3">
        <v>12</v>
      </c>
      <c r="B4146" s="3">
        <v>4</v>
      </c>
      <c r="C4146" s="3">
        <v>88</v>
      </c>
      <c r="D4146" s="3">
        <v>69</v>
      </c>
      <c r="E4146" s="3">
        <v>-5285.422</v>
      </c>
      <c r="F4146" s="4" t="str">
        <f>HYPERLINK("http://141.218.60.56/~jnz1568/getInfo.php?workbook=12_04.xlsx&amp;sheet=A0&amp;row=4146&amp;col=6&amp;number=0.127&amp;sourceID=14","0.127")</f>
        <v>0.127</v>
      </c>
      <c r="G4146" s="4" t="str">
        <f>HYPERLINK("http://141.218.60.56/~jnz1568/getInfo.php?workbook=12_04.xlsx&amp;sheet=A0&amp;row=4146&amp;col=7&amp;number=0&amp;sourceID=14","0")</f>
        <v>0</v>
      </c>
    </row>
    <row r="4147" spans="1:7">
      <c r="A4147" s="3">
        <v>12</v>
      </c>
      <c r="B4147" s="3">
        <v>4</v>
      </c>
      <c r="C4147" s="3">
        <v>89</v>
      </c>
      <c r="D4147" s="3">
        <v>69</v>
      </c>
      <c r="E4147" s="3">
        <v>-5159.169</v>
      </c>
      <c r="F4147" s="4" t="str">
        <f>HYPERLINK("http://141.218.60.56/~jnz1568/getInfo.php?workbook=12_04.xlsx&amp;sheet=A0&amp;row=4147&amp;col=6&amp;number=1.11e-14&amp;sourceID=14","1.11e-14")</f>
        <v>1.11e-14</v>
      </c>
      <c r="G4147" s="4" t="str">
        <f>HYPERLINK("http://141.218.60.56/~jnz1568/getInfo.php?workbook=12_04.xlsx&amp;sheet=A0&amp;row=4147&amp;col=7&amp;number=0&amp;sourceID=14","0")</f>
        <v>0</v>
      </c>
    </row>
    <row r="4148" spans="1:7">
      <c r="A4148" s="3">
        <v>12</v>
      </c>
      <c r="B4148" s="3">
        <v>4</v>
      </c>
      <c r="C4148" s="3">
        <v>90</v>
      </c>
      <c r="D4148" s="3">
        <v>69</v>
      </c>
      <c r="E4148" s="3">
        <v>-4817.661</v>
      </c>
      <c r="F4148" s="4" t="str">
        <f>HYPERLINK("http://141.218.60.56/~jnz1568/getInfo.php?workbook=12_04.xlsx&amp;sheet=A0&amp;row=4148&amp;col=6&amp;number=2.96e-16&amp;sourceID=14","2.96e-16")</f>
        <v>2.96e-16</v>
      </c>
      <c r="G4148" s="4" t="str">
        <f>HYPERLINK("http://141.218.60.56/~jnz1568/getInfo.php?workbook=12_04.xlsx&amp;sheet=A0&amp;row=4148&amp;col=7&amp;number=0&amp;sourceID=14","0")</f>
        <v>0</v>
      </c>
    </row>
    <row r="4149" spans="1:7">
      <c r="A4149" s="3">
        <v>12</v>
      </c>
      <c r="B4149" s="3">
        <v>4</v>
      </c>
      <c r="C4149" s="3">
        <v>91</v>
      </c>
      <c r="D4149" s="3">
        <v>69</v>
      </c>
      <c r="E4149" s="3">
        <v>-4550.427</v>
      </c>
      <c r="F4149" s="4" t="str">
        <f>HYPERLINK("http://141.218.60.56/~jnz1568/getInfo.php?workbook=12_04.xlsx&amp;sheet=A0&amp;row=4149&amp;col=6&amp;number=1.41&amp;sourceID=14","1.41")</f>
        <v>1.41</v>
      </c>
      <c r="G4149" s="4" t="str">
        <f>HYPERLINK("http://141.218.60.56/~jnz1568/getInfo.php?workbook=12_04.xlsx&amp;sheet=A0&amp;row=4149&amp;col=7&amp;number=0&amp;sourceID=14","0")</f>
        <v>0</v>
      </c>
    </row>
    <row r="4150" spans="1:7">
      <c r="A4150" s="3">
        <v>12</v>
      </c>
      <c r="B4150" s="3">
        <v>4</v>
      </c>
      <c r="C4150" s="3">
        <v>92</v>
      </c>
      <c r="D4150" s="3">
        <v>69</v>
      </c>
      <c r="E4150" s="3">
        <v>-4491.766</v>
      </c>
      <c r="F4150" s="4" t="str">
        <f>HYPERLINK("http://141.218.60.56/~jnz1568/getInfo.php?workbook=12_04.xlsx&amp;sheet=A0&amp;row=4150&amp;col=6&amp;number=5.63e-13&amp;sourceID=14","5.63e-13")</f>
        <v>5.63e-13</v>
      </c>
      <c r="G4150" s="4" t="str">
        <f>HYPERLINK("http://141.218.60.56/~jnz1568/getInfo.php?workbook=12_04.xlsx&amp;sheet=A0&amp;row=4150&amp;col=7&amp;number=0&amp;sourceID=14","0")</f>
        <v>0</v>
      </c>
    </row>
    <row r="4151" spans="1:7">
      <c r="A4151" s="3">
        <v>12</v>
      </c>
      <c r="B4151" s="3">
        <v>4</v>
      </c>
      <c r="C4151" s="3">
        <v>93</v>
      </c>
      <c r="D4151" s="3">
        <v>69</v>
      </c>
      <c r="E4151" s="3">
        <v>-4439.323</v>
      </c>
      <c r="F4151" s="4" t="str">
        <f>HYPERLINK("http://141.218.60.56/~jnz1568/getInfo.php?workbook=12_04.xlsx&amp;sheet=A0&amp;row=4151&amp;col=6&amp;number=0.192&amp;sourceID=14","0.192")</f>
        <v>0.192</v>
      </c>
      <c r="G4151" s="4" t="str">
        <f>HYPERLINK("http://141.218.60.56/~jnz1568/getInfo.php?workbook=12_04.xlsx&amp;sheet=A0&amp;row=4151&amp;col=7&amp;number=0&amp;sourceID=14","0")</f>
        <v>0</v>
      </c>
    </row>
    <row r="4152" spans="1:7">
      <c r="A4152" s="3">
        <v>12</v>
      </c>
      <c r="B4152" s="3">
        <v>4</v>
      </c>
      <c r="C4152" s="3">
        <v>94</v>
      </c>
      <c r="D4152" s="3">
        <v>69</v>
      </c>
      <c r="E4152" s="3">
        <v>-4256.595</v>
      </c>
      <c r="F4152" s="4" t="str">
        <f>HYPERLINK("http://141.218.60.56/~jnz1568/getInfo.php?workbook=12_04.xlsx&amp;sheet=A0&amp;row=4152&amp;col=6&amp;number=0.166&amp;sourceID=14","0.166")</f>
        <v>0.166</v>
      </c>
      <c r="G4152" s="4" t="str">
        <f>HYPERLINK("http://141.218.60.56/~jnz1568/getInfo.php?workbook=12_04.xlsx&amp;sheet=A0&amp;row=4152&amp;col=7&amp;number=0&amp;sourceID=14","0")</f>
        <v>0</v>
      </c>
    </row>
    <row r="4153" spans="1:7">
      <c r="A4153" s="3">
        <v>12</v>
      </c>
      <c r="B4153" s="3">
        <v>4</v>
      </c>
      <c r="C4153" s="3">
        <v>95</v>
      </c>
      <c r="D4153" s="3">
        <v>69</v>
      </c>
      <c r="E4153" s="3">
        <v>-4144.742</v>
      </c>
      <c r="F4153" s="4" t="str">
        <f>HYPERLINK("http://141.218.60.56/~jnz1568/getInfo.php?workbook=12_04.xlsx&amp;sheet=A0&amp;row=4153&amp;col=6&amp;number=1.72&amp;sourceID=14","1.72")</f>
        <v>1.72</v>
      </c>
      <c r="G4153" s="4" t="str">
        <f>HYPERLINK("http://141.218.60.56/~jnz1568/getInfo.php?workbook=12_04.xlsx&amp;sheet=A0&amp;row=4153&amp;col=7&amp;number=0&amp;sourceID=14","0")</f>
        <v>0</v>
      </c>
    </row>
    <row r="4154" spans="1:7">
      <c r="A4154" s="3">
        <v>12</v>
      </c>
      <c r="B4154" s="3">
        <v>4</v>
      </c>
      <c r="C4154" s="3">
        <v>96</v>
      </c>
      <c r="D4154" s="3">
        <v>69</v>
      </c>
      <c r="E4154" s="3">
        <v>-4046.297</v>
      </c>
      <c r="F4154" s="4" t="str">
        <f>HYPERLINK("http://141.218.60.56/~jnz1568/getInfo.php?workbook=12_04.xlsx&amp;sheet=A0&amp;row=4154&amp;col=6&amp;number=0.852&amp;sourceID=14","0.852")</f>
        <v>0.852</v>
      </c>
      <c r="G4154" s="4" t="str">
        <f>HYPERLINK("http://141.218.60.56/~jnz1568/getInfo.php?workbook=12_04.xlsx&amp;sheet=A0&amp;row=4154&amp;col=7&amp;number=0&amp;sourceID=14","0")</f>
        <v>0</v>
      </c>
    </row>
    <row r="4155" spans="1:7">
      <c r="A4155" s="3">
        <v>12</v>
      </c>
      <c r="B4155" s="3">
        <v>4</v>
      </c>
      <c r="C4155" s="3">
        <v>97</v>
      </c>
      <c r="D4155" s="3">
        <v>69</v>
      </c>
      <c r="E4155" s="3">
        <v>-3674.991</v>
      </c>
      <c r="F4155" s="4" t="str">
        <f>HYPERLINK("http://141.218.60.56/~jnz1568/getInfo.php?workbook=12_04.xlsx&amp;sheet=A0&amp;row=4155&amp;col=6&amp;number=8.52e-06&amp;sourceID=14","8.52e-06")</f>
        <v>8.52e-06</v>
      </c>
      <c r="G4155" s="4" t="str">
        <f>HYPERLINK("http://141.218.60.56/~jnz1568/getInfo.php?workbook=12_04.xlsx&amp;sheet=A0&amp;row=4155&amp;col=7&amp;number=0&amp;sourceID=14","0")</f>
        <v>0</v>
      </c>
    </row>
    <row r="4156" spans="1:7">
      <c r="A4156" s="3">
        <v>12</v>
      </c>
      <c r="B4156" s="3">
        <v>4</v>
      </c>
      <c r="C4156" s="3">
        <v>98</v>
      </c>
      <c r="D4156" s="3">
        <v>69</v>
      </c>
      <c r="E4156" s="3">
        <v>-3520.266</v>
      </c>
      <c r="F4156" s="4" t="str">
        <f>HYPERLINK("http://141.218.60.56/~jnz1568/getInfo.php?workbook=12_04.xlsx&amp;sheet=A0&amp;row=4156&amp;col=6&amp;number=3790000&amp;sourceID=14","3790000")</f>
        <v>3790000</v>
      </c>
      <c r="G4156" s="4" t="str">
        <f>HYPERLINK("http://141.218.60.56/~jnz1568/getInfo.php?workbook=12_04.xlsx&amp;sheet=A0&amp;row=4156&amp;col=7&amp;number=0&amp;sourceID=14","0")</f>
        <v>0</v>
      </c>
    </row>
    <row r="4157" spans="1:7">
      <c r="A4157" s="3">
        <v>12</v>
      </c>
      <c r="B4157" s="3">
        <v>4</v>
      </c>
      <c r="C4157" s="3">
        <v>71</v>
      </c>
      <c r="D4157" s="3">
        <v>70</v>
      </c>
      <c r="E4157" s="3">
        <v>-51786.734</v>
      </c>
      <c r="F4157" s="4" t="str">
        <f>HYPERLINK("http://141.218.60.56/~jnz1568/getInfo.php?workbook=12_04.xlsx&amp;sheet=A0&amp;row=4157&amp;col=6&amp;number=0.0867&amp;sourceID=14","0.0867")</f>
        <v>0.0867</v>
      </c>
      <c r="G4157" s="4" t="str">
        <f>HYPERLINK("http://141.218.60.56/~jnz1568/getInfo.php?workbook=12_04.xlsx&amp;sheet=A0&amp;row=4157&amp;col=7&amp;number=0&amp;sourceID=14","0")</f>
        <v>0</v>
      </c>
    </row>
    <row r="4158" spans="1:7">
      <c r="A4158" s="3">
        <v>12</v>
      </c>
      <c r="B4158" s="3">
        <v>4</v>
      </c>
      <c r="C4158" s="3">
        <v>72</v>
      </c>
      <c r="D4158" s="3">
        <v>70</v>
      </c>
      <c r="E4158" s="3">
        <v>-41701.496</v>
      </c>
      <c r="F4158" s="4" t="str">
        <f>HYPERLINK("http://141.218.60.56/~jnz1568/getInfo.php?workbook=12_04.xlsx&amp;sheet=A0&amp;row=4158&amp;col=6&amp;number=7.83e-06&amp;sourceID=14","7.83e-06")</f>
        <v>7.83e-06</v>
      </c>
      <c r="G4158" s="4" t="str">
        <f>HYPERLINK("http://141.218.60.56/~jnz1568/getInfo.php?workbook=12_04.xlsx&amp;sheet=A0&amp;row=4158&amp;col=7&amp;number=0&amp;sourceID=14","0")</f>
        <v>0</v>
      </c>
    </row>
    <row r="4159" spans="1:7">
      <c r="A4159" s="3">
        <v>12</v>
      </c>
      <c r="B4159" s="3">
        <v>4</v>
      </c>
      <c r="C4159" s="3">
        <v>74</v>
      </c>
      <c r="D4159" s="3">
        <v>70</v>
      </c>
      <c r="E4159" s="3">
        <v>-13616.583</v>
      </c>
      <c r="F4159" s="4" t="str">
        <f>HYPERLINK("http://141.218.60.56/~jnz1568/getInfo.php?workbook=12_04.xlsx&amp;sheet=A0&amp;row=4159&amp;col=6&amp;number=6.67e-11&amp;sourceID=14","6.67e-11")</f>
        <v>6.67e-11</v>
      </c>
      <c r="G4159" s="4" t="str">
        <f>HYPERLINK("http://141.218.60.56/~jnz1568/getInfo.php?workbook=12_04.xlsx&amp;sheet=A0&amp;row=4159&amp;col=7&amp;number=0&amp;sourceID=14","0")</f>
        <v>0</v>
      </c>
    </row>
    <row r="4160" spans="1:7">
      <c r="A4160" s="3">
        <v>12</v>
      </c>
      <c r="B4160" s="3">
        <v>4</v>
      </c>
      <c r="C4160" s="3">
        <v>75</v>
      </c>
      <c r="D4160" s="3">
        <v>70</v>
      </c>
      <c r="E4160" s="3">
        <v>-12584.972</v>
      </c>
      <c r="F4160" s="4" t="str">
        <f>HYPERLINK("http://141.218.60.56/~jnz1568/getInfo.php?workbook=12_04.xlsx&amp;sheet=A0&amp;row=4160&amp;col=6&amp;number=1.51e-07&amp;sourceID=14","1.51e-07")</f>
        <v>1.51e-07</v>
      </c>
      <c r="G4160" s="4" t="str">
        <f>HYPERLINK("http://141.218.60.56/~jnz1568/getInfo.php?workbook=12_04.xlsx&amp;sheet=A0&amp;row=4160&amp;col=7&amp;number=0&amp;sourceID=14","0")</f>
        <v>0</v>
      </c>
    </row>
    <row r="4161" spans="1:7">
      <c r="A4161" s="3">
        <v>12</v>
      </c>
      <c r="B4161" s="3">
        <v>4</v>
      </c>
      <c r="C4161" s="3">
        <v>76</v>
      </c>
      <c r="D4161" s="3">
        <v>70</v>
      </c>
      <c r="E4161" s="3">
        <v>-11084.037</v>
      </c>
      <c r="F4161" s="4" t="str">
        <f>HYPERLINK("http://141.218.60.56/~jnz1568/getInfo.php?workbook=12_04.xlsx&amp;sheet=A0&amp;row=4161&amp;col=6&amp;number=1e-06&amp;sourceID=14","1e-06")</f>
        <v>1e-06</v>
      </c>
      <c r="G4161" s="4" t="str">
        <f>HYPERLINK("http://141.218.60.56/~jnz1568/getInfo.php?workbook=12_04.xlsx&amp;sheet=A0&amp;row=4161&amp;col=7&amp;number=0&amp;sourceID=14","0")</f>
        <v>0</v>
      </c>
    </row>
    <row r="4162" spans="1:7">
      <c r="A4162" s="3">
        <v>12</v>
      </c>
      <c r="B4162" s="3">
        <v>4</v>
      </c>
      <c r="C4162" s="3">
        <v>78</v>
      </c>
      <c r="D4162" s="3">
        <v>70</v>
      </c>
      <c r="E4162" s="3">
        <v>-7985.322</v>
      </c>
      <c r="F4162" s="4" t="str">
        <f>HYPERLINK("http://141.218.60.56/~jnz1568/getInfo.php?workbook=12_04.xlsx&amp;sheet=A0&amp;row=4162&amp;col=6&amp;number=4250000&amp;sourceID=14","4250000")</f>
        <v>4250000</v>
      </c>
      <c r="G4162" s="4" t="str">
        <f>HYPERLINK("http://141.218.60.56/~jnz1568/getInfo.php?workbook=12_04.xlsx&amp;sheet=A0&amp;row=4162&amp;col=7&amp;number=0&amp;sourceID=14","0")</f>
        <v>0</v>
      </c>
    </row>
    <row r="4163" spans="1:7">
      <c r="A4163" s="3">
        <v>12</v>
      </c>
      <c r="B4163" s="3">
        <v>4</v>
      </c>
      <c r="C4163" s="3">
        <v>79</v>
      </c>
      <c r="D4163" s="3">
        <v>70</v>
      </c>
      <c r="E4163" s="3">
        <v>-7609.206</v>
      </c>
      <c r="F4163" s="4" t="str">
        <f>HYPERLINK("http://141.218.60.56/~jnz1568/getInfo.php?workbook=12_04.xlsx&amp;sheet=A0&amp;row=4163&amp;col=6&amp;number=2.43e-06&amp;sourceID=14","2.43e-06")</f>
        <v>2.43e-06</v>
      </c>
      <c r="G4163" s="4" t="str">
        <f>HYPERLINK("http://141.218.60.56/~jnz1568/getInfo.php?workbook=12_04.xlsx&amp;sheet=A0&amp;row=4163&amp;col=7&amp;number=0&amp;sourceID=14","0")</f>
        <v>0</v>
      </c>
    </row>
    <row r="4164" spans="1:7">
      <c r="A4164" s="3">
        <v>12</v>
      </c>
      <c r="B4164" s="3">
        <v>4</v>
      </c>
      <c r="C4164" s="3">
        <v>81</v>
      </c>
      <c r="D4164" s="3">
        <v>70</v>
      </c>
      <c r="E4164" s="3">
        <v>-6939.638</v>
      </c>
      <c r="F4164" s="4" t="str">
        <f>HYPERLINK("http://141.218.60.56/~jnz1568/getInfo.php?workbook=12_04.xlsx&amp;sheet=A0&amp;row=4164&amp;col=6&amp;number=2.49e-09&amp;sourceID=14","2.49e-09")</f>
        <v>2.49e-09</v>
      </c>
      <c r="G4164" s="4" t="str">
        <f>HYPERLINK("http://141.218.60.56/~jnz1568/getInfo.php?workbook=12_04.xlsx&amp;sheet=A0&amp;row=4164&amp;col=7&amp;number=0&amp;sourceID=14","0")</f>
        <v>0</v>
      </c>
    </row>
    <row r="4165" spans="1:7">
      <c r="A4165" s="3">
        <v>12</v>
      </c>
      <c r="B4165" s="3">
        <v>4</v>
      </c>
      <c r="C4165" s="3">
        <v>82</v>
      </c>
      <c r="D4165" s="3">
        <v>70</v>
      </c>
      <c r="E4165" s="3">
        <v>-6781.973</v>
      </c>
      <c r="F4165" s="4" t="str">
        <f>HYPERLINK("http://141.218.60.56/~jnz1568/getInfo.php?workbook=12_04.xlsx&amp;sheet=A0&amp;row=4165&amp;col=6&amp;number=0.163&amp;sourceID=14","0.163")</f>
        <v>0.163</v>
      </c>
      <c r="G4165" s="4" t="str">
        <f>HYPERLINK("http://141.218.60.56/~jnz1568/getInfo.php?workbook=12_04.xlsx&amp;sheet=A0&amp;row=4165&amp;col=7&amp;number=0&amp;sourceID=14","0")</f>
        <v>0</v>
      </c>
    </row>
    <row r="4166" spans="1:7">
      <c r="A4166" s="3">
        <v>12</v>
      </c>
      <c r="B4166" s="3">
        <v>4</v>
      </c>
      <c r="C4166" s="3">
        <v>84</v>
      </c>
      <c r="D4166" s="3">
        <v>70</v>
      </c>
      <c r="E4166" s="3">
        <v>-6633.511</v>
      </c>
      <c r="F4166" s="4" t="str">
        <f>HYPERLINK("http://141.218.60.56/~jnz1568/getInfo.php?workbook=12_04.xlsx&amp;sheet=A0&amp;row=4166&amp;col=6&amp;number=1.34e-16&amp;sourceID=14","1.34e-16")</f>
        <v>1.34e-16</v>
      </c>
      <c r="G4166" s="4" t="str">
        <f>HYPERLINK("http://141.218.60.56/~jnz1568/getInfo.php?workbook=12_04.xlsx&amp;sheet=A0&amp;row=4166&amp;col=7&amp;number=0&amp;sourceID=14","0")</f>
        <v>0</v>
      </c>
    </row>
    <row r="4167" spans="1:7">
      <c r="A4167" s="3">
        <v>12</v>
      </c>
      <c r="B4167" s="3">
        <v>4</v>
      </c>
      <c r="C4167" s="3">
        <v>85</v>
      </c>
      <c r="D4167" s="3">
        <v>70</v>
      </c>
      <c r="E4167" s="3">
        <v>-6041.212</v>
      </c>
      <c r="F4167" s="4" t="str">
        <f>HYPERLINK("http://141.218.60.56/~jnz1568/getInfo.php?workbook=12_04.xlsx&amp;sheet=A0&amp;row=4167&amp;col=6&amp;number=6.13e-07&amp;sourceID=14","6.13e-07")</f>
        <v>6.13e-07</v>
      </c>
      <c r="G4167" s="4" t="str">
        <f>HYPERLINK("http://141.218.60.56/~jnz1568/getInfo.php?workbook=12_04.xlsx&amp;sheet=A0&amp;row=4167&amp;col=7&amp;number=0&amp;sourceID=14","0")</f>
        <v>0</v>
      </c>
    </row>
    <row r="4168" spans="1:7">
      <c r="A4168" s="3">
        <v>12</v>
      </c>
      <c r="B4168" s="3">
        <v>4</v>
      </c>
      <c r="C4168" s="3">
        <v>86</v>
      </c>
      <c r="D4168" s="3">
        <v>70</v>
      </c>
      <c r="E4168" s="3">
        <v>-5823.105</v>
      </c>
      <c r="F4168" s="4" t="str">
        <f>HYPERLINK("http://141.218.60.56/~jnz1568/getInfo.php?workbook=12_04.xlsx&amp;sheet=A0&amp;row=4168&amp;col=6&amp;number=423000&amp;sourceID=14","423000")</f>
        <v>423000</v>
      </c>
      <c r="G4168" s="4" t="str">
        <f>HYPERLINK("http://141.218.60.56/~jnz1568/getInfo.php?workbook=12_04.xlsx&amp;sheet=A0&amp;row=4168&amp;col=7&amp;number=0&amp;sourceID=14","0")</f>
        <v>0</v>
      </c>
    </row>
    <row r="4169" spans="1:7">
      <c r="A4169" s="3">
        <v>12</v>
      </c>
      <c r="B4169" s="3">
        <v>4</v>
      </c>
      <c r="C4169" s="3">
        <v>89</v>
      </c>
      <c r="D4169" s="3">
        <v>70</v>
      </c>
      <c r="E4169" s="3">
        <v>-5333.059</v>
      </c>
      <c r="F4169" s="4" t="str">
        <f>HYPERLINK("http://141.218.60.56/~jnz1568/getInfo.php?workbook=12_04.xlsx&amp;sheet=A0&amp;row=4169&amp;col=6&amp;number=1.52e-16&amp;sourceID=14","1.52e-16")</f>
        <v>1.52e-16</v>
      </c>
      <c r="G4169" s="4" t="str">
        <f>HYPERLINK("http://141.218.60.56/~jnz1568/getInfo.php?workbook=12_04.xlsx&amp;sheet=A0&amp;row=4169&amp;col=7&amp;number=0&amp;sourceID=14","0")</f>
        <v>0</v>
      </c>
    </row>
    <row r="4170" spans="1:7">
      <c r="A4170" s="3">
        <v>12</v>
      </c>
      <c r="B4170" s="3">
        <v>4</v>
      </c>
      <c r="C4170" s="3">
        <v>92</v>
      </c>
      <c r="D4170" s="3">
        <v>70</v>
      </c>
      <c r="E4170" s="3">
        <v>-4623.003</v>
      </c>
      <c r="F4170" s="4" t="str">
        <f>HYPERLINK("http://141.218.60.56/~jnz1568/getInfo.php?workbook=12_04.xlsx&amp;sheet=A0&amp;row=4170&amp;col=6&amp;number=3.44e-16&amp;sourceID=14","3.44e-16")</f>
        <v>3.44e-16</v>
      </c>
      <c r="G4170" s="4" t="str">
        <f>HYPERLINK("http://141.218.60.56/~jnz1568/getInfo.php?workbook=12_04.xlsx&amp;sheet=A0&amp;row=4170&amp;col=7&amp;number=0&amp;sourceID=14","0")</f>
        <v>0</v>
      </c>
    </row>
    <row r="4171" spans="1:7">
      <c r="A4171" s="3">
        <v>12</v>
      </c>
      <c r="B4171" s="3">
        <v>4</v>
      </c>
      <c r="C4171" s="3">
        <v>93</v>
      </c>
      <c r="D4171" s="3">
        <v>70</v>
      </c>
      <c r="E4171" s="3">
        <v>-4567.47</v>
      </c>
      <c r="F4171" s="4" t="str">
        <f>HYPERLINK("http://141.218.60.56/~jnz1568/getInfo.php?workbook=12_04.xlsx&amp;sheet=A0&amp;row=4171&amp;col=6&amp;number=0.175&amp;sourceID=14","0.175")</f>
        <v>0.175</v>
      </c>
      <c r="G4171" s="4" t="str">
        <f>HYPERLINK("http://141.218.60.56/~jnz1568/getInfo.php?workbook=12_04.xlsx&amp;sheet=A0&amp;row=4171&amp;col=7&amp;number=0&amp;sourceID=14","0")</f>
        <v>0</v>
      </c>
    </row>
    <row r="4172" spans="1:7">
      <c r="A4172" s="3">
        <v>12</v>
      </c>
      <c r="B4172" s="3">
        <v>4</v>
      </c>
      <c r="C4172" s="3">
        <v>94</v>
      </c>
      <c r="D4172" s="3">
        <v>70</v>
      </c>
      <c r="E4172" s="3">
        <v>-4374.27</v>
      </c>
      <c r="F4172" s="4" t="str">
        <f>HYPERLINK("http://141.218.60.56/~jnz1568/getInfo.php?workbook=12_04.xlsx&amp;sheet=A0&amp;row=4172&amp;col=6&amp;number=8.28e-05&amp;sourceID=14","8.28e-05")</f>
        <v>8.28e-05</v>
      </c>
      <c r="G4172" s="4" t="str">
        <f>HYPERLINK("http://141.218.60.56/~jnz1568/getInfo.php?workbook=12_04.xlsx&amp;sheet=A0&amp;row=4172&amp;col=7&amp;number=0&amp;sourceID=14","0")</f>
        <v>0</v>
      </c>
    </row>
    <row r="4173" spans="1:7">
      <c r="A4173" s="3">
        <v>12</v>
      </c>
      <c r="B4173" s="3">
        <v>4</v>
      </c>
      <c r="C4173" s="3">
        <v>96</v>
      </c>
      <c r="D4173" s="3">
        <v>70</v>
      </c>
      <c r="E4173" s="3">
        <v>-4152.487</v>
      </c>
      <c r="F4173" s="4" t="str">
        <f>HYPERLINK("http://141.218.60.56/~jnz1568/getInfo.php?workbook=12_04.xlsx&amp;sheet=A0&amp;row=4173&amp;col=6&amp;number=0.145&amp;sourceID=14","0.145")</f>
        <v>0.145</v>
      </c>
      <c r="G4173" s="4" t="str">
        <f>HYPERLINK("http://141.218.60.56/~jnz1568/getInfo.php?workbook=12_04.xlsx&amp;sheet=A0&amp;row=4173&amp;col=7&amp;number=0&amp;sourceID=14","0")</f>
        <v>0</v>
      </c>
    </row>
    <row r="4174" spans="1:7">
      <c r="A4174" s="3">
        <v>12</v>
      </c>
      <c r="B4174" s="3">
        <v>4</v>
      </c>
      <c r="C4174" s="3">
        <v>97</v>
      </c>
      <c r="D4174" s="3">
        <v>70</v>
      </c>
      <c r="E4174" s="3">
        <v>-3762.376</v>
      </c>
      <c r="F4174" s="4" t="str">
        <f>HYPERLINK("http://141.218.60.56/~jnz1568/getInfo.php?workbook=12_04.xlsx&amp;sheet=A0&amp;row=4174&amp;col=6&amp;number=1.17e-10&amp;sourceID=14","1.17e-10")</f>
        <v>1.17e-10</v>
      </c>
      <c r="G4174" s="4" t="str">
        <f>HYPERLINK("http://141.218.60.56/~jnz1568/getInfo.php?workbook=12_04.xlsx&amp;sheet=A0&amp;row=4174&amp;col=7&amp;number=0&amp;sourceID=14","0")</f>
        <v>0</v>
      </c>
    </row>
    <row r="4175" spans="1:7">
      <c r="A4175" s="3">
        <v>12</v>
      </c>
      <c r="B4175" s="3">
        <v>4</v>
      </c>
      <c r="C4175" s="3">
        <v>98</v>
      </c>
      <c r="D4175" s="3">
        <v>70</v>
      </c>
      <c r="E4175" s="3">
        <v>-3600.367</v>
      </c>
      <c r="F4175" s="4" t="str">
        <f>HYPERLINK("http://141.218.60.56/~jnz1568/getInfo.php?workbook=12_04.xlsx&amp;sheet=A0&amp;row=4175&amp;col=6&amp;number=66200&amp;sourceID=14","66200")</f>
        <v>66200</v>
      </c>
      <c r="G4175" s="4" t="str">
        <f>HYPERLINK("http://141.218.60.56/~jnz1568/getInfo.php?workbook=12_04.xlsx&amp;sheet=A0&amp;row=4175&amp;col=7&amp;number=0&amp;sourceID=14","0")</f>
        <v>0</v>
      </c>
    </row>
    <row r="4176" spans="1:7">
      <c r="A4176" s="3">
        <v>12</v>
      </c>
      <c r="B4176" s="3">
        <v>4</v>
      </c>
      <c r="C4176" s="3">
        <v>72</v>
      </c>
      <c r="D4176" s="3">
        <v>71</v>
      </c>
      <c r="E4176" s="3">
        <v>-214133.156</v>
      </c>
      <c r="F4176" s="4" t="str">
        <f>HYPERLINK("http://141.218.60.56/~jnz1568/getInfo.php?workbook=12_04.xlsx&amp;sheet=A0&amp;row=4176&amp;col=6&amp;number=0.00234&amp;sourceID=14","0.00234")</f>
        <v>0.00234</v>
      </c>
      <c r="G4176" s="4" t="str">
        <f>HYPERLINK("http://141.218.60.56/~jnz1568/getInfo.php?workbook=12_04.xlsx&amp;sheet=A0&amp;row=4176&amp;col=7&amp;number=0&amp;sourceID=14","0")</f>
        <v>0</v>
      </c>
    </row>
    <row r="4177" spans="1:7">
      <c r="A4177" s="3">
        <v>12</v>
      </c>
      <c r="B4177" s="3">
        <v>4</v>
      </c>
      <c r="C4177" s="3">
        <v>73</v>
      </c>
      <c r="D4177" s="3">
        <v>71</v>
      </c>
      <c r="E4177" s="3">
        <v>-28547.012</v>
      </c>
      <c r="F4177" s="4" t="str">
        <f>HYPERLINK("http://141.218.60.56/~jnz1568/getInfo.php?workbook=12_04.xlsx&amp;sheet=A0&amp;row=4177&amp;col=6&amp;number=0.853&amp;sourceID=14","0.853")</f>
        <v>0.853</v>
      </c>
      <c r="G4177" s="4" t="str">
        <f>HYPERLINK("http://141.218.60.56/~jnz1568/getInfo.php?workbook=12_04.xlsx&amp;sheet=A0&amp;row=4177&amp;col=7&amp;number=0&amp;sourceID=14","0")</f>
        <v>0</v>
      </c>
    </row>
    <row r="4178" spans="1:7">
      <c r="A4178" s="3">
        <v>12</v>
      </c>
      <c r="B4178" s="3">
        <v>4</v>
      </c>
      <c r="C4178" s="3">
        <v>74</v>
      </c>
      <c r="D4178" s="3">
        <v>71</v>
      </c>
      <c r="E4178" s="3">
        <v>-18474.078</v>
      </c>
      <c r="F4178" s="4" t="str">
        <f>HYPERLINK("http://141.218.60.56/~jnz1568/getInfo.php?workbook=12_04.xlsx&amp;sheet=A0&amp;row=4178&amp;col=6&amp;number=4.5e-09&amp;sourceID=14","4.5e-09")</f>
        <v>4.5e-09</v>
      </c>
      <c r="G4178" s="4" t="str">
        <f>HYPERLINK("http://141.218.60.56/~jnz1568/getInfo.php?workbook=12_04.xlsx&amp;sheet=A0&amp;row=4178&amp;col=7&amp;number=0&amp;sourceID=14","0")</f>
        <v>0</v>
      </c>
    </row>
    <row r="4179" spans="1:7">
      <c r="A4179" s="3">
        <v>12</v>
      </c>
      <c r="B4179" s="3">
        <v>4</v>
      </c>
      <c r="C4179" s="3">
        <v>75</v>
      </c>
      <c r="D4179" s="3">
        <v>71</v>
      </c>
      <c r="E4179" s="3">
        <v>-16625.135</v>
      </c>
      <c r="F4179" s="4" t="str">
        <f>HYPERLINK("http://141.218.60.56/~jnz1568/getInfo.php?workbook=12_04.xlsx&amp;sheet=A0&amp;row=4179&amp;col=6&amp;number=2040&amp;sourceID=14","2040")</f>
        <v>2040</v>
      </c>
      <c r="G4179" s="4" t="str">
        <f>HYPERLINK("http://141.218.60.56/~jnz1568/getInfo.php?workbook=12_04.xlsx&amp;sheet=A0&amp;row=4179&amp;col=7&amp;number=0&amp;sourceID=14","0")</f>
        <v>0</v>
      </c>
    </row>
    <row r="4180" spans="1:7">
      <c r="A4180" s="3">
        <v>12</v>
      </c>
      <c r="B4180" s="3">
        <v>4</v>
      </c>
      <c r="C4180" s="3">
        <v>76</v>
      </c>
      <c r="D4180" s="3">
        <v>71</v>
      </c>
      <c r="E4180" s="3">
        <v>-14102.409</v>
      </c>
      <c r="F4180" s="4" t="str">
        <f>HYPERLINK("http://141.218.60.56/~jnz1568/getInfo.php?workbook=12_04.xlsx&amp;sheet=A0&amp;row=4180&amp;col=6&amp;number=0.0389&amp;sourceID=14","0.0389")</f>
        <v>0.0389</v>
      </c>
      <c r="G4180" s="4" t="str">
        <f>HYPERLINK("http://141.218.60.56/~jnz1568/getInfo.php?workbook=12_04.xlsx&amp;sheet=A0&amp;row=4180&amp;col=7&amp;number=0&amp;sourceID=14","0")</f>
        <v>0</v>
      </c>
    </row>
    <row r="4181" spans="1:7">
      <c r="A4181" s="3">
        <v>12</v>
      </c>
      <c r="B4181" s="3">
        <v>4</v>
      </c>
      <c r="C4181" s="3">
        <v>77</v>
      </c>
      <c r="D4181" s="3">
        <v>71</v>
      </c>
      <c r="E4181" s="3">
        <v>-13178.728</v>
      </c>
      <c r="F4181" s="4" t="str">
        <f>HYPERLINK("http://141.218.60.56/~jnz1568/getInfo.php?workbook=12_04.xlsx&amp;sheet=A0&amp;row=4181&amp;col=6&amp;number=1.7e-10&amp;sourceID=14","1.7e-10")</f>
        <v>1.7e-10</v>
      </c>
      <c r="G4181" s="4" t="str">
        <f>HYPERLINK("http://141.218.60.56/~jnz1568/getInfo.php?workbook=12_04.xlsx&amp;sheet=A0&amp;row=4181&amp;col=7&amp;number=0&amp;sourceID=14","0")</f>
        <v>0</v>
      </c>
    </row>
    <row r="4182" spans="1:7">
      <c r="A4182" s="3">
        <v>12</v>
      </c>
      <c r="B4182" s="3">
        <v>4</v>
      </c>
      <c r="C4182" s="3">
        <v>78</v>
      </c>
      <c r="D4182" s="3">
        <v>71</v>
      </c>
      <c r="E4182" s="3">
        <v>-9441.105</v>
      </c>
      <c r="F4182" s="4" t="str">
        <f>HYPERLINK("http://141.218.60.56/~jnz1568/getInfo.php?workbook=12_04.xlsx&amp;sheet=A0&amp;row=4182&amp;col=6&amp;number=410000&amp;sourceID=14","410000")</f>
        <v>410000</v>
      </c>
      <c r="G4182" s="4" t="str">
        <f>HYPERLINK("http://141.218.60.56/~jnz1568/getInfo.php?workbook=12_04.xlsx&amp;sheet=A0&amp;row=4182&amp;col=7&amp;number=0&amp;sourceID=14","0")</f>
        <v>0</v>
      </c>
    </row>
    <row r="4183" spans="1:7">
      <c r="A4183" s="3">
        <v>12</v>
      </c>
      <c r="B4183" s="3">
        <v>4</v>
      </c>
      <c r="C4183" s="3">
        <v>79</v>
      </c>
      <c r="D4183" s="3">
        <v>71</v>
      </c>
      <c r="E4183" s="3">
        <v>-8919.827</v>
      </c>
      <c r="F4183" s="4" t="str">
        <f>HYPERLINK("http://141.218.60.56/~jnz1568/getInfo.php?workbook=12_04.xlsx&amp;sheet=A0&amp;row=4183&amp;col=6&amp;number=1190000&amp;sourceID=14","1190000")</f>
        <v>1190000</v>
      </c>
      <c r="G4183" s="4" t="str">
        <f>HYPERLINK("http://141.218.60.56/~jnz1568/getInfo.php?workbook=12_04.xlsx&amp;sheet=A0&amp;row=4183&amp;col=7&amp;number=0&amp;sourceID=14","0")</f>
        <v>0</v>
      </c>
    </row>
    <row r="4184" spans="1:7">
      <c r="A4184" s="3">
        <v>12</v>
      </c>
      <c r="B4184" s="3">
        <v>4</v>
      </c>
      <c r="C4184" s="3">
        <v>80</v>
      </c>
      <c r="D4184" s="3">
        <v>71</v>
      </c>
      <c r="E4184" s="3">
        <v>-8030.853</v>
      </c>
      <c r="F4184" s="4" t="str">
        <f>HYPERLINK("http://141.218.60.56/~jnz1568/getInfo.php?workbook=12_04.xlsx&amp;sheet=A0&amp;row=4184&amp;col=6&amp;number=0.00306&amp;sourceID=14","0.00306")</f>
        <v>0.00306</v>
      </c>
      <c r="G4184" s="4" t="str">
        <f>HYPERLINK("http://141.218.60.56/~jnz1568/getInfo.php?workbook=12_04.xlsx&amp;sheet=A0&amp;row=4184&amp;col=7&amp;number=0&amp;sourceID=14","0")</f>
        <v>0</v>
      </c>
    </row>
    <row r="4185" spans="1:7">
      <c r="A4185" s="3">
        <v>12</v>
      </c>
      <c r="B4185" s="3">
        <v>4</v>
      </c>
      <c r="C4185" s="3">
        <v>81</v>
      </c>
      <c r="D4185" s="3">
        <v>71</v>
      </c>
      <c r="E4185" s="3">
        <v>-8013.477</v>
      </c>
      <c r="F4185" s="4" t="str">
        <f>HYPERLINK("http://141.218.60.56/~jnz1568/getInfo.php?workbook=12_04.xlsx&amp;sheet=A0&amp;row=4185&amp;col=6&amp;number=4.37e-06&amp;sourceID=14","4.37e-06")</f>
        <v>4.37e-06</v>
      </c>
      <c r="G4185" s="4" t="str">
        <f>HYPERLINK("http://141.218.60.56/~jnz1568/getInfo.php?workbook=12_04.xlsx&amp;sheet=A0&amp;row=4185&amp;col=7&amp;number=0&amp;sourceID=14","0")</f>
        <v>0</v>
      </c>
    </row>
    <row r="4186" spans="1:7">
      <c r="A4186" s="3">
        <v>12</v>
      </c>
      <c r="B4186" s="3">
        <v>4</v>
      </c>
      <c r="C4186" s="3">
        <v>82</v>
      </c>
      <c r="D4186" s="3">
        <v>71</v>
      </c>
      <c r="E4186" s="3">
        <v>-7803.979</v>
      </c>
      <c r="F4186" s="4" t="str">
        <f>HYPERLINK("http://141.218.60.56/~jnz1568/getInfo.php?workbook=12_04.xlsx&amp;sheet=A0&amp;row=4186&amp;col=6&amp;number=0.0278&amp;sourceID=14","0.0278")</f>
        <v>0.0278</v>
      </c>
      <c r="G4186" s="4" t="str">
        <f>HYPERLINK("http://141.218.60.56/~jnz1568/getInfo.php?workbook=12_04.xlsx&amp;sheet=A0&amp;row=4186&amp;col=7&amp;number=0&amp;sourceID=14","0")</f>
        <v>0</v>
      </c>
    </row>
    <row r="4187" spans="1:7">
      <c r="A4187" s="3">
        <v>12</v>
      </c>
      <c r="B4187" s="3">
        <v>4</v>
      </c>
      <c r="C4187" s="3">
        <v>83</v>
      </c>
      <c r="D4187" s="3">
        <v>71</v>
      </c>
      <c r="E4187" s="3">
        <v>-7800.935</v>
      </c>
      <c r="F4187" s="4" t="str">
        <f>HYPERLINK("http://141.218.60.56/~jnz1568/getInfo.php?workbook=12_04.xlsx&amp;sheet=A0&amp;row=4187&amp;col=6&amp;number=0.0363&amp;sourceID=14","0.0363")</f>
        <v>0.0363</v>
      </c>
      <c r="G4187" s="4" t="str">
        <f>HYPERLINK("http://141.218.60.56/~jnz1568/getInfo.php?workbook=12_04.xlsx&amp;sheet=A0&amp;row=4187&amp;col=7&amp;number=0&amp;sourceID=14","0")</f>
        <v>0</v>
      </c>
    </row>
    <row r="4188" spans="1:7">
      <c r="A4188" s="3">
        <v>12</v>
      </c>
      <c r="B4188" s="3">
        <v>4</v>
      </c>
      <c r="C4188" s="3">
        <v>84</v>
      </c>
      <c r="D4188" s="3">
        <v>71</v>
      </c>
      <c r="E4188" s="3">
        <v>-7608.048</v>
      </c>
      <c r="F4188" s="4" t="str">
        <f>HYPERLINK("http://141.218.60.56/~jnz1568/getInfo.php?workbook=12_04.xlsx&amp;sheet=A0&amp;row=4188&amp;col=6&amp;number=3.85e-14&amp;sourceID=14","3.85e-14")</f>
        <v>3.85e-14</v>
      </c>
      <c r="G4188" s="4" t="str">
        <f>HYPERLINK("http://141.218.60.56/~jnz1568/getInfo.php?workbook=12_04.xlsx&amp;sheet=A0&amp;row=4188&amp;col=7&amp;number=0&amp;sourceID=14","0")</f>
        <v>0</v>
      </c>
    </row>
    <row r="4189" spans="1:7">
      <c r="A4189" s="3">
        <v>12</v>
      </c>
      <c r="B4189" s="3">
        <v>4</v>
      </c>
      <c r="C4189" s="3">
        <v>85</v>
      </c>
      <c r="D4189" s="3">
        <v>71</v>
      </c>
      <c r="E4189" s="3">
        <v>-6839.023</v>
      </c>
      <c r="F4189" s="4" t="str">
        <f>HYPERLINK("http://141.218.60.56/~jnz1568/getInfo.php?workbook=12_04.xlsx&amp;sheet=A0&amp;row=4189&amp;col=6&amp;number=3020000&amp;sourceID=14","3020000")</f>
        <v>3020000</v>
      </c>
      <c r="G4189" s="4" t="str">
        <f>HYPERLINK("http://141.218.60.56/~jnz1568/getInfo.php?workbook=12_04.xlsx&amp;sheet=A0&amp;row=4189&amp;col=7&amp;number=0&amp;sourceID=14","0")</f>
        <v>0</v>
      </c>
    </row>
    <row r="4190" spans="1:7">
      <c r="A4190" s="3">
        <v>12</v>
      </c>
      <c r="B4190" s="3">
        <v>4</v>
      </c>
      <c r="C4190" s="3">
        <v>86</v>
      </c>
      <c r="D4190" s="3">
        <v>71</v>
      </c>
      <c r="E4190" s="3">
        <v>-6560.831</v>
      </c>
      <c r="F4190" s="4" t="str">
        <f>HYPERLINK("http://141.218.60.56/~jnz1568/getInfo.php?workbook=12_04.xlsx&amp;sheet=A0&amp;row=4190&amp;col=6&amp;number=9460000&amp;sourceID=14","9460000")</f>
        <v>9460000</v>
      </c>
      <c r="G4190" s="4" t="str">
        <f>HYPERLINK("http://141.218.60.56/~jnz1568/getInfo.php?workbook=12_04.xlsx&amp;sheet=A0&amp;row=4190&amp;col=7&amp;number=0&amp;sourceID=14","0")</f>
        <v>0</v>
      </c>
    </row>
    <row r="4191" spans="1:7">
      <c r="A4191" s="3">
        <v>12</v>
      </c>
      <c r="B4191" s="3">
        <v>4</v>
      </c>
      <c r="C4191" s="3">
        <v>87</v>
      </c>
      <c r="D4191" s="3">
        <v>71</v>
      </c>
      <c r="E4191" s="3">
        <v>-6420.97</v>
      </c>
      <c r="F4191" s="4" t="str">
        <f>HYPERLINK("http://141.218.60.56/~jnz1568/getInfo.php?workbook=12_04.xlsx&amp;sheet=A0&amp;row=4191&amp;col=6&amp;number=14600000&amp;sourceID=14","14600000")</f>
        <v>14600000</v>
      </c>
      <c r="G4191" s="4" t="str">
        <f>HYPERLINK("http://141.218.60.56/~jnz1568/getInfo.php?workbook=12_04.xlsx&amp;sheet=A0&amp;row=4191&amp;col=7&amp;number=0&amp;sourceID=14","0")</f>
        <v>0</v>
      </c>
    </row>
    <row r="4192" spans="1:7">
      <c r="A4192" s="3">
        <v>12</v>
      </c>
      <c r="B4192" s="3">
        <v>4</v>
      </c>
      <c r="C4192" s="3">
        <v>88</v>
      </c>
      <c r="D4192" s="3">
        <v>71</v>
      </c>
      <c r="E4192" s="3">
        <v>-6113.602</v>
      </c>
      <c r="F4192" s="4" t="str">
        <f>HYPERLINK("http://141.218.60.56/~jnz1568/getInfo.php?workbook=12_04.xlsx&amp;sheet=A0&amp;row=4192&amp;col=6&amp;number=0.0486&amp;sourceID=14","0.0486")</f>
        <v>0.0486</v>
      </c>
      <c r="G4192" s="4" t="str">
        <f>HYPERLINK("http://141.218.60.56/~jnz1568/getInfo.php?workbook=12_04.xlsx&amp;sheet=A0&amp;row=4192&amp;col=7&amp;number=0&amp;sourceID=14","0")</f>
        <v>0</v>
      </c>
    </row>
    <row r="4193" spans="1:7">
      <c r="A4193" s="3">
        <v>12</v>
      </c>
      <c r="B4193" s="3">
        <v>4</v>
      </c>
      <c r="C4193" s="3">
        <v>89</v>
      </c>
      <c r="D4193" s="3">
        <v>71</v>
      </c>
      <c r="E4193" s="3">
        <v>-5945.314</v>
      </c>
      <c r="F4193" s="4" t="str">
        <f>HYPERLINK("http://141.218.60.56/~jnz1568/getInfo.php?workbook=12_04.xlsx&amp;sheet=A0&amp;row=4193&amp;col=6&amp;number=3.42e-13&amp;sourceID=14","3.42e-13")</f>
        <v>3.42e-13</v>
      </c>
      <c r="G4193" s="4" t="str">
        <f>HYPERLINK("http://141.218.60.56/~jnz1568/getInfo.php?workbook=12_04.xlsx&amp;sheet=A0&amp;row=4193&amp;col=7&amp;number=0&amp;sourceID=14","0")</f>
        <v>0</v>
      </c>
    </row>
    <row r="4194" spans="1:7">
      <c r="A4194" s="3">
        <v>12</v>
      </c>
      <c r="B4194" s="3">
        <v>4</v>
      </c>
      <c r="C4194" s="3">
        <v>90</v>
      </c>
      <c r="D4194" s="3">
        <v>71</v>
      </c>
      <c r="E4194" s="3">
        <v>-5496.328</v>
      </c>
      <c r="F4194" s="4" t="str">
        <f>HYPERLINK("http://141.218.60.56/~jnz1568/getInfo.php?workbook=12_04.xlsx&amp;sheet=A0&amp;row=4194&amp;col=6&amp;number=1.54e-15&amp;sourceID=14","1.54e-15")</f>
        <v>1.54e-15</v>
      </c>
      <c r="G4194" s="4" t="str">
        <f>HYPERLINK("http://141.218.60.56/~jnz1568/getInfo.php?workbook=12_04.xlsx&amp;sheet=A0&amp;row=4194&amp;col=7&amp;number=0&amp;sourceID=14","0")</f>
        <v>0</v>
      </c>
    </row>
    <row r="4195" spans="1:7">
      <c r="A4195" s="3">
        <v>12</v>
      </c>
      <c r="B4195" s="3">
        <v>4</v>
      </c>
      <c r="C4195" s="3">
        <v>91</v>
      </c>
      <c r="D4195" s="3">
        <v>71</v>
      </c>
      <c r="E4195" s="3">
        <v>-5151.197</v>
      </c>
      <c r="F4195" s="4" t="str">
        <f>HYPERLINK("http://141.218.60.56/~jnz1568/getInfo.php?workbook=12_04.xlsx&amp;sheet=A0&amp;row=4195&amp;col=6&amp;number=0.0461&amp;sourceID=14","0.0461")</f>
        <v>0.0461</v>
      </c>
      <c r="G4195" s="4" t="str">
        <f>HYPERLINK("http://141.218.60.56/~jnz1568/getInfo.php?workbook=12_04.xlsx&amp;sheet=A0&amp;row=4195&amp;col=7&amp;number=0&amp;sourceID=14","0")</f>
        <v>0</v>
      </c>
    </row>
    <row r="4196" spans="1:7">
      <c r="A4196" s="3">
        <v>12</v>
      </c>
      <c r="B4196" s="3">
        <v>4</v>
      </c>
      <c r="C4196" s="3">
        <v>92</v>
      </c>
      <c r="D4196" s="3">
        <v>71</v>
      </c>
      <c r="E4196" s="3">
        <v>-5076.151</v>
      </c>
      <c r="F4196" s="4" t="str">
        <f>HYPERLINK("http://141.218.60.56/~jnz1568/getInfo.php?workbook=12_04.xlsx&amp;sheet=A0&amp;row=4196&amp;col=6&amp;number=3.64e-14&amp;sourceID=14","3.64e-14")</f>
        <v>3.64e-14</v>
      </c>
      <c r="G4196" s="4" t="str">
        <f>HYPERLINK("http://141.218.60.56/~jnz1568/getInfo.php?workbook=12_04.xlsx&amp;sheet=A0&amp;row=4196&amp;col=7&amp;number=0&amp;sourceID=14","0")</f>
        <v>0</v>
      </c>
    </row>
    <row r="4197" spans="1:7">
      <c r="A4197" s="3">
        <v>12</v>
      </c>
      <c r="B4197" s="3">
        <v>4</v>
      </c>
      <c r="C4197" s="3">
        <v>93</v>
      </c>
      <c r="D4197" s="3">
        <v>71</v>
      </c>
      <c r="E4197" s="3">
        <v>-5009.276</v>
      </c>
      <c r="F4197" s="4" t="str">
        <f>HYPERLINK("http://141.218.60.56/~jnz1568/getInfo.php?workbook=12_04.xlsx&amp;sheet=A0&amp;row=4197&amp;col=6&amp;number=0.698&amp;sourceID=14","0.698")</f>
        <v>0.698</v>
      </c>
      <c r="G4197" s="4" t="str">
        <f>HYPERLINK("http://141.218.60.56/~jnz1568/getInfo.php?workbook=12_04.xlsx&amp;sheet=A0&amp;row=4197&amp;col=7&amp;number=0&amp;sourceID=14","0")</f>
        <v>0</v>
      </c>
    </row>
    <row r="4198" spans="1:7">
      <c r="A4198" s="3">
        <v>12</v>
      </c>
      <c r="B4198" s="3">
        <v>4</v>
      </c>
      <c r="C4198" s="3">
        <v>94</v>
      </c>
      <c r="D4198" s="3">
        <v>71</v>
      </c>
      <c r="E4198" s="3">
        <v>-4777.84</v>
      </c>
      <c r="F4198" s="4" t="str">
        <f>HYPERLINK("http://141.218.60.56/~jnz1568/getInfo.php?workbook=12_04.xlsx&amp;sheet=A0&amp;row=4198&amp;col=6&amp;number=1.92&amp;sourceID=14","1.92")</f>
        <v>1.92</v>
      </c>
      <c r="G4198" s="4" t="str">
        <f>HYPERLINK("http://141.218.60.56/~jnz1568/getInfo.php?workbook=12_04.xlsx&amp;sheet=A0&amp;row=4198&amp;col=7&amp;number=0&amp;sourceID=14","0")</f>
        <v>0</v>
      </c>
    </row>
    <row r="4199" spans="1:7">
      <c r="A4199" s="3">
        <v>12</v>
      </c>
      <c r="B4199" s="3">
        <v>4</v>
      </c>
      <c r="C4199" s="3">
        <v>95</v>
      </c>
      <c r="D4199" s="3">
        <v>71</v>
      </c>
      <c r="E4199" s="3">
        <v>-4637.367</v>
      </c>
      <c r="F4199" s="4" t="str">
        <f>HYPERLINK("http://141.218.60.56/~jnz1568/getInfo.php?workbook=12_04.xlsx&amp;sheet=A0&amp;row=4199&amp;col=6&amp;number=2.9&amp;sourceID=14","2.9")</f>
        <v>2.9</v>
      </c>
      <c r="G4199" s="4" t="str">
        <f>HYPERLINK("http://141.218.60.56/~jnz1568/getInfo.php?workbook=12_04.xlsx&amp;sheet=A0&amp;row=4199&amp;col=7&amp;number=0&amp;sourceID=14","0")</f>
        <v>0</v>
      </c>
    </row>
    <row r="4200" spans="1:7">
      <c r="A4200" s="3">
        <v>12</v>
      </c>
      <c r="B4200" s="3">
        <v>4</v>
      </c>
      <c r="C4200" s="3">
        <v>96</v>
      </c>
      <c r="D4200" s="3">
        <v>71</v>
      </c>
      <c r="E4200" s="3">
        <v>-4514.477</v>
      </c>
      <c r="F4200" s="4" t="str">
        <f>HYPERLINK("http://141.218.60.56/~jnz1568/getInfo.php?workbook=12_04.xlsx&amp;sheet=A0&amp;row=4200&amp;col=6&amp;number=0.0873&amp;sourceID=14","0.0873")</f>
        <v>0.0873</v>
      </c>
      <c r="G4200" s="4" t="str">
        <f>HYPERLINK("http://141.218.60.56/~jnz1568/getInfo.php?workbook=12_04.xlsx&amp;sheet=A0&amp;row=4200&amp;col=7&amp;number=0&amp;sourceID=14","0")</f>
        <v>0</v>
      </c>
    </row>
    <row r="4201" spans="1:7">
      <c r="A4201" s="3">
        <v>12</v>
      </c>
      <c r="B4201" s="3">
        <v>4</v>
      </c>
      <c r="C4201" s="3">
        <v>97</v>
      </c>
      <c r="D4201" s="3">
        <v>71</v>
      </c>
      <c r="E4201" s="3">
        <v>-4057.132</v>
      </c>
      <c r="F4201" s="4" t="str">
        <f>HYPERLINK("http://141.218.60.56/~jnz1568/getInfo.php?workbook=12_04.xlsx&amp;sheet=A0&amp;row=4201&amp;col=6&amp;number=1.08e-07&amp;sourceID=14","1.08e-07")</f>
        <v>1.08e-07</v>
      </c>
      <c r="G4201" s="4" t="str">
        <f>HYPERLINK("http://141.218.60.56/~jnz1568/getInfo.php?workbook=12_04.xlsx&amp;sheet=A0&amp;row=4201&amp;col=7&amp;number=0&amp;sourceID=14","0")</f>
        <v>0</v>
      </c>
    </row>
    <row r="4202" spans="1:7">
      <c r="A4202" s="3">
        <v>12</v>
      </c>
      <c r="B4202" s="3">
        <v>4</v>
      </c>
      <c r="C4202" s="3">
        <v>98</v>
      </c>
      <c r="D4202" s="3">
        <v>71</v>
      </c>
      <c r="E4202" s="3">
        <v>-3869.377</v>
      </c>
      <c r="F4202" s="4" t="str">
        <f>HYPERLINK("http://141.218.60.56/~jnz1568/getInfo.php?workbook=12_04.xlsx&amp;sheet=A0&amp;row=4202&amp;col=6&amp;number=2240&amp;sourceID=14","2240")</f>
        <v>2240</v>
      </c>
      <c r="G4202" s="4" t="str">
        <f>HYPERLINK("http://141.218.60.56/~jnz1568/getInfo.php?workbook=12_04.xlsx&amp;sheet=A0&amp;row=4202&amp;col=7&amp;number=0&amp;sourceID=14","0")</f>
        <v>0</v>
      </c>
    </row>
    <row r="4203" spans="1:7">
      <c r="A4203" s="3">
        <v>12</v>
      </c>
      <c r="B4203" s="3">
        <v>4</v>
      </c>
      <c r="C4203" s="3">
        <v>73</v>
      </c>
      <c r="D4203" s="3">
        <v>72</v>
      </c>
      <c r="E4203" s="3">
        <v>-32938.137</v>
      </c>
      <c r="F4203" s="4" t="str">
        <f>HYPERLINK("http://141.218.60.56/~jnz1568/getInfo.php?workbook=12_04.xlsx&amp;sheet=A0&amp;row=4203&amp;col=6&amp;number=124&amp;sourceID=14","124")</f>
        <v>124</v>
      </c>
      <c r="G4203" s="4" t="str">
        <f>HYPERLINK("http://141.218.60.56/~jnz1568/getInfo.php?workbook=12_04.xlsx&amp;sheet=A0&amp;row=4203&amp;col=7&amp;number=0&amp;sourceID=14","0")</f>
        <v>0</v>
      </c>
    </row>
    <row r="4204" spans="1:7">
      <c r="A4204" s="3">
        <v>12</v>
      </c>
      <c r="B4204" s="3">
        <v>4</v>
      </c>
      <c r="C4204" s="3">
        <v>74</v>
      </c>
      <c r="D4204" s="3">
        <v>72</v>
      </c>
      <c r="E4204" s="3">
        <v>-20218.394</v>
      </c>
      <c r="F4204" s="4" t="str">
        <f>HYPERLINK("http://141.218.60.56/~jnz1568/getInfo.php?workbook=12_04.xlsx&amp;sheet=A0&amp;row=4204&amp;col=6&amp;number=325&amp;sourceID=14","325")</f>
        <v>325</v>
      </c>
      <c r="G4204" s="4" t="str">
        <f>HYPERLINK("http://141.218.60.56/~jnz1568/getInfo.php?workbook=12_04.xlsx&amp;sheet=A0&amp;row=4204&amp;col=7&amp;number=0&amp;sourceID=14","0")</f>
        <v>0</v>
      </c>
    </row>
    <row r="4205" spans="1:7">
      <c r="A4205" s="3">
        <v>12</v>
      </c>
      <c r="B4205" s="3">
        <v>4</v>
      </c>
      <c r="C4205" s="3">
        <v>75</v>
      </c>
      <c r="D4205" s="3">
        <v>72</v>
      </c>
      <c r="E4205" s="3">
        <v>17064.877</v>
      </c>
      <c r="F4205" s="4" t="str">
        <f>HYPERLINK("http://141.218.60.56/~jnz1568/getInfo.php?workbook=12_04.xlsx&amp;sheet=A0&amp;row=4205&amp;col=6&amp;number=2060&amp;sourceID=14","2060")</f>
        <v>2060</v>
      </c>
      <c r="G4205" s="4" t="str">
        <f>HYPERLINK("http://141.218.60.56/~jnz1568/getInfo.php?workbook=12_04.xlsx&amp;sheet=A0&amp;row=4205&amp;col=7&amp;number=0&amp;sourceID=14","0")</f>
        <v>0</v>
      </c>
    </row>
    <row r="4206" spans="1:7">
      <c r="A4206" s="3">
        <v>12</v>
      </c>
      <c r="B4206" s="3">
        <v>4</v>
      </c>
      <c r="C4206" s="3">
        <v>76</v>
      </c>
      <c r="D4206" s="3">
        <v>72</v>
      </c>
      <c r="E4206" s="3">
        <v>17452.039</v>
      </c>
      <c r="F4206" s="4" t="str">
        <f>HYPERLINK("http://141.218.60.56/~jnz1568/getInfo.php?workbook=12_04.xlsx&amp;sheet=A0&amp;row=4206&amp;col=6&amp;number=0.133&amp;sourceID=14","0.133")</f>
        <v>0.133</v>
      </c>
      <c r="G4206" s="4" t="str">
        <f>HYPERLINK("http://141.218.60.56/~jnz1568/getInfo.php?workbook=12_04.xlsx&amp;sheet=A0&amp;row=4206&amp;col=7&amp;number=0&amp;sourceID=14","0")</f>
        <v>0</v>
      </c>
    </row>
    <row r="4207" spans="1:7">
      <c r="A4207" s="3">
        <v>12</v>
      </c>
      <c r="B4207" s="3">
        <v>4</v>
      </c>
      <c r="C4207" s="3">
        <v>77</v>
      </c>
      <c r="D4207" s="3">
        <v>72</v>
      </c>
      <c r="E4207" s="3">
        <v>-14042.997</v>
      </c>
      <c r="F4207" s="4" t="str">
        <f>HYPERLINK("http://141.218.60.56/~jnz1568/getInfo.php?workbook=12_04.xlsx&amp;sheet=A0&amp;row=4207&amp;col=6&amp;number=5.49e-08&amp;sourceID=14","5.49e-08")</f>
        <v>5.49e-08</v>
      </c>
      <c r="G4207" s="4" t="str">
        <f>HYPERLINK("http://141.218.60.56/~jnz1568/getInfo.php?workbook=12_04.xlsx&amp;sheet=A0&amp;row=4207&amp;col=7&amp;number=0&amp;sourceID=14","0")</f>
        <v>0</v>
      </c>
    </row>
    <row r="4208" spans="1:7">
      <c r="A4208" s="3">
        <v>12</v>
      </c>
      <c r="B4208" s="3">
        <v>4</v>
      </c>
      <c r="C4208" s="3">
        <v>78</v>
      </c>
      <c r="D4208" s="3">
        <v>72</v>
      </c>
      <c r="E4208" s="3">
        <v>-9876.561</v>
      </c>
      <c r="F4208" s="4" t="str">
        <f>HYPERLINK("http://141.218.60.56/~jnz1568/getInfo.php?workbook=12_04.xlsx&amp;sheet=A0&amp;row=4208&amp;col=6&amp;number=13200&amp;sourceID=14","13200")</f>
        <v>13200</v>
      </c>
      <c r="G4208" s="4" t="str">
        <f>HYPERLINK("http://141.218.60.56/~jnz1568/getInfo.php?workbook=12_04.xlsx&amp;sheet=A0&amp;row=4208&amp;col=7&amp;number=0&amp;sourceID=14","0")</f>
        <v>0</v>
      </c>
    </row>
    <row r="4209" spans="1:7">
      <c r="A4209" s="3">
        <v>12</v>
      </c>
      <c r="B4209" s="3">
        <v>4</v>
      </c>
      <c r="C4209" s="3">
        <v>79</v>
      </c>
      <c r="D4209" s="3">
        <v>72</v>
      </c>
      <c r="E4209" s="3">
        <v>-9307.538</v>
      </c>
      <c r="F4209" s="4" t="str">
        <f>HYPERLINK("http://141.218.60.56/~jnz1568/getInfo.php?workbook=12_04.xlsx&amp;sheet=A0&amp;row=4209&amp;col=6&amp;number=345000&amp;sourceID=14","345000")</f>
        <v>345000</v>
      </c>
      <c r="G4209" s="4" t="str">
        <f>HYPERLINK("http://141.218.60.56/~jnz1568/getInfo.php?workbook=12_04.xlsx&amp;sheet=A0&amp;row=4209&amp;col=7&amp;number=0&amp;sourceID=14","0")</f>
        <v>0</v>
      </c>
    </row>
    <row r="4210" spans="1:7">
      <c r="A4210" s="3">
        <v>12</v>
      </c>
      <c r="B4210" s="3">
        <v>4</v>
      </c>
      <c r="C4210" s="3">
        <v>80</v>
      </c>
      <c r="D4210" s="3">
        <v>72</v>
      </c>
      <c r="E4210" s="3">
        <v>-8343.778</v>
      </c>
      <c r="F4210" s="4" t="str">
        <f>HYPERLINK("http://141.218.60.56/~jnz1568/getInfo.php?workbook=12_04.xlsx&amp;sheet=A0&amp;row=4210&amp;col=6&amp;number=0.000231&amp;sourceID=14","0.000231")</f>
        <v>0.000231</v>
      </c>
      <c r="G4210" s="4" t="str">
        <f>HYPERLINK("http://141.218.60.56/~jnz1568/getInfo.php?workbook=12_04.xlsx&amp;sheet=A0&amp;row=4210&amp;col=7&amp;number=0&amp;sourceID=14","0")</f>
        <v>0</v>
      </c>
    </row>
    <row r="4211" spans="1:7">
      <c r="A4211" s="3">
        <v>12</v>
      </c>
      <c r="B4211" s="3">
        <v>4</v>
      </c>
      <c r="C4211" s="3">
        <v>81</v>
      </c>
      <c r="D4211" s="3">
        <v>72</v>
      </c>
      <c r="E4211" s="3">
        <v>7751.952</v>
      </c>
      <c r="F4211" s="4" t="str">
        <f>HYPERLINK("http://141.218.60.56/~jnz1568/getInfo.php?workbook=12_04.xlsx&amp;sheet=A0&amp;row=4211&amp;col=6&amp;number=6580000&amp;sourceID=14","6580000")</f>
        <v>6580000</v>
      </c>
      <c r="G4211" s="4" t="str">
        <f>HYPERLINK("http://141.218.60.56/~jnz1568/getInfo.php?workbook=12_04.xlsx&amp;sheet=A0&amp;row=4211&amp;col=7&amp;number=0&amp;sourceID=14","0")</f>
        <v>0</v>
      </c>
    </row>
    <row r="4212" spans="1:7">
      <c r="A4212" s="3">
        <v>12</v>
      </c>
      <c r="B4212" s="3">
        <v>4</v>
      </c>
      <c r="C4212" s="3">
        <v>82</v>
      </c>
      <c r="D4212" s="3">
        <v>72</v>
      </c>
      <c r="E4212" s="3">
        <v>-8099.148</v>
      </c>
      <c r="F4212" s="4" t="str">
        <f>HYPERLINK("http://141.218.60.56/~jnz1568/getInfo.php?workbook=12_04.xlsx&amp;sheet=A0&amp;row=4212&amp;col=6&amp;number=0.00434&amp;sourceID=14","0.00434")</f>
        <v>0.00434</v>
      </c>
      <c r="G4212" s="4" t="str">
        <f>HYPERLINK("http://141.218.60.56/~jnz1568/getInfo.php?workbook=12_04.xlsx&amp;sheet=A0&amp;row=4212&amp;col=7&amp;number=0&amp;sourceID=14","0")</f>
        <v>0</v>
      </c>
    </row>
    <row r="4213" spans="1:7">
      <c r="A4213" s="3">
        <v>12</v>
      </c>
      <c r="B4213" s="3">
        <v>4</v>
      </c>
      <c r="C4213" s="3">
        <v>83</v>
      </c>
      <c r="D4213" s="3">
        <v>72</v>
      </c>
      <c r="E4213" s="3">
        <v>-8095.87</v>
      </c>
      <c r="F4213" s="4" t="str">
        <f>HYPERLINK("http://141.218.60.56/~jnz1568/getInfo.php?workbook=12_04.xlsx&amp;sheet=A0&amp;row=4213&amp;col=6&amp;number=0.0165&amp;sourceID=14","0.0165")</f>
        <v>0.0165</v>
      </c>
      <c r="G4213" s="4" t="str">
        <f>HYPERLINK("http://141.218.60.56/~jnz1568/getInfo.php?workbook=12_04.xlsx&amp;sheet=A0&amp;row=4213&amp;col=7&amp;number=0&amp;sourceID=14","0")</f>
        <v>0</v>
      </c>
    </row>
    <row r="4214" spans="1:7">
      <c r="A4214" s="3">
        <v>12</v>
      </c>
      <c r="B4214" s="3">
        <v>4</v>
      </c>
      <c r="C4214" s="3">
        <v>84</v>
      </c>
      <c r="D4214" s="3">
        <v>72</v>
      </c>
      <c r="E4214" s="3">
        <v>-7888.316</v>
      </c>
      <c r="F4214" s="4" t="str">
        <f>HYPERLINK("http://141.218.60.56/~jnz1568/getInfo.php?workbook=12_04.xlsx&amp;sheet=A0&amp;row=4214&amp;col=6&amp;number=0.0728&amp;sourceID=14","0.0728")</f>
        <v>0.0728</v>
      </c>
      <c r="G4214" s="4" t="str">
        <f>HYPERLINK("http://141.218.60.56/~jnz1568/getInfo.php?workbook=12_04.xlsx&amp;sheet=A0&amp;row=4214&amp;col=7&amp;number=0&amp;sourceID=14","0")</f>
        <v>0</v>
      </c>
    </row>
    <row r="4215" spans="1:7">
      <c r="A4215" s="3">
        <v>12</v>
      </c>
      <c r="B4215" s="3">
        <v>4</v>
      </c>
      <c r="C4215" s="3">
        <v>85</v>
      </c>
      <c r="D4215" s="3">
        <v>72</v>
      </c>
      <c r="E4215" s="3">
        <v>7092.211</v>
      </c>
      <c r="F4215" s="4" t="str">
        <f>HYPERLINK("http://141.218.60.56/~jnz1568/getInfo.php?workbook=12_04.xlsx&amp;sheet=A0&amp;row=4215&amp;col=6&amp;number=4610000&amp;sourceID=14","4610000")</f>
        <v>4610000</v>
      </c>
      <c r="G4215" s="4" t="str">
        <f>HYPERLINK("http://141.218.60.56/~jnz1568/getInfo.php?workbook=12_04.xlsx&amp;sheet=A0&amp;row=4215&amp;col=7&amp;number=0&amp;sourceID=14","0")</f>
        <v>0</v>
      </c>
    </row>
    <row r="4216" spans="1:7">
      <c r="A4216" s="3">
        <v>12</v>
      </c>
      <c r="B4216" s="3">
        <v>4</v>
      </c>
      <c r="C4216" s="3">
        <v>86</v>
      </c>
      <c r="D4216" s="3">
        <v>72</v>
      </c>
      <c r="E4216" s="3">
        <v>6839.958</v>
      </c>
      <c r="F4216" s="4" t="str">
        <f>HYPERLINK("http://141.218.60.56/~jnz1568/getInfo.php?workbook=12_04.xlsx&amp;sheet=A0&amp;row=4216&amp;col=6&amp;number=2580000&amp;sourceID=14","2580000")</f>
        <v>2580000</v>
      </c>
      <c r="G4216" s="4" t="str">
        <f>HYPERLINK("http://141.218.60.56/~jnz1568/getInfo.php?workbook=12_04.xlsx&amp;sheet=A0&amp;row=4216&amp;col=7&amp;number=0&amp;sourceID=14","0")</f>
        <v>0</v>
      </c>
    </row>
    <row r="4217" spans="1:7">
      <c r="A4217" s="3">
        <v>12</v>
      </c>
      <c r="B4217" s="3">
        <v>4</v>
      </c>
      <c r="C4217" s="3">
        <v>87</v>
      </c>
      <c r="D4217" s="3">
        <v>72</v>
      </c>
      <c r="E4217" s="3">
        <v>-6619.46</v>
      </c>
      <c r="F4217" s="4" t="str">
        <f>HYPERLINK("http://141.218.60.56/~jnz1568/getInfo.php?workbook=12_04.xlsx&amp;sheet=A0&amp;row=4217&amp;col=6&amp;number=6.32e-07&amp;sourceID=14","6.32e-07")</f>
        <v>6.32e-07</v>
      </c>
      <c r="G4217" s="4" t="str">
        <f>HYPERLINK("http://141.218.60.56/~jnz1568/getInfo.php?workbook=12_04.xlsx&amp;sheet=A0&amp;row=4217&amp;col=7&amp;number=0&amp;sourceID=14","0")</f>
        <v>0</v>
      </c>
    </row>
    <row r="4218" spans="1:7">
      <c r="A4218" s="3">
        <v>12</v>
      </c>
      <c r="B4218" s="3">
        <v>4</v>
      </c>
      <c r="C4218" s="3">
        <v>88</v>
      </c>
      <c r="D4218" s="3">
        <v>72</v>
      </c>
      <c r="E4218" s="3">
        <v>-6293.278</v>
      </c>
      <c r="F4218" s="4" t="str">
        <f>HYPERLINK("http://141.218.60.56/~jnz1568/getInfo.php?workbook=12_04.xlsx&amp;sheet=A0&amp;row=4218&amp;col=6&amp;number=0.0448&amp;sourceID=14","0.0448")</f>
        <v>0.0448</v>
      </c>
      <c r="G4218" s="4" t="str">
        <f>HYPERLINK("http://141.218.60.56/~jnz1568/getInfo.php?workbook=12_04.xlsx&amp;sheet=A0&amp;row=4218&amp;col=7&amp;number=0&amp;sourceID=14","0")</f>
        <v>0</v>
      </c>
    </row>
    <row r="4219" spans="1:7">
      <c r="A4219" s="3">
        <v>12</v>
      </c>
      <c r="B4219" s="3">
        <v>4</v>
      </c>
      <c r="C4219" s="3">
        <v>89</v>
      </c>
      <c r="D4219" s="3">
        <v>72</v>
      </c>
      <c r="E4219" s="3">
        <v>-6115.097</v>
      </c>
      <c r="F4219" s="4" t="str">
        <f>HYPERLINK("http://141.218.60.56/~jnz1568/getInfo.php?workbook=12_04.xlsx&amp;sheet=A0&amp;row=4219&amp;col=6&amp;number=0.145&amp;sourceID=14","0.145")</f>
        <v>0.145</v>
      </c>
      <c r="G4219" s="4" t="str">
        <f>HYPERLINK("http://141.218.60.56/~jnz1568/getInfo.php?workbook=12_04.xlsx&amp;sheet=A0&amp;row=4219&amp;col=7&amp;number=0&amp;sourceID=14","0")</f>
        <v>0</v>
      </c>
    </row>
    <row r="4220" spans="1:7">
      <c r="A4220" s="3">
        <v>12</v>
      </c>
      <c r="B4220" s="3">
        <v>4</v>
      </c>
      <c r="C4220" s="3">
        <v>90</v>
      </c>
      <c r="D4220" s="3">
        <v>72</v>
      </c>
      <c r="E4220" s="3">
        <v>-5641.123</v>
      </c>
      <c r="F4220" s="4" t="str">
        <f>HYPERLINK("http://141.218.60.56/~jnz1568/getInfo.php?workbook=12_04.xlsx&amp;sheet=A0&amp;row=4220&amp;col=6&amp;number=1.72e-13&amp;sourceID=14","1.72e-13")</f>
        <v>1.72e-13</v>
      </c>
      <c r="G4220" s="4" t="str">
        <f>HYPERLINK("http://141.218.60.56/~jnz1568/getInfo.php?workbook=12_04.xlsx&amp;sheet=A0&amp;row=4220&amp;col=7&amp;number=0&amp;sourceID=14","0")</f>
        <v>0</v>
      </c>
    </row>
    <row r="4221" spans="1:7">
      <c r="A4221" s="3">
        <v>12</v>
      </c>
      <c r="B4221" s="3">
        <v>4</v>
      </c>
      <c r="C4221" s="3">
        <v>91</v>
      </c>
      <c r="D4221" s="3">
        <v>72</v>
      </c>
      <c r="E4221" s="3">
        <v>-5278.168</v>
      </c>
      <c r="F4221" s="4" t="str">
        <f>HYPERLINK("http://141.218.60.56/~jnz1568/getInfo.php?workbook=12_04.xlsx&amp;sheet=A0&amp;row=4221&amp;col=6&amp;number=0.558&amp;sourceID=14","0.558")</f>
        <v>0.558</v>
      </c>
      <c r="G4221" s="4" t="str">
        <f>HYPERLINK("http://141.218.60.56/~jnz1568/getInfo.php?workbook=12_04.xlsx&amp;sheet=A0&amp;row=4221&amp;col=7&amp;number=0&amp;sourceID=14","0")</f>
        <v>0</v>
      </c>
    </row>
    <row r="4222" spans="1:7">
      <c r="A4222" s="3">
        <v>12</v>
      </c>
      <c r="B4222" s="3">
        <v>4</v>
      </c>
      <c r="C4222" s="3">
        <v>92</v>
      </c>
      <c r="D4222" s="3">
        <v>72</v>
      </c>
      <c r="E4222" s="3">
        <v>-5199.406</v>
      </c>
      <c r="F4222" s="4" t="str">
        <f>HYPERLINK("http://141.218.60.56/~jnz1568/getInfo.php?workbook=12_04.xlsx&amp;sheet=A0&amp;row=4222&amp;col=6&amp;number=0.0113&amp;sourceID=14","0.0113")</f>
        <v>0.0113</v>
      </c>
      <c r="G4222" s="4" t="str">
        <f>HYPERLINK("http://141.218.60.56/~jnz1568/getInfo.php?workbook=12_04.xlsx&amp;sheet=A0&amp;row=4222&amp;col=7&amp;number=0&amp;sourceID=14","0")</f>
        <v>0</v>
      </c>
    </row>
    <row r="4223" spans="1:7">
      <c r="A4223" s="3">
        <v>12</v>
      </c>
      <c r="B4223" s="3">
        <v>4</v>
      </c>
      <c r="C4223" s="3">
        <v>93</v>
      </c>
      <c r="D4223" s="3">
        <v>72</v>
      </c>
      <c r="E4223" s="3">
        <v>-5129.267</v>
      </c>
      <c r="F4223" s="4" t="str">
        <f>HYPERLINK("http://141.218.60.56/~jnz1568/getInfo.php?workbook=12_04.xlsx&amp;sheet=A0&amp;row=4223&amp;col=6&amp;number=0.512&amp;sourceID=14","0.512")</f>
        <v>0.512</v>
      </c>
      <c r="G4223" s="4" t="str">
        <f>HYPERLINK("http://141.218.60.56/~jnz1568/getInfo.php?workbook=12_04.xlsx&amp;sheet=A0&amp;row=4223&amp;col=7&amp;number=0&amp;sourceID=14","0")</f>
        <v>0</v>
      </c>
    </row>
    <row r="4224" spans="1:7">
      <c r="A4224" s="3">
        <v>12</v>
      </c>
      <c r="B4224" s="3">
        <v>4</v>
      </c>
      <c r="C4224" s="3">
        <v>94</v>
      </c>
      <c r="D4224" s="3">
        <v>72</v>
      </c>
      <c r="E4224" s="3">
        <v>-4886.878</v>
      </c>
      <c r="F4224" s="4" t="str">
        <f>HYPERLINK("http://141.218.60.56/~jnz1568/getInfo.php?workbook=12_04.xlsx&amp;sheet=A0&amp;row=4224&amp;col=6&amp;number=0.291&amp;sourceID=14","0.291")</f>
        <v>0.291</v>
      </c>
      <c r="G4224" s="4" t="str">
        <f>HYPERLINK("http://141.218.60.56/~jnz1568/getInfo.php?workbook=12_04.xlsx&amp;sheet=A0&amp;row=4224&amp;col=7&amp;number=0&amp;sourceID=14","0")</f>
        <v>0</v>
      </c>
    </row>
    <row r="4225" spans="1:7">
      <c r="A4225" s="3">
        <v>12</v>
      </c>
      <c r="B4225" s="3">
        <v>4</v>
      </c>
      <c r="C4225" s="3">
        <v>95</v>
      </c>
      <c r="D4225" s="3">
        <v>72</v>
      </c>
      <c r="E4225" s="3">
        <v>-4740.019</v>
      </c>
      <c r="F4225" s="4" t="str">
        <f>HYPERLINK("http://141.218.60.56/~jnz1568/getInfo.php?workbook=12_04.xlsx&amp;sheet=A0&amp;row=4225&amp;col=6&amp;number=0.0907&amp;sourceID=14","0.0907")</f>
        <v>0.0907</v>
      </c>
      <c r="G4225" s="4" t="str">
        <f>HYPERLINK("http://141.218.60.56/~jnz1568/getInfo.php?workbook=12_04.xlsx&amp;sheet=A0&amp;row=4225&amp;col=7&amp;number=0&amp;sourceID=14","0")</f>
        <v>0</v>
      </c>
    </row>
    <row r="4226" spans="1:7">
      <c r="A4226" s="3">
        <v>12</v>
      </c>
      <c r="B4226" s="3">
        <v>4</v>
      </c>
      <c r="C4226" s="3">
        <v>96</v>
      </c>
      <c r="D4226" s="3">
        <v>72</v>
      </c>
      <c r="E4226" s="3">
        <v>-4611.704</v>
      </c>
      <c r="F4226" s="4" t="str">
        <f>HYPERLINK("http://141.218.60.56/~jnz1568/getInfo.php?workbook=12_04.xlsx&amp;sheet=A0&amp;row=4226&amp;col=6&amp;number=0.103&amp;sourceID=14","0.103")</f>
        <v>0.103</v>
      </c>
      <c r="G4226" s="4" t="str">
        <f>HYPERLINK("http://141.218.60.56/~jnz1568/getInfo.php?workbook=12_04.xlsx&amp;sheet=A0&amp;row=4226&amp;col=7&amp;number=0&amp;sourceID=14","0")</f>
        <v>0</v>
      </c>
    </row>
    <row r="4227" spans="1:7">
      <c r="A4227" s="3">
        <v>12</v>
      </c>
      <c r="B4227" s="3">
        <v>4</v>
      </c>
      <c r="C4227" s="3">
        <v>97</v>
      </c>
      <c r="D4227" s="3">
        <v>72</v>
      </c>
      <c r="E4227" s="3">
        <v>4712.544</v>
      </c>
      <c r="F4227" s="4" t="str">
        <f>HYPERLINK("http://141.218.60.56/~jnz1568/getInfo.php?workbook=12_04.xlsx&amp;sheet=A0&amp;row=4227&amp;col=6&amp;number=188000&amp;sourceID=14","188000")</f>
        <v>188000</v>
      </c>
      <c r="G4227" s="4" t="str">
        <f>HYPERLINK("http://141.218.60.56/~jnz1568/getInfo.php?workbook=12_04.xlsx&amp;sheet=A0&amp;row=4227&amp;col=7&amp;number=0&amp;sourceID=14","0")</f>
        <v>0</v>
      </c>
    </row>
    <row r="4228" spans="1:7">
      <c r="A4228" s="3">
        <v>12</v>
      </c>
      <c r="B4228" s="3">
        <v>4</v>
      </c>
      <c r="C4228" s="3">
        <v>98</v>
      </c>
      <c r="D4228" s="3">
        <v>72</v>
      </c>
      <c r="E4228" s="3">
        <v>4355.409</v>
      </c>
      <c r="F4228" s="4" t="str">
        <f>HYPERLINK("http://141.218.60.56/~jnz1568/getInfo.php?workbook=12_04.xlsx&amp;sheet=A0&amp;row=4228&amp;col=6&amp;number=15400&amp;sourceID=14","15400")</f>
        <v>15400</v>
      </c>
      <c r="G4228" s="4" t="str">
        <f>HYPERLINK("http://141.218.60.56/~jnz1568/getInfo.php?workbook=12_04.xlsx&amp;sheet=A0&amp;row=4228&amp;col=7&amp;number=0&amp;sourceID=14","0")</f>
        <v>0</v>
      </c>
    </row>
    <row r="4229" spans="1:7">
      <c r="A4229" s="3">
        <v>12</v>
      </c>
      <c r="B4229" s="3">
        <v>4</v>
      </c>
      <c r="C4229" s="3">
        <v>74</v>
      </c>
      <c r="D4229" s="3">
        <v>73</v>
      </c>
      <c r="E4229" s="3">
        <v>-52356.117</v>
      </c>
      <c r="F4229" s="4" t="str">
        <f>HYPERLINK("http://141.218.60.56/~jnz1568/getInfo.php?workbook=12_04.xlsx&amp;sheet=A0&amp;row=4229&amp;col=6&amp;number=0.123&amp;sourceID=14","0.123")</f>
        <v>0.123</v>
      </c>
      <c r="G4229" s="4" t="str">
        <f>HYPERLINK("http://141.218.60.56/~jnz1568/getInfo.php?workbook=12_04.xlsx&amp;sheet=A0&amp;row=4229&amp;col=7&amp;number=0&amp;sourceID=14","0")</f>
        <v>0</v>
      </c>
    </row>
    <row r="4230" spans="1:7">
      <c r="A4230" s="3">
        <v>12</v>
      </c>
      <c r="B4230" s="3">
        <v>4</v>
      </c>
      <c r="C4230" s="3">
        <v>75</v>
      </c>
      <c r="D4230" s="3">
        <v>73</v>
      </c>
      <c r="E4230" s="3">
        <v>-39808.992</v>
      </c>
      <c r="F4230" s="4" t="str">
        <f>HYPERLINK("http://141.218.60.56/~jnz1568/getInfo.php?workbook=12_04.xlsx&amp;sheet=A0&amp;row=4230&amp;col=6&amp;number=0.0946&amp;sourceID=14","0.0946")</f>
        <v>0.0946</v>
      </c>
      <c r="G4230" s="4" t="str">
        <f>HYPERLINK("http://141.218.60.56/~jnz1568/getInfo.php?workbook=12_04.xlsx&amp;sheet=A0&amp;row=4230&amp;col=7&amp;number=0&amp;sourceID=14","0")</f>
        <v>0</v>
      </c>
    </row>
    <row r="4231" spans="1:7">
      <c r="A4231" s="3">
        <v>12</v>
      </c>
      <c r="B4231" s="3">
        <v>4</v>
      </c>
      <c r="C4231" s="3">
        <v>76</v>
      </c>
      <c r="D4231" s="3">
        <v>73</v>
      </c>
      <c r="E4231" s="3">
        <v>-27870.731</v>
      </c>
      <c r="F4231" s="4" t="str">
        <f>HYPERLINK("http://141.218.60.56/~jnz1568/getInfo.php?workbook=12_04.xlsx&amp;sheet=A0&amp;row=4231&amp;col=6&amp;number=3510&amp;sourceID=14","3510")</f>
        <v>3510</v>
      </c>
      <c r="G4231" s="4" t="str">
        <f>HYPERLINK("http://141.218.60.56/~jnz1568/getInfo.php?workbook=12_04.xlsx&amp;sheet=A0&amp;row=4231&amp;col=7&amp;number=0&amp;sourceID=14","0")</f>
        <v>0</v>
      </c>
    </row>
    <row r="4232" spans="1:7">
      <c r="A4232" s="3">
        <v>12</v>
      </c>
      <c r="B4232" s="3">
        <v>4</v>
      </c>
      <c r="C4232" s="3">
        <v>77</v>
      </c>
      <c r="D4232" s="3">
        <v>73</v>
      </c>
      <c r="E4232" s="3">
        <v>-24479.85</v>
      </c>
      <c r="F4232" s="4" t="str">
        <f>HYPERLINK("http://141.218.60.56/~jnz1568/getInfo.php?workbook=12_04.xlsx&amp;sheet=A0&amp;row=4232&amp;col=6&amp;number=1.54e-06&amp;sourceID=14","1.54e-06")</f>
        <v>1.54e-06</v>
      </c>
      <c r="G4232" s="4" t="str">
        <f>HYPERLINK("http://141.218.60.56/~jnz1568/getInfo.php?workbook=12_04.xlsx&amp;sheet=A0&amp;row=4232&amp;col=7&amp;number=0&amp;sourceID=14","0")</f>
        <v>0</v>
      </c>
    </row>
    <row r="4233" spans="1:7">
      <c r="A4233" s="3">
        <v>12</v>
      </c>
      <c r="B4233" s="3">
        <v>4</v>
      </c>
      <c r="C4233" s="3">
        <v>78</v>
      </c>
      <c r="D4233" s="3">
        <v>73</v>
      </c>
      <c r="E4233" s="3">
        <v>-14106.388</v>
      </c>
      <c r="F4233" s="4" t="str">
        <f>HYPERLINK("http://141.218.60.56/~jnz1568/getInfo.php?workbook=12_04.xlsx&amp;sheet=A0&amp;row=4233&amp;col=6&amp;number=0.0391&amp;sourceID=14","0.0391")</f>
        <v>0.0391</v>
      </c>
      <c r="G4233" s="4" t="str">
        <f>HYPERLINK("http://141.218.60.56/~jnz1568/getInfo.php?workbook=12_04.xlsx&amp;sheet=A0&amp;row=4233&amp;col=7&amp;number=0&amp;sourceID=14","0")</f>
        <v>0</v>
      </c>
    </row>
    <row r="4234" spans="1:7">
      <c r="A4234" s="3">
        <v>12</v>
      </c>
      <c r="B4234" s="3">
        <v>4</v>
      </c>
      <c r="C4234" s="3">
        <v>79</v>
      </c>
      <c r="D4234" s="3">
        <v>73</v>
      </c>
      <c r="E4234" s="3">
        <v>-12973.558</v>
      </c>
      <c r="F4234" s="4" t="str">
        <f>HYPERLINK("http://141.218.60.56/~jnz1568/getInfo.php?workbook=12_04.xlsx&amp;sheet=A0&amp;row=4234&amp;col=6&amp;number=0.15&amp;sourceID=14","0.15")</f>
        <v>0.15</v>
      </c>
      <c r="G4234" s="4" t="str">
        <f>HYPERLINK("http://141.218.60.56/~jnz1568/getInfo.php?workbook=12_04.xlsx&amp;sheet=A0&amp;row=4234&amp;col=7&amp;number=0&amp;sourceID=14","0")</f>
        <v>0</v>
      </c>
    </row>
    <row r="4235" spans="1:7">
      <c r="A4235" s="3">
        <v>12</v>
      </c>
      <c r="B4235" s="3">
        <v>4</v>
      </c>
      <c r="C4235" s="3">
        <v>80</v>
      </c>
      <c r="D4235" s="3">
        <v>73</v>
      </c>
      <c r="E4235" s="3">
        <v>-11174.453</v>
      </c>
      <c r="F4235" s="4" t="str">
        <f>HYPERLINK("http://141.218.60.56/~jnz1568/getInfo.php?workbook=12_04.xlsx&amp;sheet=A0&amp;row=4235&amp;col=6&amp;number=961000&amp;sourceID=14","961000")</f>
        <v>961000</v>
      </c>
      <c r="G4235" s="4" t="str">
        <f>HYPERLINK("http://141.218.60.56/~jnz1568/getInfo.php?workbook=12_04.xlsx&amp;sheet=A0&amp;row=4235&amp;col=7&amp;number=0&amp;sourceID=14","0")</f>
        <v>0</v>
      </c>
    </row>
    <row r="4236" spans="1:7">
      <c r="A4236" s="3">
        <v>12</v>
      </c>
      <c r="B4236" s="3">
        <v>4</v>
      </c>
      <c r="C4236" s="3">
        <v>81</v>
      </c>
      <c r="D4236" s="3">
        <v>73</v>
      </c>
      <c r="E4236" s="3">
        <v>-11140.841</v>
      </c>
      <c r="F4236" s="4" t="str">
        <f>HYPERLINK("http://141.218.60.56/~jnz1568/getInfo.php?workbook=12_04.xlsx&amp;sheet=A0&amp;row=4236&amp;col=6&amp;number=0.315&amp;sourceID=14","0.315")</f>
        <v>0.315</v>
      </c>
      <c r="G4236" s="4" t="str">
        <f>HYPERLINK("http://141.218.60.56/~jnz1568/getInfo.php?workbook=12_04.xlsx&amp;sheet=A0&amp;row=4236&amp;col=7&amp;number=0&amp;sourceID=14","0")</f>
        <v>0</v>
      </c>
    </row>
    <row r="4237" spans="1:7">
      <c r="A4237" s="3">
        <v>12</v>
      </c>
      <c r="B4237" s="3">
        <v>4</v>
      </c>
      <c r="C4237" s="3">
        <v>82</v>
      </c>
      <c r="D4237" s="3">
        <v>73</v>
      </c>
      <c r="E4237" s="3">
        <v>-10740.005</v>
      </c>
      <c r="F4237" s="4" t="str">
        <f>HYPERLINK("http://141.218.60.56/~jnz1568/getInfo.php?workbook=12_04.xlsx&amp;sheet=A0&amp;row=4237&amp;col=6&amp;number=202000&amp;sourceID=14","202000")</f>
        <v>202000</v>
      </c>
      <c r="G4237" s="4" t="str">
        <f>HYPERLINK("http://141.218.60.56/~jnz1568/getInfo.php?workbook=12_04.xlsx&amp;sheet=A0&amp;row=4237&amp;col=7&amp;number=0&amp;sourceID=14","0")</f>
        <v>0</v>
      </c>
    </row>
    <row r="4238" spans="1:7">
      <c r="A4238" s="3">
        <v>12</v>
      </c>
      <c r="B4238" s="3">
        <v>4</v>
      </c>
      <c r="C4238" s="3">
        <v>83</v>
      </c>
      <c r="D4238" s="3">
        <v>73</v>
      </c>
      <c r="E4238" s="3">
        <v>-10734.24</v>
      </c>
      <c r="F4238" s="4" t="str">
        <f>HYPERLINK("http://141.218.60.56/~jnz1568/getInfo.php?workbook=12_04.xlsx&amp;sheet=A0&amp;row=4238&amp;col=6&amp;number=666000&amp;sourceID=14","666000")</f>
        <v>666000</v>
      </c>
      <c r="G4238" s="4" t="str">
        <f>HYPERLINK("http://141.218.60.56/~jnz1568/getInfo.php?workbook=12_04.xlsx&amp;sheet=A0&amp;row=4238&amp;col=7&amp;number=0&amp;sourceID=14","0")</f>
        <v>0</v>
      </c>
    </row>
    <row r="4239" spans="1:7">
      <c r="A4239" s="3">
        <v>12</v>
      </c>
      <c r="B4239" s="3">
        <v>4</v>
      </c>
      <c r="C4239" s="3">
        <v>84</v>
      </c>
      <c r="D4239" s="3">
        <v>73</v>
      </c>
      <c r="E4239" s="3">
        <v>-10372.387</v>
      </c>
      <c r="F4239" s="4" t="str">
        <f>HYPERLINK("http://141.218.60.56/~jnz1568/getInfo.php?workbook=12_04.xlsx&amp;sheet=A0&amp;row=4239&amp;col=6&amp;number=1.12e-07&amp;sourceID=14","1.12e-07")</f>
        <v>1.12e-07</v>
      </c>
      <c r="G4239" s="4" t="str">
        <f>HYPERLINK("http://141.218.60.56/~jnz1568/getInfo.php?workbook=12_04.xlsx&amp;sheet=A0&amp;row=4239&amp;col=7&amp;number=0&amp;sourceID=14","0")</f>
        <v>0</v>
      </c>
    </row>
    <row r="4240" spans="1:7">
      <c r="A4240" s="3">
        <v>12</v>
      </c>
      <c r="B4240" s="3">
        <v>4</v>
      </c>
      <c r="C4240" s="3">
        <v>85</v>
      </c>
      <c r="D4240" s="3">
        <v>73</v>
      </c>
      <c r="E4240" s="3">
        <v>-8993.631</v>
      </c>
      <c r="F4240" s="4" t="str">
        <f>HYPERLINK("http://141.218.60.56/~jnz1568/getInfo.php?workbook=12_04.xlsx&amp;sheet=A0&amp;row=4240&amp;col=6&amp;number=0.348&amp;sourceID=14","0.348")</f>
        <v>0.348</v>
      </c>
      <c r="G4240" s="4" t="str">
        <f>HYPERLINK("http://141.218.60.56/~jnz1568/getInfo.php?workbook=12_04.xlsx&amp;sheet=A0&amp;row=4240&amp;col=7&amp;number=0&amp;sourceID=14","0")</f>
        <v>0</v>
      </c>
    </row>
    <row r="4241" spans="1:7">
      <c r="A4241" s="3">
        <v>12</v>
      </c>
      <c r="B4241" s="3">
        <v>4</v>
      </c>
      <c r="C4241" s="3">
        <v>86</v>
      </c>
      <c r="D4241" s="3">
        <v>73</v>
      </c>
      <c r="E4241" s="3">
        <v>-8518.629</v>
      </c>
      <c r="F4241" s="4" t="str">
        <f>HYPERLINK("http://141.218.60.56/~jnz1568/getInfo.php?workbook=12_04.xlsx&amp;sheet=A0&amp;row=4241&amp;col=6&amp;number=0.23&amp;sourceID=14","0.23")</f>
        <v>0.23</v>
      </c>
      <c r="G4241" s="4" t="str">
        <f>HYPERLINK("http://141.218.60.56/~jnz1568/getInfo.php?workbook=12_04.xlsx&amp;sheet=A0&amp;row=4241&amp;col=7&amp;number=0&amp;sourceID=14","0")</f>
        <v>0</v>
      </c>
    </row>
    <row r="4242" spans="1:7">
      <c r="A4242" s="3">
        <v>12</v>
      </c>
      <c r="B4242" s="3">
        <v>4</v>
      </c>
      <c r="C4242" s="3">
        <v>87</v>
      </c>
      <c r="D4242" s="3">
        <v>73</v>
      </c>
      <c r="E4242" s="3">
        <v>-8284.333</v>
      </c>
      <c r="F4242" s="4" t="str">
        <f>HYPERLINK("http://141.218.60.56/~jnz1568/getInfo.php?workbook=12_04.xlsx&amp;sheet=A0&amp;row=4242&amp;col=6&amp;number=0.0216&amp;sourceID=14","0.0216")</f>
        <v>0.0216</v>
      </c>
      <c r="G4242" s="4" t="str">
        <f>HYPERLINK("http://141.218.60.56/~jnz1568/getInfo.php?workbook=12_04.xlsx&amp;sheet=A0&amp;row=4242&amp;col=7&amp;number=0&amp;sourceID=14","0")</f>
        <v>0</v>
      </c>
    </row>
    <row r="4243" spans="1:7">
      <c r="A4243" s="3">
        <v>12</v>
      </c>
      <c r="B4243" s="3">
        <v>4</v>
      </c>
      <c r="C4243" s="3">
        <v>88</v>
      </c>
      <c r="D4243" s="3">
        <v>73</v>
      </c>
      <c r="E4243" s="3">
        <v>-7779.694</v>
      </c>
      <c r="F4243" s="4" t="str">
        <f>HYPERLINK("http://141.218.60.56/~jnz1568/getInfo.php?workbook=12_04.xlsx&amp;sheet=A0&amp;row=4243&amp;col=6&amp;number=979000&amp;sourceID=14","979000")</f>
        <v>979000</v>
      </c>
      <c r="G4243" s="4" t="str">
        <f>HYPERLINK("http://141.218.60.56/~jnz1568/getInfo.php?workbook=12_04.xlsx&amp;sheet=A0&amp;row=4243&amp;col=7&amp;number=0&amp;sourceID=14","0")</f>
        <v>0</v>
      </c>
    </row>
    <row r="4244" spans="1:7">
      <c r="A4244" s="3">
        <v>12</v>
      </c>
      <c r="B4244" s="3">
        <v>4</v>
      </c>
      <c r="C4244" s="3">
        <v>89</v>
      </c>
      <c r="D4244" s="3">
        <v>73</v>
      </c>
      <c r="E4244" s="3">
        <v>-7509.212</v>
      </c>
      <c r="F4244" s="4" t="str">
        <f>HYPERLINK("http://141.218.60.56/~jnz1568/getInfo.php?workbook=12_04.xlsx&amp;sheet=A0&amp;row=4244&amp;col=6&amp;number=1.11e-06&amp;sourceID=14","1.11e-06")</f>
        <v>1.11e-06</v>
      </c>
      <c r="G4244" s="4" t="str">
        <f>HYPERLINK("http://141.218.60.56/~jnz1568/getInfo.php?workbook=12_04.xlsx&amp;sheet=A0&amp;row=4244&amp;col=7&amp;number=0&amp;sourceID=14","0")</f>
        <v>0</v>
      </c>
    </row>
    <row r="4245" spans="1:7">
      <c r="A4245" s="3">
        <v>12</v>
      </c>
      <c r="B4245" s="3">
        <v>4</v>
      </c>
      <c r="C4245" s="3">
        <v>90</v>
      </c>
      <c r="D4245" s="3">
        <v>73</v>
      </c>
      <c r="E4245" s="3">
        <v>-6806.901</v>
      </c>
      <c r="F4245" s="4" t="str">
        <f>HYPERLINK("http://141.218.60.56/~jnz1568/getInfo.php?workbook=12_04.xlsx&amp;sheet=A0&amp;row=4245&amp;col=6&amp;number=2.45e-11&amp;sourceID=14","2.45e-11")</f>
        <v>2.45e-11</v>
      </c>
      <c r="G4245" s="4" t="str">
        <f>HYPERLINK("http://141.218.60.56/~jnz1568/getInfo.php?workbook=12_04.xlsx&amp;sheet=A0&amp;row=4245&amp;col=7&amp;number=0&amp;sourceID=14","0")</f>
        <v>0</v>
      </c>
    </row>
    <row r="4246" spans="1:7">
      <c r="A4246" s="3">
        <v>12</v>
      </c>
      <c r="B4246" s="3">
        <v>4</v>
      </c>
      <c r="C4246" s="3">
        <v>91</v>
      </c>
      <c r="D4246" s="3">
        <v>73</v>
      </c>
      <c r="E4246" s="3">
        <v>-6285.367</v>
      </c>
      <c r="F4246" s="4" t="str">
        <f>HYPERLINK("http://141.218.60.56/~jnz1568/getInfo.php?workbook=12_04.xlsx&amp;sheet=A0&amp;row=4246&amp;col=6&amp;number=9860&amp;sourceID=14","9860")</f>
        <v>9860</v>
      </c>
      <c r="G4246" s="4" t="str">
        <f>HYPERLINK("http://141.218.60.56/~jnz1568/getInfo.php?workbook=12_04.xlsx&amp;sheet=A0&amp;row=4246&amp;col=7&amp;number=0&amp;sourceID=14","0")</f>
        <v>0</v>
      </c>
    </row>
    <row r="4247" spans="1:7">
      <c r="A4247" s="3">
        <v>12</v>
      </c>
      <c r="B4247" s="3">
        <v>4</v>
      </c>
      <c r="C4247" s="3">
        <v>92</v>
      </c>
      <c r="D4247" s="3">
        <v>73</v>
      </c>
      <c r="E4247" s="3">
        <v>-6173.994</v>
      </c>
      <c r="F4247" s="4" t="str">
        <f>HYPERLINK("http://141.218.60.56/~jnz1568/getInfo.php?workbook=12_04.xlsx&amp;sheet=A0&amp;row=4247&amp;col=6&amp;number=3.27e-06&amp;sourceID=14","3.27e-06")</f>
        <v>3.27e-06</v>
      </c>
      <c r="G4247" s="4" t="str">
        <f>HYPERLINK("http://141.218.60.56/~jnz1568/getInfo.php?workbook=12_04.xlsx&amp;sheet=A0&amp;row=4247&amp;col=7&amp;number=0&amp;sourceID=14","0")</f>
        <v>0</v>
      </c>
    </row>
    <row r="4248" spans="1:7">
      <c r="A4248" s="3">
        <v>12</v>
      </c>
      <c r="B4248" s="3">
        <v>4</v>
      </c>
      <c r="C4248" s="3">
        <v>93</v>
      </c>
      <c r="D4248" s="3">
        <v>73</v>
      </c>
      <c r="E4248" s="3">
        <v>-6075.345</v>
      </c>
      <c r="F4248" s="4" t="str">
        <f>HYPERLINK("http://141.218.60.56/~jnz1568/getInfo.php?workbook=12_04.xlsx&amp;sheet=A0&amp;row=4248&amp;col=6&amp;number=110000&amp;sourceID=14","110000")</f>
        <v>110000</v>
      </c>
      <c r="G4248" s="4" t="str">
        <f>HYPERLINK("http://141.218.60.56/~jnz1568/getInfo.php?workbook=12_04.xlsx&amp;sheet=A0&amp;row=4248&amp;col=7&amp;number=0&amp;sourceID=14","0")</f>
        <v>0</v>
      </c>
    </row>
    <row r="4249" spans="1:7">
      <c r="A4249" s="3">
        <v>12</v>
      </c>
      <c r="B4249" s="3">
        <v>4</v>
      </c>
      <c r="C4249" s="3">
        <v>94</v>
      </c>
      <c r="D4249" s="3">
        <v>73</v>
      </c>
      <c r="E4249" s="3">
        <v>-5738.233</v>
      </c>
      <c r="F4249" s="4" t="str">
        <f>HYPERLINK("http://141.218.60.56/~jnz1568/getInfo.php?workbook=12_04.xlsx&amp;sheet=A0&amp;row=4249&amp;col=6&amp;number=10600&amp;sourceID=14","10600")</f>
        <v>10600</v>
      </c>
      <c r="G4249" s="4" t="str">
        <f>HYPERLINK("http://141.218.60.56/~jnz1568/getInfo.php?workbook=12_04.xlsx&amp;sheet=A0&amp;row=4249&amp;col=7&amp;number=0&amp;sourceID=14","0")</f>
        <v>0</v>
      </c>
    </row>
    <row r="4250" spans="1:7">
      <c r="A4250" s="3">
        <v>12</v>
      </c>
      <c r="B4250" s="3">
        <v>4</v>
      </c>
      <c r="C4250" s="3">
        <v>95</v>
      </c>
      <c r="D4250" s="3">
        <v>73</v>
      </c>
      <c r="E4250" s="3">
        <v>-5536.802</v>
      </c>
      <c r="F4250" s="4" t="str">
        <f>HYPERLINK("http://141.218.60.56/~jnz1568/getInfo.php?workbook=12_04.xlsx&amp;sheet=A0&amp;row=4250&amp;col=6&amp;number=7.54e-06&amp;sourceID=14","7.54e-06")</f>
        <v>7.54e-06</v>
      </c>
      <c r="G4250" s="4" t="str">
        <f>HYPERLINK("http://141.218.60.56/~jnz1568/getInfo.php?workbook=12_04.xlsx&amp;sheet=A0&amp;row=4250&amp;col=7&amp;number=0&amp;sourceID=14","0")</f>
        <v>0</v>
      </c>
    </row>
    <row r="4251" spans="1:7">
      <c r="A4251" s="3">
        <v>12</v>
      </c>
      <c r="B4251" s="3">
        <v>4</v>
      </c>
      <c r="C4251" s="3">
        <v>96</v>
      </c>
      <c r="D4251" s="3">
        <v>73</v>
      </c>
      <c r="E4251" s="3">
        <v>-5362.515</v>
      </c>
      <c r="F4251" s="4" t="str">
        <f>HYPERLINK("http://141.218.60.56/~jnz1568/getInfo.php?workbook=12_04.xlsx&amp;sheet=A0&amp;row=4251&amp;col=6&amp;number=583000&amp;sourceID=14","583000")</f>
        <v>583000</v>
      </c>
      <c r="G4251" s="4" t="str">
        <f>HYPERLINK("http://141.218.60.56/~jnz1568/getInfo.php?workbook=12_04.xlsx&amp;sheet=A0&amp;row=4251&amp;col=7&amp;number=0&amp;sourceID=14","0")</f>
        <v>0</v>
      </c>
    </row>
    <row r="4252" spans="1:7">
      <c r="A4252" s="3">
        <v>12</v>
      </c>
      <c r="B4252" s="3">
        <v>4</v>
      </c>
      <c r="C4252" s="3">
        <v>97</v>
      </c>
      <c r="D4252" s="3">
        <v>73</v>
      </c>
      <c r="E4252" s="3">
        <v>-4729.259</v>
      </c>
      <c r="F4252" s="4" t="str">
        <f>HYPERLINK("http://141.218.60.56/~jnz1568/getInfo.php?workbook=12_04.xlsx&amp;sheet=A0&amp;row=4252&amp;col=6&amp;number=0.793&amp;sourceID=14","0.793")</f>
        <v>0.793</v>
      </c>
      <c r="G4252" s="4" t="str">
        <f>HYPERLINK("http://141.218.60.56/~jnz1568/getInfo.php?workbook=12_04.xlsx&amp;sheet=A0&amp;row=4252&amp;col=7&amp;number=0&amp;sourceID=14","0")</f>
        <v>0</v>
      </c>
    </row>
    <row r="4253" spans="1:7">
      <c r="A4253" s="3">
        <v>12</v>
      </c>
      <c r="B4253" s="3">
        <v>4</v>
      </c>
      <c r="C4253" s="3">
        <v>98</v>
      </c>
      <c r="D4253" s="3">
        <v>73</v>
      </c>
      <c r="E4253" s="3">
        <v>-4476.083</v>
      </c>
      <c r="F4253" s="4" t="str">
        <f>HYPERLINK("http://141.218.60.56/~jnz1568/getInfo.php?workbook=12_04.xlsx&amp;sheet=A0&amp;row=4253&amp;col=6&amp;number=0.559&amp;sourceID=14","0.559")</f>
        <v>0.559</v>
      </c>
      <c r="G4253" s="4" t="str">
        <f>HYPERLINK("http://141.218.60.56/~jnz1568/getInfo.php?workbook=12_04.xlsx&amp;sheet=A0&amp;row=4253&amp;col=7&amp;number=0&amp;sourceID=14","0")</f>
        <v>0</v>
      </c>
    </row>
    <row r="4254" spans="1:7">
      <c r="A4254" s="3">
        <v>12</v>
      </c>
      <c r="B4254" s="3">
        <v>4</v>
      </c>
      <c r="C4254" s="3">
        <v>75</v>
      </c>
      <c r="D4254" s="3">
        <v>74</v>
      </c>
      <c r="E4254" s="3">
        <v>-166113.266</v>
      </c>
      <c r="F4254" s="4" t="str">
        <f>HYPERLINK("http://141.218.60.56/~jnz1568/getInfo.php?workbook=12_04.xlsx&amp;sheet=A0&amp;row=4254&amp;col=6&amp;number=0.0134&amp;sourceID=14","0.0134")</f>
        <v>0.0134</v>
      </c>
      <c r="G4254" s="4" t="str">
        <f>HYPERLINK("http://141.218.60.56/~jnz1568/getInfo.php?workbook=12_04.xlsx&amp;sheet=A0&amp;row=4254&amp;col=7&amp;number=0&amp;sourceID=14","0")</f>
        <v>0</v>
      </c>
    </row>
    <row r="4255" spans="1:7">
      <c r="A4255" s="3">
        <v>12</v>
      </c>
      <c r="B4255" s="3">
        <v>4</v>
      </c>
      <c r="C4255" s="3">
        <v>76</v>
      </c>
      <c r="D4255" s="3">
        <v>74</v>
      </c>
      <c r="E4255" s="3">
        <v>-59594.867</v>
      </c>
      <c r="F4255" s="4" t="str">
        <f>HYPERLINK("http://141.218.60.56/~jnz1568/getInfo.php?workbook=12_04.xlsx&amp;sheet=A0&amp;row=4255&amp;col=6&amp;number=1.95&amp;sourceID=14","1.95")</f>
        <v>1.95</v>
      </c>
      <c r="G4255" s="4" t="str">
        <f>HYPERLINK("http://141.218.60.56/~jnz1568/getInfo.php?workbook=12_04.xlsx&amp;sheet=A0&amp;row=4255&amp;col=7&amp;number=0&amp;sourceID=14","0")</f>
        <v>0</v>
      </c>
    </row>
    <row r="4256" spans="1:7">
      <c r="A4256" s="3">
        <v>12</v>
      </c>
      <c r="B4256" s="3">
        <v>4</v>
      </c>
      <c r="C4256" s="3">
        <v>77</v>
      </c>
      <c r="D4256" s="3">
        <v>74</v>
      </c>
      <c r="E4256" s="3">
        <v>-45977.098</v>
      </c>
      <c r="F4256" s="4" t="str">
        <f>HYPERLINK("http://141.218.60.56/~jnz1568/getInfo.php?workbook=12_04.xlsx&amp;sheet=A0&amp;row=4256&amp;col=6&amp;number=0.199&amp;sourceID=14","0.199")</f>
        <v>0.199</v>
      </c>
      <c r="G4256" s="4" t="str">
        <f>HYPERLINK("http://141.218.60.56/~jnz1568/getInfo.php?workbook=12_04.xlsx&amp;sheet=A0&amp;row=4256&amp;col=7&amp;number=0&amp;sourceID=14","0")</f>
        <v>0</v>
      </c>
    </row>
    <row r="4257" spans="1:7">
      <c r="A4257" s="3">
        <v>12</v>
      </c>
      <c r="B4257" s="3">
        <v>4</v>
      </c>
      <c r="C4257" s="3">
        <v>78</v>
      </c>
      <c r="D4257" s="3">
        <v>74</v>
      </c>
      <c r="E4257" s="3">
        <v>-19308.783</v>
      </c>
      <c r="F4257" s="4" t="str">
        <f>HYPERLINK("http://141.218.60.56/~jnz1568/getInfo.php?workbook=12_04.xlsx&amp;sheet=A0&amp;row=4257&amp;col=6&amp;number=0.000237&amp;sourceID=14","0.000237")</f>
        <v>0.000237</v>
      </c>
      <c r="G4257" s="4" t="str">
        <f>HYPERLINK("http://141.218.60.56/~jnz1568/getInfo.php?workbook=12_04.xlsx&amp;sheet=A0&amp;row=4257&amp;col=7&amp;number=0&amp;sourceID=14","0")</f>
        <v>0</v>
      </c>
    </row>
    <row r="4258" spans="1:7">
      <c r="A4258" s="3">
        <v>12</v>
      </c>
      <c r="B4258" s="3">
        <v>4</v>
      </c>
      <c r="C4258" s="3">
        <v>79</v>
      </c>
      <c r="D4258" s="3">
        <v>74</v>
      </c>
      <c r="E4258" s="3">
        <v>-17247.359</v>
      </c>
      <c r="F4258" s="4" t="str">
        <f>HYPERLINK("http://141.218.60.56/~jnz1568/getInfo.php?workbook=12_04.xlsx&amp;sheet=A0&amp;row=4258&amp;col=6&amp;number=0.00828&amp;sourceID=14","0.00828")</f>
        <v>0.00828</v>
      </c>
      <c r="G4258" s="4" t="str">
        <f>HYPERLINK("http://141.218.60.56/~jnz1568/getInfo.php?workbook=12_04.xlsx&amp;sheet=A0&amp;row=4258&amp;col=7&amp;number=0&amp;sourceID=14","0")</f>
        <v>0</v>
      </c>
    </row>
    <row r="4259" spans="1:7">
      <c r="A4259" s="3">
        <v>12</v>
      </c>
      <c r="B4259" s="3">
        <v>4</v>
      </c>
      <c r="C4259" s="3">
        <v>80</v>
      </c>
      <c r="D4259" s="3">
        <v>74</v>
      </c>
      <c r="E4259" s="3">
        <v>-14206.59</v>
      </c>
      <c r="F4259" s="4" t="str">
        <f>HYPERLINK("http://141.218.60.56/~jnz1568/getInfo.php?workbook=12_04.xlsx&amp;sheet=A0&amp;row=4259&amp;col=6&amp;number=36000&amp;sourceID=14","36000")</f>
        <v>36000</v>
      </c>
      <c r="G4259" s="4" t="str">
        <f>HYPERLINK("http://141.218.60.56/~jnz1568/getInfo.php?workbook=12_04.xlsx&amp;sheet=A0&amp;row=4259&amp;col=7&amp;number=0&amp;sourceID=14","0")</f>
        <v>0</v>
      </c>
    </row>
    <row r="4260" spans="1:7">
      <c r="A4260" s="3">
        <v>12</v>
      </c>
      <c r="B4260" s="3">
        <v>4</v>
      </c>
      <c r="C4260" s="3">
        <v>81</v>
      </c>
      <c r="D4260" s="3">
        <v>74</v>
      </c>
      <c r="E4260" s="3">
        <v>-14152.305</v>
      </c>
      <c r="F4260" s="4" t="str">
        <f>HYPERLINK("http://141.218.60.56/~jnz1568/getInfo.php?workbook=12_04.xlsx&amp;sheet=A0&amp;row=4260&amp;col=6&amp;number=0.357&amp;sourceID=14","0.357")</f>
        <v>0.357</v>
      </c>
      <c r="G4260" s="4" t="str">
        <f>HYPERLINK("http://141.218.60.56/~jnz1568/getInfo.php?workbook=12_04.xlsx&amp;sheet=A0&amp;row=4260&amp;col=7&amp;number=0&amp;sourceID=14","0")</f>
        <v>0</v>
      </c>
    </row>
    <row r="4261" spans="1:7">
      <c r="A4261" s="3">
        <v>12</v>
      </c>
      <c r="B4261" s="3">
        <v>4</v>
      </c>
      <c r="C4261" s="3">
        <v>82</v>
      </c>
      <c r="D4261" s="3">
        <v>74</v>
      </c>
      <c r="E4261" s="3">
        <v>-13511.713</v>
      </c>
      <c r="F4261" s="4" t="str">
        <f>HYPERLINK("http://141.218.60.56/~jnz1568/getInfo.php?workbook=12_04.xlsx&amp;sheet=A0&amp;row=4261&amp;col=6&amp;number=9250&amp;sourceID=14","9250")</f>
        <v>9250</v>
      </c>
      <c r="G4261" s="4" t="str">
        <f>HYPERLINK("http://141.218.60.56/~jnz1568/getInfo.php?workbook=12_04.xlsx&amp;sheet=A0&amp;row=4261&amp;col=7&amp;number=0&amp;sourceID=14","0")</f>
        <v>0</v>
      </c>
    </row>
    <row r="4262" spans="1:7">
      <c r="A4262" s="3">
        <v>12</v>
      </c>
      <c r="B4262" s="3">
        <v>4</v>
      </c>
      <c r="C4262" s="3">
        <v>83</v>
      </c>
      <c r="D4262" s="3">
        <v>74</v>
      </c>
      <c r="E4262" s="3">
        <v>-13502.591</v>
      </c>
      <c r="F4262" s="4" t="str">
        <f>HYPERLINK("http://141.218.60.56/~jnz1568/getInfo.php?workbook=12_04.xlsx&amp;sheet=A0&amp;row=4262&amp;col=6&amp;number=8160&amp;sourceID=14","8160")</f>
        <v>8160</v>
      </c>
      <c r="G4262" s="4" t="str">
        <f>HYPERLINK("http://141.218.60.56/~jnz1568/getInfo.php?workbook=12_04.xlsx&amp;sheet=A0&amp;row=4262&amp;col=7&amp;number=0&amp;sourceID=14","0")</f>
        <v>0</v>
      </c>
    </row>
    <row r="4263" spans="1:7">
      <c r="A4263" s="3">
        <v>12</v>
      </c>
      <c r="B4263" s="3">
        <v>4</v>
      </c>
      <c r="C4263" s="3">
        <v>84</v>
      </c>
      <c r="D4263" s="3">
        <v>74</v>
      </c>
      <c r="E4263" s="3">
        <v>-12934.961</v>
      </c>
      <c r="F4263" s="4" t="str">
        <f>HYPERLINK("http://141.218.60.56/~jnz1568/getInfo.php?workbook=12_04.xlsx&amp;sheet=A0&amp;row=4263&amp;col=6&amp;number=566000&amp;sourceID=14","566000")</f>
        <v>566000</v>
      </c>
      <c r="G4263" s="4" t="str">
        <f>HYPERLINK("http://141.218.60.56/~jnz1568/getInfo.php?workbook=12_04.xlsx&amp;sheet=A0&amp;row=4263&amp;col=7&amp;number=0&amp;sourceID=14","0")</f>
        <v>0</v>
      </c>
    </row>
    <row r="4264" spans="1:7">
      <c r="A4264" s="3">
        <v>12</v>
      </c>
      <c r="B4264" s="3">
        <v>4</v>
      </c>
      <c r="C4264" s="3">
        <v>85</v>
      </c>
      <c r="D4264" s="3">
        <v>74</v>
      </c>
      <c r="E4264" s="3">
        <v>-10858.962</v>
      </c>
      <c r="F4264" s="4" t="str">
        <f>HYPERLINK("http://141.218.60.56/~jnz1568/getInfo.php?workbook=12_04.xlsx&amp;sheet=A0&amp;row=4264&amp;col=6&amp;number=0.0414&amp;sourceID=14","0.0414")</f>
        <v>0.0414</v>
      </c>
      <c r="G4264" s="4" t="str">
        <f>HYPERLINK("http://141.218.60.56/~jnz1568/getInfo.php?workbook=12_04.xlsx&amp;sheet=A0&amp;row=4264&amp;col=7&amp;number=0&amp;sourceID=14","0")</f>
        <v>0</v>
      </c>
    </row>
    <row r="4265" spans="1:7">
      <c r="A4265" s="3">
        <v>12</v>
      </c>
      <c r="B4265" s="3">
        <v>4</v>
      </c>
      <c r="C4265" s="3">
        <v>86</v>
      </c>
      <c r="D4265" s="3">
        <v>74</v>
      </c>
      <c r="E4265" s="3">
        <v>-10173.994</v>
      </c>
      <c r="F4265" s="4" t="str">
        <f>HYPERLINK("http://141.218.60.56/~jnz1568/getInfo.php?workbook=12_04.xlsx&amp;sheet=A0&amp;row=4265&amp;col=6&amp;number=0.0119&amp;sourceID=14","0.0119")</f>
        <v>0.0119</v>
      </c>
      <c r="G4265" s="4" t="str">
        <f>HYPERLINK("http://141.218.60.56/~jnz1568/getInfo.php?workbook=12_04.xlsx&amp;sheet=A0&amp;row=4265&amp;col=7&amp;number=0&amp;sourceID=14","0")</f>
        <v>0</v>
      </c>
    </row>
    <row r="4266" spans="1:7">
      <c r="A4266" s="3">
        <v>12</v>
      </c>
      <c r="B4266" s="3">
        <v>4</v>
      </c>
      <c r="C4266" s="3">
        <v>88</v>
      </c>
      <c r="D4266" s="3">
        <v>74</v>
      </c>
      <c r="E4266" s="3">
        <v>-9137.443</v>
      </c>
      <c r="F4266" s="4" t="str">
        <f>HYPERLINK("http://141.218.60.56/~jnz1568/getInfo.php?workbook=12_04.xlsx&amp;sheet=A0&amp;row=4266&amp;col=6&amp;number=361000&amp;sourceID=14","361000")</f>
        <v>361000</v>
      </c>
      <c r="G4266" s="4" t="str">
        <f>HYPERLINK("http://141.218.60.56/~jnz1568/getInfo.php?workbook=12_04.xlsx&amp;sheet=A0&amp;row=4266&amp;col=7&amp;number=0&amp;sourceID=14","0")</f>
        <v>0</v>
      </c>
    </row>
    <row r="4267" spans="1:7">
      <c r="A4267" s="3">
        <v>12</v>
      </c>
      <c r="B4267" s="3">
        <v>4</v>
      </c>
      <c r="C4267" s="3">
        <v>89</v>
      </c>
      <c r="D4267" s="3">
        <v>74</v>
      </c>
      <c r="E4267" s="3">
        <v>-8766.562</v>
      </c>
      <c r="F4267" s="4" t="str">
        <f>HYPERLINK("http://141.218.60.56/~jnz1568/getInfo.php?workbook=12_04.xlsx&amp;sheet=A0&amp;row=4267&amp;col=6&amp;number=1890000&amp;sourceID=14","1890000")</f>
        <v>1890000</v>
      </c>
      <c r="G4267" s="4" t="str">
        <f>HYPERLINK("http://141.218.60.56/~jnz1568/getInfo.php?workbook=12_04.xlsx&amp;sheet=A0&amp;row=4267&amp;col=7&amp;number=0&amp;sourceID=14","0")</f>
        <v>0</v>
      </c>
    </row>
    <row r="4268" spans="1:7">
      <c r="A4268" s="3">
        <v>12</v>
      </c>
      <c r="B4268" s="3">
        <v>4</v>
      </c>
      <c r="C4268" s="3">
        <v>90</v>
      </c>
      <c r="D4268" s="3">
        <v>74</v>
      </c>
      <c r="E4268" s="3">
        <v>-7824.128</v>
      </c>
      <c r="F4268" s="4" t="str">
        <f>HYPERLINK("http://141.218.60.56/~jnz1568/getInfo.php?workbook=12_04.xlsx&amp;sheet=A0&amp;row=4268&amp;col=6&amp;number=8.94e-07&amp;sourceID=14","8.94e-07")</f>
        <v>8.94e-07</v>
      </c>
      <c r="G4268" s="4" t="str">
        <f>HYPERLINK("http://141.218.60.56/~jnz1568/getInfo.php?workbook=12_04.xlsx&amp;sheet=A0&amp;row=4268&amp;col=7&amp;number=0&amp;sourceID=14","0")</f>
        <v>0</v>
      </c>
    </row>
    <row r="4269" spans="1:7">
      <c r="A4269" s="3">
        <v>12</v>
      </c>
      <c r="B4269" s="3">
        <v>4</v>
      </c>
      <c r="C4269" s="3">
        <v>91</v>
      </c>
      <c r="D4269" s="3">
        <v>74</v>
      </c>
      <c r="E4269" s="3">
        <v>-7142.87</v>
      </c>
      <c r="F4269" s="4" t="str">
        <f>HYPERLINK("http://141.218.60.56/~jnz1568/getInfo.php?workbook=12_04.xlsx&amp;sheet=A0&amp;row=4269&amp;col=6&amp;number=2850&amp;sourceID=14","2850")</f>
        <v>2850</v>
      </c>
      <c r="G4269" s="4" t="str">
        <f>HYPERLINK("http://141.218.60.56/~jnz1568/getInfo.php?workbook=12_04.xlsx&amp;sheet=A0&amp;row=4269&amp;col=7&amp;number=0&amp;sourceID=14","0")</f>
        <v>0</v>
      </c>
    </row>
    <row r="4270" spans="1:7">
      <c r="A4270" s="3">
        <v>12</v>
      </c>
      <c r="B4270" s="3">
        <v>4</v>
      </c>
      <c r="C4270" s="3">
        <v>92</v>
      </c>
      <c r="D4270" s="3">
        <v>74</v>
      </c>
      <c r="E4270" s="3">
        <v>-6999.383</v>
      </c>
      <c r="F4270" s="4" t="str">
        <f>HYPERLINK("http://141.218.60.56/~jnz1568/getInfo.php?workbook=12_04.xlsx&amp;sheet=A0&amp;row=4270&amp;col=6&amp;number=795000&amp;sourceID=14","795000")</f>
        <v>795000</v>
      </c>
      <c r="G4270" s="4" t="str">
        <f>HYPERLINK("http://141.218.60.56/~jnz1568/getInfo.php?workbook=12_04.xlsx&amp;sheet=A0&amp;row=4270&amp;col=7&amp;number=0&amp;sourceID=14","0")</f>
        <v>0</v>
      </c>
    </row>
    <row r="4271" spans="1:7">
      <c r="A4271" s="3">
        <v>12</v>
      </c>
      <c r="B4271" s="3">
        <v>4</v>
      </c>
      <c r="C4271" s="3">
        <v>93</v>
      </c>
      <c r="D4271" s="3">
        <v>74</v>
      </c>
      <c r="E4271" s="3">
        <v>-6872.865</v>
      </c>
      <c r="F4271" s="4" t="str">
        <f>HYPERLINK("http://141.218.60.56/~jnz1568/getInfo.php?workbook=12_04.xlsx&amp;sheet=A0&amp;row=4271&amp;col=6&amp;number=15700&amp;sourceID=14","15700")</f>
        <v>15700</v>
      </c>
      <c r="G4271" s="4" t="str">
        <f>HYPERLINK("http://141.218.60.56/~jnz1568/getInfo.php?workbook=12_04.xlsx&amp;sheet=A0&amp;row=4271&amp;col=7&amp;number=0&amp;sourceID=14","0")</f>
        <v>0</v>
      </c>
    </row>
    <row r="4272" spans="1:7">
      <c r="A4272" s="3">
        <v>12</v>
      </c>
      <c r="B4272" s="3">
        <v>4</v>
      </c>
      <c r="C4272" s="3">
        <v>94</v>
      </c>
      <c r="D4272" s="3">
        <v>74</v>
      </c>
      <c r="E4272" s="3">
        <v>-6444.557</v>
      </c>
      <c r="F4272" s="4" t="str">
        <f>HYPERLINK("http://141.218.60.56/~jnz1568/getInfo.php?workbook=12_04.xlsx&amp;sheet=A0&amp;row=4272&amp;col=6&amp;number=8.73e-08&amp;sourceID=14","8.73e-08")</f>
        <v>8.73e-08</v>
      </c>
      <c r="G4272" s="4" t="str">
        <f>HYPERLINK("http://141.218.60.56/~jnz1568/getInfo.php?workbook=12_04.xlsx&amp;sheet=A0&amp;row=4272&amp;col=7&amp;number=0&amp;sourceID=14","0")</f>
        <v>0</v>
      </c>
    </row>
    <row r="4273" spans="1:7">
      <c r="A4273" s="3">
        <v>12</v>
      </c>
      <c r="B4273" s="3">
        <v>4</v>
      </c>
      <c r="C4273" s="3">
        <v>95</v>
      </c>
      <c r="D4273" s="3">
        <v>74</v>
      </c>
      <c r="E4273" s="3">
        <v>-6191.579</v>
      </c>
      <c r="F4273" s="4" t="str">
        <f>HYPERLINK("http://141.218.60.56/~jnz1568/getInfo.php?workbook=12_04.xlsx&amp;sheet=A0&amp;row=4273&amp;col=6&amp;number=7.96e-13&amp;sourceID=14","7.96e-13")</f>
        <v>7.96e-13</v>
      </c>
      <c r="G4273" s="4" t="str">
        <f>HYPERLINK("http://141.218.60.56/~jnz1568/getInfo.php?workbook=12_04.xlsx&amp;sheet=A0&amp;row=4273&amp;col=7&amp;number=0&amp;sourceID=14","0")</f>
        <v>0</v>
      </c>
    </row>
    <row r="4274" spans="1:7">
      <c r="A4274" s="3">
        <v>12</v>
      </c>
      <c r="B4274" s="3">
        <v>4</v>
      </c>
      <c r="C4274" s="3">
        <v>96</v>
      </c>
      <c r="D4274" s="3">
        <v>74</v>
      </c>
      <c r="E4274" s="3">
        <v>-5974.44</v>
      </c>
      <c r="F4274" s="4" t="str">
        <f>HYPERLINK("http://141.218.60.56/~jnz1568/getInfo.php?workbook=12_04.xlsx&amp;sheet=A0&amp;row=4274&amp;col=6&amp;number=16.6&amp;sourceID=14","16.6")</f>
        <v>16.6</v>
      </c>
      <c r="G4274" s="4" t="str">
        <f>HYPERLINK("http://141.218.60.56/~jnz1568/getInfo.php?workbook=12_04.xlsx&amp;sheet=A0&amp;row=4274&amp;col=7&amp;number=0&amp;sourceID=14","0")</f>
        <v>0</v>
      </c>
    </row>
    <row r="4275" spans="1:7">
      <c r="A4275" s="3">
        <v>12</v>
      </c>
      <c r="B4275" s="3">
        <v>4</v>
      </c>
      <c r="C4275" s="3">
        <v>97</v>
      </c>
      <c r="D4275" s="3">
        <v>74</v>
      </c>
      <c r="E4275" s="3">
        <v>-5198.866</v>
      </c>
      <c r="F4275" s="4" t="str">
        <f>HYPERLINK("http://141.218.60.56/~jnz1568/getInfo.php?workbook=12_04.xlsx&amp;sheet=A0&amp;row=4275&amp;col=6&amp;number=0.169&amp;sourceID=14","0.169")</f>
        <v>0.169</v>
      </c>
      <c r="G4275" s="4" t="str">
        <f>HYPERLINK("http://141.218.60.56/~jnz1568/getInfo.php?workbook=12_04.xlsx&amp;sheet=A0&amp;row=4275&amp;col=7&amp;number=0&amp;sourceID=14","0")</f>
        <v>0</v>
      </c>
    </row>
    <row r="4276" spans="1:7">
      <c r="A4276" s="3">
        <v>12</v>
      </c>
      <c r="B4276" s="3">
        <v>4</v>
      </c>
      <c r="C4276" s="3">
        <v>98</v>
      </c>
      <c r="D4276" s="3">
        <v>74</v>
      </c>
      <c r="E4276" s="3">
        <v>-4894.532</v>
      </c>
      <c r="F4276" s="4" t="str">
        <f>HYPERLINK("http://141.218.60.56/~jnz1568/getInfo.php?workbook=12_04.xlsx&amp;sheet=A0&amp;row=4276&amp;col=6&amp;number=0.00022&amp;sourceID=14","0.00022")</f>
        <v>0.00022</v>
      </c>
      <c r="G4276" s="4" t="str">
        <f>HYPERLINK("http://141.218.60.56/~jnz1568/getInfo.php?workbook=12_04.xlsx&amp;sheet=A0&amp;row=4276&amp;col=7&amp;number=0&amp;sourceID=14","0")</f>
        <v>0</v>
      </c>
    </row>
    <row r="4277" spans="1:7">
      <c r="A4277" s="3">
        <v>12</v>
      </c>
      <c r="B4277" s="3">
        <v>4</v>
      </c>
      <c r="C4277" s="3">
        <v>76</v>
      </c>
      <c r="D4277" s="3">
        <v>75</v>
      </c>
      <c r="E4277" s="3">
        <v>-769232.188</v>
      </c>
      <c r="F4277" s="4" t="str">
        <f>HYPERLINK("http://141.218.60.56/~jnz1568/getInfo.php?workbook=12_04.xlsx&amp;sheet=A0&amp;row=4277&amp;col=6&amp;number=1.21&amp;sourceID=14","1.21")</f>
        <v>1.21</v>
      </c>
      <c r="G4277" s="4" t="str">
        <f>HYPERLINK("http://141.218.60.56/~jnz1568/getInfo.php?workbook=12_04.xlsx&amp;sheet=A0&amp;row=4277&amp;col=7&amp;number=0&amp;sourceID=14","0")</f>
        <v>0</v>
      </c>
    </row>
    <row r="4278" spans="1:7">
      <c r="A4278" s="3">
        <v>12</v>
      </c>
      <c r="B4278" s="3">
        <v>4</v>
      </c>
      <c r="C4278" s="3">
        <v>77</v>
      </c>
      <c r="D4278" s="3">
        <v>75</v>
      </c>
      <c r="E4278" s="3">
        <v>-63572.906</v>
      </c>
      <c r="F4278" s="4" t="str">
        <f>HYPERLINK("http://141.218.60.56/~jnz1568/getInfo.php?workbook=12_04.xlsx&amp;sheet=A0&amp;row=4278&amp;col=6&amp;number=4.59e-09&amp;sourceID=14","4.59e-09")</f>
        <v>4.59e-09</v>
      </c>
      <c r="G4278" s="4" t="str">
        <f>HYPERLINK("http://141.218.60.56/~jnz1568/getInfo.php?workbook=12_04.xlsx&amp;sheet=A0&amp;row=4278&amp;col=7&amp;number=0&amp;sourceID=14","0")</f>
        <v>0</v>
      </c>
    </row>
    <row r="4279" spans="1:7">
      <c r="A4279" s="3">
        <v>12</v>
      </c>
      <c r="B4279" s="3">
        <v>4</v>
      </c>
      <c r="C4279" s="3">
        <v>78</v>
      </c>
      <c r="D4279" s="3">
        <v>75</v>
      </c>
      <c r="E4279" s="3">
        <v>-21848.412</v>
      </c>
      <c r="F4279" s="4" t="str">
        <f>HYPERLINK("http://141.218.60.56/~jnz1568/getInfo.php?workbook=12_04.xlsx&amp;sheet=A0&amp;row=4279&amp;col=6&amp;number=0.158&amp;sourceID=14","0.158")</f>
        <v>0.158</v>
      </c>
      <c r="G4279" s="4" t="str">
        <f>HYPERLINK("http://141.218.60.56/~jnz1568/getInfo.php?workbook=12_04.xlsx&amp;sheet=A0&amp;row=4279&amp;col=7&amp;number=0&amp;sourceID=14","0")</f>
        <v>0</v>
      </c>
    </row>
    <row r="4280" spans="1:7">
      <c r="A4280" s="3">
        <v>12</v>
      </c>
      <c r="B4280" s="3">
        <v>4</v>
      </c>
      <c r="C4280" s="3">
        <v>79</v>
      </c>
      <c r="D4280" s="3">
        <v>75</v>
      </c>
      <c r="E4280" s="3">
        <v>-19245.609</v>
      </c>
      <c r="F4280" s="4" t="str">
        <f>HYPERLINK("http://141.218.60.56/~jnz1568/getInfo.php?workbook=12_04.xlsx&amp;sheet=A0&amp;row=4280&amp;col=6&amp;number=0.156&amp;sourceID=14","0.156")</f>
        <v>0.156</v>
      </c>
      <c r="G4280" s="4" t="str">
        <f>HYPERLINK("http://141.218.60.56/~jnz1568/getInfo.php?workbook=12_04.xlsx&amp;sheet=A0&amp;row=4280&amp;col=7&amp;number=0&amp;sourceID=14","0")</f>
        <v>0</v>
      </c>
    </row>
    <row r="4281" spans="1:7">
      <c r="A4281" s="3">
        <v>12</v>
      </c>
      <c r="B4281" s="3">
        <v>4</v>
      </c>
      <c r="C4281" s="3">
        <v>80</v>
      </c>
      <c r="D4281" s="3">
        <v>75</v>
      </c>
      <c r="E4281" s="3">
        <v>-15535.216</v>
      </c>
      <c r="F4281" s="4" t="str">
        <f>HYPERLINK("http://141.218.60.56/~jnz1568/getInfo.php?workbook=12_04.xlsx&amp;sheet=A0&amp;row=4281&amp;col=6&amp;number=223000&amp;sourceID=14","223000")</f>
        <v>223000</v>
      </c>
      <c r="G4281" s="4" t="str">
        <f>HYPERLINK("http://141.218.60.56/~jnz1568/getInfo.php?workbook=12_04.xlsx&amp;sheet=A0&amp;row=4281&amp;col=7&amp;number=0&amp;sourceID=14","0")</f>
        <v>0</v>
      </c>
    </row>
    <row r="4282" spans="1:7">
      <c r="A4282" s="3">
        <v>12</v>
      </c>
      <c r="B4282" s="3">
        <v>4</v>
      </c>
      <c r="C4282" s="3">
        <v>81</v>
      </c>
      <c r="D4282" s="3">
        <v>75</v>
      </c>
      <c r="E4282" s="3">
        <v>14204.571</v>
      </c>
      <c r="F4282" s="4" t="str">
        <f>HYPERLINK("http://141.218.60.56/~jnz1568/getInfo.php?workbook=12_04.xlsx&amp;sheet=A0&amp;row=4282&amp;col=6&amp;number=0.049&amp;sourceID=14","0.049")</f>
        <v>0.049</v>
      </c>
      <c r="G4282" s="4" t="str">
        <f>HYPERLINK("http://141.218.60.56/~jnz1568/getInfo.php?workbook=12_04.xlsx&amp;sheet=A0&amp;row=4282&amp;col=7&amp;number=0&amp;sourceID=14","0")</f>
        <v>0</v>
      </c>
    </row>
    <row r="4283" spans="1:7">
      <c r="A4283" s="3">
        <v>12</v>
      </c>
      <c r="B4283" s="3">
        <v>4</v>
      </c>
      <c r="C4283" s="3">
        <v>82</v>
      </c>
      <c r="D4283" s="3">
        <v>75</v>
      </c>
      <c r="E4283" s="3">
        <v>-14708.072</v>
      </c>
      <c r="F4283" s="4" t="str">
        <f>HYPERLINK("http://141.218.60.56/~jnz1568/getInfo.php?workbook=12_04.xlsx&amp;sheet=A0&amp;row=4283&amp;col=6&amp;number=121&amp;sourceID=14","121")</f>
        <v>121</v>
      </c>
      <c r="G4283" s="4" t="str">
        <f>HYPERLINK("http://141.218.60.56/~jnz1568/getInfo.php?workbook=12_04.xlsx&amp;sheet=A0&amp;row=4283&amp;col=7&amp;number=0&amp;sourceID=14","0")</f>
        <v>0</v>
      </c>
    </row>
    <row r="4284" spans="1:7">
      <c r="A4284" s="3">
        <v>12</v>
      </c>
      <c r="B4284" s="3">
        <v>4</v>
      </c>
      <c r="C4284" s="3">
        <v>83</v>
      </c>
      <c r="D4284" s="3">
        <v>75</v>
      </c>
      <c r="E4284" s="3">
        <v>-14697.264</v>
      </c>
      <c r="F4284" s="4" t="str">
        <f>HYPERLINK("http://141.218.60.56/~jnz1568/getInfo.php?workbook=12_04.xlsx&amp;sheet=A0&amp;row=4284&amp;col=6&amp;number=104000&amp;sourceID=14","104000")</f>
        <v>104000</v>
      </c>
      <c r="G4284" s="4" t="str">
        <f>HYPERLINK("http://141.218.60.56/~jnz1568/getInfo.php?workbook=12_04.xlsx&amp;sheet=A0&amp;row=4284&amp;col=7&amp;number=0&amp;sourceID=14","0")</f>
        <v>0</v>
      </c>
    </row>
    <row r="4285" spans="1:7">
      <c r="A4285" s="3">
        <v>12</v>
      </c>
      <c r="B4285" s="3">
        <v>4</v>
      </c>
      <c r="C4285" s="3">
        <v>84</v>
      </c>
      <c r="D4285" s="3">
        <v>75</v>
      </c>
      <c r="E4285" s="3">
        <v>-14027.238</v>
      </c>
      <c r="F4285" s="4" t="str">
        <f>HYPERLINK("http://141.218.60.56/~jnz1568/getInfo.php?workbook=12_04.xlsx&amp;sheet=A0&amp;row=4285&amp;col=6&amp;number=3.42e-08&amp;sourceID=14","3.42e-08")</f>
        <v>3.42e-08</v>
      </c>
      <c r="G4285" s="4" t="str">
        <f>HYPERLINK("http://141.218.60.56/~jnz1568/getInfo.php?workbook=12_04.xlsx&amp;sheet=A0&amp;row=4285&amp;col=7&amp;number=0&amp;sourceID=14","0")</f>
        <v>0</v>
      </c>
    </row>
    <row r="4286" spans="1:7">
      <c r="A4286" s="3">
        <v>12</v>
      </c>
      <c r="B4286" s="3">
        <v>4</v>
      </c>
      <c r="C4286" s="3">
        <v>85</v>
      </c>
      <c r="D4286" s="3">
        <v>75</v>
      </c>
      <c r="E4286" s="3">
        <v>12135.944</v>
      </c>
      <c r="F4286" s="4" t="str">
        <f>HYPERLINK("http://141.218.60.56/~jnz1568/getInfo.php?workbook=12_04.xlsx&amp;sheet=A0&amp;row=4286&amp;col=6&amp;number=0.289&amp;sourceID=14","0.289")</f>
        <v>0.289</v>
      </c>
      <c r="G4286" s="4" t="str">
        <f>HYPERLINK("http://141.218.60.56/~jnz1568/getInfo.php?workbook=12_04.xlsx&amp;sheet=A0&amp;row=4286&amp;col=7&amp;number=0&amp;sourceID=14","0")</f>
        <v>0</v>
      </c>
    </row>
    <row r="4287" spans="1:7">
      <c r="A4287" s="3">
        <v>12</v>
      </c>
      <c r="B4287" s="3">
        <v>4</v>
      </c>
      <c r="C4287" s="3">
        <v>86</v>
      </c>
      <c r="D4287" s="3">
        <v>75</v>
      </c>
      <c r="E4287" s="3">
        <v>11415.546</v>
      </c>
      <c r="F4287" s="4" t="str">
        <f>HYPERLINK("http://141.218.60.56/~jnz1568/getInfo.php?workbook=12_04.xlsx&amp;sheet=A0&amp;row=4287&amp;col=6&amp;number=0.114&amp;sourceID=14","0.114")</f>
        <v>0.114</v>
      </c>
      <c r="G4287" s="4" t="str">
        <f>HYPERLINK("http://141.218.60.56/~jnz1568/getInfo.php?workbook=12_04.xlsx&amp;sheet=A0&amp;row=4287&amp;col=7&amp;number=0&amp;sourceID=14","0")</f>
        <v>0</v>
      </c>
    </row>
    <row r="4288" spans="1:7">
      <c r="A4288" s="3">
        <v>12</v>
      </c>
      <c r="B4288" s="3">
        <v>4</v>
      </c>
      <c r="C4288" s="3">
        <v>87</v>
      </c>
      <c r="D4288" s="3">
        <v>75</v>
      </c>
      <c r="E4288" s="3">
        <v>-10461.364</v>
      </c>
      <c r="F4288" s="4" t="str">
        <f>HYPERLINK("http://141.218.60.56/~jnz1568/getInfo.php?workbook=12_04.xlsx&amp;sheet=A0&amp;row=4288&amp;col=6&amp;number=0.00311&amp;sourceID=14","0.00311")</f>
        <v>0.00311</v>
      </c>
      <c r="G4288" s="4" t="str">
        <f>HYPERLINK("http://141.218.60.56/~jnz1568/getInfo.php?workbook=12_04.xlsx&amp;sheet=A0&amp;row=4288&amp;col=7&amp;number=0&amp;sourceID=14","0")</f>
        <v>0</v>
      </c>
    </row>
    <row r="4289" spans="1:7">
      <c r="A4289" s="3">
        <v>12</v>
      </c>
      <c r="B4289" s="3">
        <v>4</v>
      </c>
      <c r="C4289" s="3">
        <v>88</v>
      </c>
      <c r="D4289" s="3">
        <v>75</v>
      </c>
      <c r="E4289" s="3">
        <v>-9669.327</v>
      </c>
      <c r="F4289" s="4" t="str">
        <f>HYPERLINK("http://141.218.60.56/~jnz1568/getInfo.php?workbook=12_04.xlsx&amp;sheet=A0&amp;row=4289&amp;col=6&amp;number=1080000&amp;sourceID=14","1080000")</f>
        <v>1080000</v>
      </c>
      <c r="G4289" s="4" t="str">
        <f>HYPERLINK("http://141.218.60.56/~jnz1568/getInfo.php?workbook=12_04.xlsx&amp;sheet=A0&amp;row=4289&amp;col=7&amp;number=0&amp;sourceID=14","0")</f>
        <v>0</v>
      </c>
    </row>
    <row r="4290" spans="1:7">
      <c r="A4290" s="3">
        <v>12</v>
      </c>
      <c r="B4290" s="3">
        <v>4</v>
      </c>
      <c r="C4290" s="3">
        <v>89</v>
      </c>
      <c r="D4290" s="3">
        <v>75</v>
      </c>
      <c r="E4290" s="3">
        <v>-9254.991</v>
      </c>
      <c r="F4290" s="4" t="str">
        <f>HYPERLINK("http://141.218.60.56/~jnz1568/getInfo.php?workbook=12_04.xlsx&amp;sheet=A0&amp;row=4290&amp;col=6&amp;number=3.31e-07&amp;sourceID=14","3.31e-07")</f>
        <v>3.31e-07</v>
      </c>
      <c r="G4290" s="4" t="str">
        <f>HYPERLINK("http://141.218.60.56/~jnz1568/getInfo.php?workbook=12_04.xlsx&amp;sheet=A0&amp;row=4290&amp;col=7&amp;number=0&amp;sourceID=14","0")</f>
        <v>0</v>
      </c>
    </row>
    <row r="4291" spans="1:7">
      <c r="A4291" s="3">
        <v>12</v>
      </c>
      <c r="B4291" s="3">
        <v>4</v>
      </c>
      <c r="C4291" s="3">
        <v>90</v>
      </c>
      <c r="D4291" s="3">
        <v>75</v>
      </c>
      <c r="E4291" s="3">
        <v>-8210.87</v>
      </c>
      <c r="F4291" s="4" t="str">
        <f>HYPERLINK("http://141.218.60.56/~jnz1568/getInfo.php?workbook=12_04.xlsx&amp;sheet=A0&amp;row=4291&amp;col=6&amp;number=5.8e-12&amp;sourceID=14","5.8e-12")</f>
        <v>5.8e-12</v>
      </c>
      <c r="G4291" s="4" t="str">
        <f>HYPERLINK("http://141.218.60.56/~jnz1568/getInfo.php?workbook=12_04.xlsx&amp;sheet=A0&amp;row=4291&amp;col=7&amp;number=0&amp;sourceID=14","0")</f>
        <v>0</v>
      </c>
    </row>
    <row r="4292" spans="1:7">
      <c r="A4292" s="3">
        <v>12</v>
      </c>
      <c r="B4292" s="3">
        <v>4</v>
      </c>
      <c r="C4292" s="3">
        <v>91</v>
      </c>
      <c r="D4292" s="3">
        <v>75</v>
      </c>
      <c r="E4292" s="3">
        <v>-7463.815</v>
      </c>
      <c r="F4292" s="4" t="str">
        <f>HYPERLINK("http://141.218.60.56/~jnz1568/getInfo.php?workbook=12_04.xlsx&amp;sheet=A0&amp;row=4292&amp;col=6&amp;number=2950&amp;sourceID=14","2950")</f>
        <v>2950</v>
      </c>
      <c r="G4292" s="4" t="str">
        <f>HYPERLINK("http://141.218.60.56/~jnz1568/getInfo.php?workbook=12_04.xlsx&amp;sheet=A0&amp;row=4292&amp;col=7&amp;number=0&amp;sourceID=14","0")</f>
        <v>0</v>
      </c>
    </row>
    <row r="4293" spans="1:7">
      <c r="A4293" s="3">
        <v>12</v>
      </c>
      <c r="B4293" s="3">
        <v>4</v>
      </c>
      <c r="C4293" s="3">
        <v>92</v>
      </c>
      <c r="D4293" s="3">
        <v>75</v>
      </c>
      <c r="E4293" s="3">
        <v>-7307.284</v>
      </c>
      <c r="F4293" s="4" t="str">
        <f>HYPERLINK("http://141.218.60.56/~jnz1568/getInfo.php?workbook=12_04.xlsx&amp;sheet=A0&amp;row=4293&amp;col=6&amp;number=4.5e-06&amp;sourceID=14","4.5e-06")</f>
        <v>4.5e-06</v>
      </c>
      <c r="G4293" s="4" t="str">
        <f>HYPERLINK("http://141.218.60.56/~jnz1568/getInfo.php?workbook=12_04.xlsx&amp;sheet=A0&amp;row=4293&amp;col=7&amp;number=0&amp;sourceID=14","0")</f>
        <v>0</v>
      </c>
    </row>
    <row r="4294" spans="1:7">
      <c r="A4294" s="3">
        <v>12</v>
      </c>
      <c r="B4294" s="3">
        <v>4</v>
      </c>
      <c r="C4294" s="3">
        <v>93</v>
      </c>
      <c r="D4294" s="3">
        <v>75</v>
      </c>
      <c r="E4294" s="3">
        <v>-7169.5</v>
      </c>
      <c r="F4294" s="4" t="str">
        <f>HYPERLINK("http://141.218.60.56/~jnz1568/getInfo.php?workbook=12_04.xlsx&amp;sheet=A0&amp;row=4294&amp;col=6&amp;number=195000&amp;sourceID=14","195000")</f>
        <v>195000</v>
      </c>
      <c r="G4294" s="4" t="str">
        <f>HYPERLINK("http://141.218.60.56/~jnz1568/getInfo.php?workbook=12_04.xlsx&amp;sheet=A0&amp;row=4294&amp;col=7&amp;number=0&amp;sourceID=14","0")</f>
        <v>0</v>
      </c>
    </row>
    <row r="4295" spans="1:7">
      <c r="A4295" s="3">
        <v>12</v>
      </c>
      <c r="B4295" s="3">
        <v>4</v>
      </c>
      <c r="C4295" s="3">
        <v>94</v>
      </c>
      <c r="D4295" s="3">
        <v>75</v>
      </c>
      <c r="E4295" s="3">
        <v>-6704.672</v>
      </c>
      <c r="F4295" s="4" t="str">
        <f>HYPERLINK("http://141.218.60.56/~jnz1568/getInfo.php?workbook=12_04.xlsx&amp;sheet=A0&amp;row=4295&amp;col=6&amp;number=1100&amp;sourceID=14","1100")</f>
        <v>1100</v>
      </c>
      <c r="G4295" s="4" t="str">
        <f>HYPERLINK("http://141.218.60.56/~jnz1568/getInfo.php?workbook=12_04.xlsx&amp;sheet=A0&amp;row=4295&amp;col=7&amp;number=0&amp;sourceID=14","0")</f>
        <v>0</v>
      </c>
    </row>
    <row r="4296" spans="1:7">
      <c r="A4296" s="3">
        <v>12</v>
      </c>
      <c r="B4296" s="3">
        <v>4</v>
      </c>
      <c r="C4296" s="3">
        <v>95</v>
      </c>
      <c r="D4296" s="3">
        <v>75</v>
      </c>
      <c r="E4296" s="3">
        <v>-6431.293</v>
      </c>
      <c r="F4296" s="4" t="str">
        <f>HYPERLINK("http://141.218.60.56/~jnz1568/getInfo.php?workbook=12_04.xlsx&amp;sheet=A0&amp;row=4296&amp;col=6&amp;number=5.56e-06&amp;sourceID=14","5.56e-06")</f>
        <v>5.56e-06</v>
      </c>
      <c r="G4296" s="4" t="str">
        <f>HYPERLINK("http://141.218.60.56/~jnz1568/getInfo.php?workbook=12_04.xlsx&amp;sheet=A0&amp;row=4296&amp;col=7&amp;number=0&amp;sourceID=14","0")</f>
        <v>0</v>
      </c>
    </row>
    <row r="4297" spans="1:7">
      <c r="A4297" s="3">
        <v>12</v>
      </c>
      <c r="B4297" s="3">
        <v>4</v>
      </c>
      <c r="C4297" s="3">
        <v>96</v>
      </c>
      <c r="D4297" s="3">
        <v>75</v>
      </c>
      <c r="E4297" s="3">
        <v>-6197.334</v>
      </c>
      <c r="F4297" s="4" t="str">
        <f>HYPERLINK("http://141.218.60.56/~jnz1568/getInfo.php?workbook=12_04.xlsx&amp;sheet=A0&amp;row=4297&amp;col=6&amp;number=1360000&amp;sourceID=14","1360000")</f>
        <v>1360000</v>
      </c>
      <c r="G4297" s="4" t="str">
        <f>HYPERLINK("http://141.218.60.56/~jnz1568/getInfo.php?workbook=12_04.xlsx&amp;sheet=A0&amp;row=4297&amp;col=7&amp;number=0&amp;sourceID=14","0")</f>
        <v>0</v>
      </c>
    </row>
    <row r="4298" spans="1:7">
      <c r="A4298" s="3">
        <v>12</v>
      </c>
      <c r="B4298" s="3">
        <v>4</v>
      </c>
      <c r="C4298" s="3">
        <v>97</v>
      </c>
      <c r="D4298" s="3">
        <v>75</v>
      </c>
      <c r="E4298" s="3">
        <v>6510.429</v>
      </c>
      <c r="F4298" s="4" t="str">
        <f>HYPERLINK("http://141.218.60.56/~jnz1568/getInfo.php?workbook=12_04.xlsx&amp;sheet=A0&amp;row=4298&amp;col=6&amp;number=0.415&amp;sourceID=14","0.415")</f>
        <v>0.415</v>
      </c>
      <c r="G4298" s="4" t="str">
        <f>HYPERLINK("http://141.218.60.56/~jnz1568/getInfo.php?workbook=12_04.xlsx&amp;sheet=A0&amp;row=4298&amp;col=7&amp;number=0&amp;sourceID=14","0")</f>
        <v>0</v>
      </c>
    </row>
    <row r="4299" spans="1:7">
      <c r="A4299" s="3">
        <v>12</v>
      </c>
      <c r="B4299" s="3">
        <v>4</v>
      </c>
      <c r="C4299" s="3">
        <v>98</v>
      </c>
      <c r="D4299" s="3">
        <v>75</v>
      </c>
      <c r="E4299" s="3">
        <v>5847.964</v>
      </c>
      <c r="F4299" s="4" t="str">
        <f>HYPERLINK("http://141.218.60.56/~jnz1568/getInfo.php?workbook=12_04.xlsx&amp;sheet=A0&amp;row=4299&amp;col=6&amp;number=1.01&amp;sourceID=14","1.01")</f>
        <v>1.01</v>
      </c>
      <c r="G4299" s="4" t="str">
        <f>HYPERLINK("http://141.218.60.56/~jnz1568/getInfo.php?workbook=12_04.xlsx&amp;sheet=A0&amp;row=4299&amp;col=7&amp;number=0&amp;sourceID=14","0")</f>
        <v>0</v>
      </c>
    </row>
    <row r="4300" spans="1:7">
      <c r="A4300" s="3">
        <v>12</v>
      </c>
      <c r="B4300" s="3">
        <v>4</v>
      </c>
      <c r="C4300" s="3">
        <v>77</v>
      </c>
      <c r="D4300" s="3">
        <v>76</v>
      </c>
      <c r="E4300" s="3">
        <v>-201207.609</v>
      </c>
      <c r="F4300" s="4" t="str">
        <f>HYPERLINK("http://141.218.60.56/~jnz1568/getInfo.php?workbook=12_04.xlsx&amp;sheet=A0&amp;row=4300&amp;col=6&amp;number=4.97e-11&amp;sourceID=14","4.97e-11")</f>
        <v>4.97e-11</v>
      </c>
      <c r="G4300" s="4" t="str">
        <f>HYPERLINK("http://141.218.60.56/~jnz1568/getInfo.php?workbook=12_04.xlsx&amp;sheet=A0&amp;row=4300&amp;col=7&amp;number=0&amp;sourceID=14","0")</f>
        <v>0</v>
      </c>
    </row>
    <row r="4301" spans="1:7">
      <c r="A4301" s="3">
        <v>12</v>
      </c>
      <c r="B4301" s="3">
        <v>4</v>
      </c>
      <c r="C4301" s="3">
        <v>78</v>
      </c>
      <c r="D4301" s="3">
        <v>76</v>
      </c>
      <c r="E4301" s="3">
        <v>-28563.32</v>
      </c>
      <c r="F4301" s="4" t="str">
        <f>HYPERLINK("http://141.218.60.56/~jnz1568/getInfo.php?workbook=12_04.xlsx&amp;sheet=A0&amp;row=4301&amp;col=6&amp;number=1530&amp;sourceID=14","1530")</f>
        <v>1530</v>
      </c>
      <c r="G4301" s="4" t="str">
        <f>HYPERLINK("http://141.218.60.56/~jnz1568/getInfo.php?workbook=12_04.xlsx&amp;sheet=A0&amp;row=4301&amp;col=7&amp;number=0&amp;sourceID=14","0")</f>
        <v>0</v>
      </c>
    </row>
    <row r="4302" spans="1:7">
      <c r="A4302" s="3">
        <v>12</v>
      </c>
      <c r="B4302" s="3">
        <v>4</v>
      </c>
      <c r="C4302" s="3">
        <v>79</v>
      </c>
      <c r="D4302" s="3">
        <v>76</v>
      </c>
      <c r="E4302" s="3">
        <v>-24271.889</v>
      </c>
      <c r="F4302" s="4" t="str">
        <f>HYPERLINK("http://141.218.60.56/~jnz1568/getInfo.php?workbook=12_04.xlsx&amp;sheet=A0&amp;row=4302&amp;col=6&amp;number=6430&amp;sourceID=14","6430")</f>
        <v>6430</v>
      </c>
      <c r="G4302" s="4" t="str">
        <f>HYPERLINK("http://141.218.60.56/~jnz1568/getInfo.php?workbook=12_04.xlsx&amp;sheet=A0&amp;row=4302&amp;col=7&amp;number=0&amp;sourceID=14","0")</f>
        <v>0</v>
      </c>
    </row>
    <row r="4303" spans="1:7">
      <c r="A4303" s="3">
        <v>12</v>
      </c>
      <c r="B4303" s="3">
        <v>4</v>
      </c>
      <c r="C4303" s="3">
        <v>80</v>
      </c>
      <c r="D4303" s="3">
        <v>76</v>
      </c>
      <c r="E4303" s="3">
        <v>-18653.271</v>
      </c>
      <c r="F4303" s="4" t="str">
        <f>HYPERLINK("http://141.218.60.56/~jnz1568/getInfo.php?workbook=12_04.xlsx&amp;sheet=A0&amp;row=4303&amp;col=6&amp;number=0.00178&amp;sourceID=14","0.00178")</f>
        <v>0.00178</v>
      </c>
      <c r="G4303" s="4" t="str">
        <f>HYPERLINK("http://141.218.60.56/~jnz1568/getInfo.php?workbook=12_04.xlsx&amp;sheet=A0&amp;row=4303&amp;col=7&amp;number=0&amp;sourceID=14","0")</f>
        <v>0</v>
      </c>
    </row>
    <row r="4304" spans="1:7">
      <c r="A4304" s="3">
        <v>12</v>
      </c>
      <c r="B4304" s="3">
        <v>4</v>
      </c>
      <c r="C4304" s="3">
        <v>81</v>
      </c>
      <c r="D4304" s="3">
        <v>76</v>
      </c>
      <c r="E4304" s="3">
        <v>13947.027</v>
      </c>
      <c r="F4304" s="4" t="str">
        <f>HYPERLINK("http://141.218.60.56/~jnz1568/getInfo.php?workbook=12_04.xlsx&amp;sheet=A0&amp;row=4304&amp;col=6&amp;number=4090&amp;sourceID=14","4090")</f>
        <v>4090</v>
      </c>
      <c r="G4304" s="4" t="str">
        <f>HYPERLINK("http://141.218.60.56/~jnz1568/getInfo.php?workbook=12_04.xlsx&amp;sheet=A0&amp;row=4304&amp;col=7&amp;number=0&amp;sourceID=14","0")</f>
        <v>0</v>
      </c>
    </row>
    <row r="4305" spans="1:7">
      <c r="A4305" s="3">
        <v>12</v>
      </c>
      <c r="B4305" s="3">
        <v>4</v>
      </c>
      <c r="C4305" s="3">
        <v>82</v>
      </c>
      <c r="D4305" s="3">
        <v>76</v>
      </c>
      <c r="E4305" s="3">
        <v>-17473.385</v>
      </c>
      <c r="F4305" s="4" t="str">
        <f>HYPERLINK("http://141.218.60.56/~jnz1568/getInfo.php?workbook=12_04.xlsx&amp;sheet=A0&amp;row=4305&amp;col=6&amp;number=0.00724&amp;sourceID=14","0.00724")</f>
        <v>0.00724</v>
      </c>
      <c r="G4305" s="4" t="str">
        <f>HYPERLINK("http://141.218.60.56/~jnz1568/getInfo.php?workbook=12_04.xlsx&amp;sheet=A0&amp;row=4305&amp;col=7&amp;number=0&amp;sourceID=14","0")</f>
        <v>0</v>
      </c>
    </row>
    <row r="4306" spans="1:7">
      <c r="A4306" s="3">
        <v>12</v>
      </c>
      <c r="B4306" s="3">
        <v>4</v>
      </c>
      <c r="C4306" s="3">
        <v>83</v>
      </c>
      <c r="D4306" s="3">
        <v>76</v>
      </c>
      <c r="E4306" s="3">
        <v>-17458.133</v>
      </c>
      <c r="F4306" s="4" t="str">
        <f>HYPERLINK("http://141.218.60.56/~jnz1568/getInfo.php?workbook=12_04.xlsx&amp;sheet=A0&amp;row=4306&amp;col=6&amp;number=0.00986&amp;sourceID=14","0.00986")</f>
        <v>0.00986</v>
      </c>
      <c r="G4306" s="4" t="str">
        <f>HYPERLINK("http://141.218.60.56/~jnz1568/getInfo.php?workbook=12_04.xlsx&amp;sheet=A0&amp;row=4306&amp;col=7&amp;number=0&amp;sourceID=14","0")</f>
        <v>0</v>
      </c>
    </row>
    <row r="4307" spans="1:7">
      <c r="A4307" s="3">
        <v>12</v>
      </c>
      <c r="B4307" s="3">
        <v>4</v>
      </c>
      <c r="C4307" s="3">
        <v>84</v>
      </c>
      <c r="D4307" s="3">
        <v>76</v>
      </c>
      <c r="E4307" s="3">
        <v>-16520.764</v>
      </c>
      <c r="F4307" s="4" t="str">
        <f>HYPERLINK("http://141.218.60.56/~jnz1568/getInfo.php?workbook=12_04.xlsx&amp;sheet=A0&amp;row=4307&amp;col=6&amp;number=0.000137&amp;sourceID=14","0.000137")</f>
        <v>0.000137</v>
      </c>
      <c r="G4307" s="4" t="str">
        <f>HYPERLINK("http://141.218.60.56/~jnz1568/getInfo.php?workbook=12_04.xlsx&amp;sheet=A0&amp;row=4307&amp;col=7&amp;number=0&amp;sourceID=14","0")</f>
        <v>0</v>
      </c>
    </row>
    <row r="4308" spans="1:7">
      <c r="A4308" s="3">
        <v>12</v>
      </c>
      <c r="B4308" s="3">
        <v>4</v>
      </c>
      <c r="C4308" s="3">
        <v>85</v>
      </c>
      <c r="D4308" s="3">
        <v>76</v>
      </c>
      <c r="E4308" s="3">
        <v>11947.453</v>
      </c>
      <c r="F4308" s="4" t="str">
        <f>HYPERLINK("http://141.218.60.56/~jnz1568/getInfo.php?workbook=12_04.xlsx&amp;sheet=A0&amp;row=4308&amp;col=6&amp;number=38600&amp;sourceID=14","38600")</f>
        <v>38600</v>
      </c>
      <c r="G4308" s="4" t="str">
        <f>HYPERLINK("http://141.218.60.56/~jnz1568/getInfo.php?workbook=12_04.xlsx&amp;sheet=A0&amp;row=4308&amp;col=7&amp;number=0&amp;sourceID=14","0")</f>
        <v>0</v>
      </c>
    </row>
    <row r="4309" spans="1:7">
      <c r="A4309" s="3">
        <v>12</v>
      </c>
      <c r="B4309" s="3">
        <v>4</v>
      </c>
      <c r="C4309" s="3">
        <v>86</v>
      </c>
      <c r="D4309" s="3">
        <v>76</v>
      </c>
      <c r="E4309" s="3">
        <v>11248.614</v>
      </c>
      <c r="F4309" s="4" t="str">
        <f>HYPERLINK("http://141.218.60.56/~jnz1568/getInfo.php?workbook=12_04.xlsx&amp;sheet=A0&amp;row=4309&amp;col=6&amp;number=43.7&amp;sourceID=14","43.7")</f>
        <v>43.7</v>
      </c>
      <c r="G4309" s="4" t="str">
        <f>HYPERLINK("http://141.218.60.56/~jnz1568/getInfo.php?workbook=12_04.xlsx&amp;sheet=A0&amp;row=4309&amp;col=7&amp;number=0&amp;sourceID=14","0")</f>
        <v>0</v>
      </c>
    </row>
    <row r="4310" spans="1:7">
      <c r="A4310" s="3">
        <v>12</v>
      </c>
      <c r="B4310" s="3">
        <v>4</v>
      </c>
      <c r="C4310" s="3">
        <v>87</v>
      </c>
      <c r="D4310" s="3">
        <v>76</v>
      </c>
      <c r="E4310" s="3">
        <v>-11788.304</v>
      </c>
      <c r="F4310" s="4" t="str">
        <f>HYPERLINK("http://141.218.60.56/~jnz1568/getInfo.php?workbook=12_04.xlsx&amp;sheet=A0&amp;row=4310&amp;col=6&amp;number=1.33e-07&amp;sourceID=14","1.33e-07")</f>
        <v>1.33e-07</v>
      </c>
      <c r="G4310" s="4" t="str">
        <f>HYPERLINK("http://141.218.60.56/~jnz1568/getInfo.php?workbook=12_04.xlsx&amp;sheet=A0&amp;row=4310&amp;col=7&amp;number=0&amp;sourceID=14","0")</f>
        <v>0</v>
      </c>
    </row>
    <row r="4311" spans="1:7">
      <c r="A4311" s="3">
        <v>12</v>
      </c>
      <c r="B4311" s="3">
        <v>4</v>
      </c>
      <c r="C4311" s="3">
        <v>88</v>
      </c>
      <c r="D4311" s="3">
        <v>76</v>
      </c>
      <c r="E4311" s="3">
        <v>-10792.163</v>
      </c>
      <c r="F4311" s="4" t="str">
        <f>HYPERLINK("http://141.218.60.56/~jnz1568/getInfo.php?workbook=12_04.xlsx&amp;sheet=A0&amp;row=4311&amp;col=6&amp;number=0.0101&amp;sourceID=14","0.0101")</f>
        <v>0.0101</v>
      </c>
      <c r="G4311" s="4" t="str">
        <f>HYPERLINK("http://141.218.60.56/~jnz1568/getInfo.php?workbook=12_04.xlsx&amp;sheet=A0&amp;row=4311&amp;col=7&amp;number=0&amp;sourceID=14","0")</f>
        <v>0</v>
      </c>
    </row>
    <row r="4312" spans="1:7">
      <c r="A4312" s="3">
        <v>12</v>
      </c>
      <c r="B4312" s="3">
        <v>4</v>
      </c>
      <c r="C4312" s="3">
        <v>89</v>
      </c>
      <c r="D4312" s="3">
        <v>76</v>
      </c>
      <c r="E4312" s="3">
        <v>-10278.567</v>
      </c>
      <c r="F4312" s="4" t="str">
        <f>HYPERLINK("http://141.218.60.56/~jnz1568/getInfo.php?workbook=12_04.xlsx&amp;sheet=A0&amp;row=4312&amp;col=6&amp;number=0.00571&amp;sourceID=14","0.00571")</f>
        <v>0.00571</v>
      </c>
      <c r="G4312" s="4" t="str">
        <f>HYPERLINK("http://141.218.60.56/~jnz1568/getInfo.php?workbook=12_04.xlsx&amp;sheet=A0&amp;row=4312&amp;col=7&amp;number=0&amp;sourceID=14","0")</f>
        <v>0</v>
      </c>
    </row>
    <row r="4313" spans="1:7">
      <c r="A4313" s="3">
        <v>12</v>
      </c>
      <c r="B4313" s="3">
        <v>4</v>
      </c>
      <c r="C4313" s="3">
        <v>90</v>
      </c>
      <c r="D4313" s="3">
        <v>76</v>
      </c>
      <c r="E4313" s="3">
        <v>-9006.592</v>
      </c>
      <c r="F4313" s="4" t="str">
        <f>HYPERLINK("http://141.218.60.56/~jnz1568/getInfo.php?workbook=12_04.xlsx&amp;sheet=A0&amp;row=4313&amp;col=6&amp;number=1.01e-13&amp;sourceID=14","1.01e-13")</f>
        <v>1.01e-13</v>
      </c>
      <c r="G4313" s="4" t="str">
        <f>HYPERLINK("http://141.218.60.56/~jnz1568/getInfo.php?workbook=12_04.xlsx&amp;sheet=A0&amp;row=4313&amp;col=7&amp;number=0&amp;sourceID=14","0")</f>
        <v>0</v>
      </c>
    </row>
    <row r="4314" spans="1:7">
      <c r="A4314" s="3">
        <v>12</v>
      </c>
      <c r="B4314" s="3">
        <v>4</v>
      </c>
      <c r="C4314" s="3">
        <v>91</v>
      </c>
      <c r="D4314" s="3">
        <v>76</v>
      </c>
      <c r="E4314" s="3">
        <v>-8115.581</v>
      </c>
      <c r="F4314" s="4" t="str">
        <f>HYPERLINK("http://141.218.60.56/~jnz1568/getInfo.php?workbook=12_04.xlsx&amp;sheet=A0&amp;row=4314&amp;col=6&amp;number=0.0101&amp;sourceID=14","0.0101")</f>
        <v>0.0101</v>
      </c>
      <c r="G4314" s="4" t="str">
        <f>HYPERLINK("http://141.218.60.56/~jnz1568/getInfo.php?workbook=12_04.xlsx&amp;sheet=A0&amp;row=4314&amp;col=7&amp;number=0&amp;sourceID=14","0")</f>
        <v>0</v>
      </c>
    </row>
    <row r="4315" spans="1:7">
      <c r="A4315" s="3">
        <v>12</v>
      </c>
      <c r="B4315" s="3">
        <v>4</v>
      </c>
      <c r="C4315" s="3">
        <v>92</v>
      </c>
      <c r="D4315" s="3">
        <v>76</v>
      </c>
      <c r="E4315" s="3">
        <v>-7930.857</v>
      </c>
      <c r="F4315" s="4" t="str">
        <f>HYPERLINK("http://141.218.60.56/~jnz1568/getInfo.php?workbook=12_04.xlsx&amp;sheet=A0&amp;row=4315&amp;col=6&amp;number=0.227&amp;sourceID=14","0.227")</f>
        <v>0.227</v>
      </c>
      <c r="G4315" s="4" t="str">
        <f>HYPERLINK("http://141.218.60.56/~jnz1568/getInfo.php?workbook=12_04.xlsx&amp;sheet=A0&amp;row=4315&amp;col=7&amp;number=0&amp;sourceID=14","0")</f>
        <v>0</v>
      </c>
    </row>
    <row r="4316" spans="1:7">
      <c r="A4316" s="3">
        <v>12</v>
      </c>
      <c r="B4316" s="3">
        <v>4</v>
      </c>
      <c r="C4316" s="3">
        <v>93</v>
      </c>
      <c r="D4316" s="3">
        <v>76</v>
      </c>
      <c r="E4316" s="3">
        <v>-7768.815</v>
      </c>
      <c r="F4316" s="4" t="str">
        <f>HYPERLINK("http://141.218.60.56/~jnz1568/getInfo.php?workbook=12_04.xlsx&amp;sheet=A0&amp;row=4316&amp;col=6&amp;number=0.0147&amp;sourceID=14","0.0147")</f>
        <v>0.0147</v>
      </c>
      <c r="G4316" s="4" t="str">
        <f>HYPERLINK("http://141.218.60.56/~jnz1568/getInfo.php?workbook=12_04.xlsx&amp;sheet=A0&amp;row=4316&amp;col=7&amp;number=0&amp;sourceID=14","0")</f>
        <v>0</v>
      </c>
    </row>
    <row r="4317" spans="1:7">
      <c r="A4317" s="3">
        <v>12</v>
      </c>
      <c r="B4317" s="3">
        <v>4</v>
      </c>
      <c r="C4317" s="3">
        <v>94</v>
      </c>
      <c r="D4317" s="3">
        <v>76</v>
      </c>
      <c r="E4317" s="3">
        <v>-7225.969</v>
      </c>
      <c r="F4317" s="4" t="str">
        <f>HYPERLINK("http://141.218.60.56/~jnz1568/getInfo.php?workbook=12_04.xlsx&amp;sheet=A0&amp;row=4317&amp;col=6&amp;number=0.0442&amp;sourceID=14","0.0442")</f>
        <v>0.0442</v>
      </c>
      <c r="G4317" s="4" t="str">
        <f>HYPERLINK("http://141.218.60.56/~jnz1568/getInfo.php?workbook=12_04.xlsx&amp;sheet=A0&amp;row=4317&amp;col=7&amp;number=0&amp;sourceID=14","0")</f>
        <v>0</v>
      </c>
    </row>
    <row r="4318" spans="1:7">
      <c r="A4318" s="3">
        <v>12</v>
      </c>
      <c r="B4318" s="3">
        <v>4</v>
      </c>
      <c r="C4318" s="3">
        <v>95</v>
      </c>
      <c r="D4318" s="3">
        <v>76</v>
      </c>
      <c r="E4318" s="3">
        <v>-6909.43</v>
      </c>
      <c r="F4318" s="4" t="str">
        <f>HYPERLINK("http://141.218.60.56/~jnz1568/getInfo.php?workbook=12_04.xlsx&amp;sheet=A0&amp;row=4318&amp;col=6&amp;number=2.18&amp;sourceID=14","2.18")</f>
        <v>2.18</v>
      </c>
      <c r="G4318" s="4" t="str">
        <f>HYPERLINK("http://141.218.60.56/~jnz1568/getInfo.php?workbook=12_04.xlsx&amp;sheet=A0&amp;row=4318&amp;col=7&amp;number=0&amp;sourceID=14","0")</f>
        <v>0</v>
      </c>
    </row>
    <row r="4319" spans="1:7">
      <c r="A4319" s="3">
        <v>12</v>
      </c>
      <c r="B4319" s="3">
        <v>4</v>
      </c>
      <c r="C4319" s="3">
        <v>96</v>
      </c>
      <c r="D4319" s="3">
        <v>76</v>
      </c>
      <c r="E4319" s="3">
        <v>-6640.119</v>
      </c>
      <c r="F4319" s="4" t="str">
        <f>HYPERLINK("http://141.218.60.56/~jnz1568/getInfo.php?workbook=12_04.xlsx&amp;sheet=A0&amp;row=4319&amp;col=6&amp;number=0.0252&amp;sourceID=14","0.0252")</f>
        <v>0.0252</v>
      </c>
      <c r="G4319" s="4" t="str">
        <f>HYPERLINK("http://141.218.60.56/~jnz1568/getInfo.php?workbook=12_04.xlsx&amp;sheet=A0&amp;row=4319&amp;col=7&amp;number=0&amp;sourceID=14","0")</f>
        <v>0</v>
      </c>
    </row>
    <row r="4320" spans="1:7">
      <c r="A4320" s="3">
        <v>12</v>
      </c>
      <c r="B4320" s="3">
        <v>4</v>
      </c>
      <c r="C4320" s="3">
        <v>97</v>
      </c>
      <c r="D4320" s="3">
        <v>76</v>
      </c>
      <c r="E4320" s="3">
        <v>6455.79</v>
      </c>
      <c r="F4320" s="4" t="str">
        <f>HYPERLINK("http://141.218.60.56/~jnz1568/getInfo.php?workbook=12_04.xlsx&amp;sheet=A0&amp;row=4320&amp;col=6&amp;number=15700000&amp;sourceID=14","15700000")</f>
        <v>15700000</v>
      </c>
      <c r="G4320" s="4" t="str">
        <f>HYPERLINK("http://141.218.60.56/~jnz1568/getInfo.php?workbook=12_04.xlsx&amp;sheet=A0&amp;row=4320&amp;col=7&amp;number=0&amp;sourceID=14","0")</f>
        <v>0</v>
      </c>
    </row>
    <row r="4321" spans="1:7">
      <c r="A4321" s="3">
        <v>12</v>
      </c>
      <c r="B4321" s="3">
        <v>4</v>
      </c>
      <c r="C4321" s="3">
        <v>98</v>
      </c>
      <c r="D4321" s="3">
        <v>76</v>
      </c>
      <c r="E4321" s="3">
        <v>5803.841</v>
      </c>
      <c r="F4321" s="4" t="str">
        <f>HYPERLINK("http://141.218.60.56/~jnz1568/getInfo.php?workbook=12_04.xlsx&amp;sheet=A0&amp;row=4321&amp;col=6&amp;number=1730000&amp;sourceID=14","1730000")</f>
        <v>1730000</v>
      </c>
      <c r="G4321" s="4" t="str">
        <f>HYPERLINK("http://141.218.60.56/~jnz1568/getInfo.php?workbook=12_04.xlsx&amp;sheet=A0&amp;row=4321&amp;col=7&amp;number=0&amp;sourceID=14","0")</f>
        <v>0</v>
      </c>
    </row>
    <row r="4322" spans="1:7">
      <c r="A4322" s="3">
        <v>12</v>
      </c>
      <c r="B4322" s="3">
        <v>4</v>
      </c>
      <c r="C4322" s="3">
        <v>78</v>
      </c>
      <c r="D4322" s="3">
        <v>77</v>
      </c>
      <c r="E4322" s="3">
        <v>-33289.008</v>
      </c>
      <c r="F4322" s="4" t="str">
        <f>HYPERLINK("http://141.218.60.56/~jnz1568/getInfo.php?workbook=12_04.xlsx&amp;sheet=A0&amp;row=4322&amp;col=6&amp;number=2.82e-19&amp;sourceID=14","2.82e-19")</f>
        <v>2.82e-19</v>
      </c>
      <c r="G4322" s="4" t="str">
        <f>HYPERLINK("http://141.218.60.56/~jnz1568/getInfo.php?workbook=12_04.xlsx&amp;sheet=A0&amp;row=4322&amp;col=7&amp;number=0&amp;sourceID=14","0")</f>
        <v>0</v>
      </c>
    </row>
    <row r="4323" spans="1:7">
      <c r="A4323" s="3">
        <v>12</v>
      </c>
      <c r="B4323" s="3">
        <v>4</v>
      </c>
      <c r="C4323" s="3">
        <v>79</v>
      </c>
      <c r="D4323" s="3">
        <v>77</v>
      </c>
      <c r="E4323" s="3">
        <v>-27601.486</v>
      </c>
      <c r="F4323" s="4" t="str">
        <f>HYPERLINK("http://141.218.60.56/~jnz1568/getInfo.php?workbook=12_04.xlsx&amp;sheet=A0&amp;row=4323&amp;col=6&amp;number=7.02e-06&amp;sourceID=14","7.02e-06")</f>
        <v>7.02e-06</v>
      </c>
      <c r="G4323" s="4" t="str">
        <f>HYPERLINK("http://141.218.60.56/~jnz1568/getInfo.php?workbook=12_04.xlsx&amp;sheet=A0&amp;row=4323&amp;col=7&amp;number=0&amp;sourceID=14","0")</f>
        <v>0</v>
      </c>
    </row>
    <row r="4324" spans="1:7">
      <c r="A4324" s="3">
        <v>12</v>
      </c>
      <c r="B4324" s="3">
        <v>4</v>
      </c>
      <c r="C4324" s="3">
        <v>80</v>
      </c>
      <c r="D4324" s="3">
        <v>77</v>
      </c>
      <c r="E4324" s="3">
        <v>-20559.248</v>
      </c>
      <c r="F4324" s="4" t="str">
        <f>HYPERLINK("http://141.218.60.56/~jnz1568/getInfo.php?workbook=12_04.xlsx&amp;sheet=A0&amp;row=4324&amp;col=6&amp;number=212&amp;sourceID=14","212")</f>
        <v>212</v>
      </c>
      <c r="G4324" s="4" t="str">
        <f>HYPERLINK("http://141.218.60.56/~jnz1568/getInfo.php?workbook=12_04.xlsx&amp;sheet=A0&amp;row=4324&amp;col=7&amp;number=0&amp;sourceID=14","0")</f>
        <v>0</v>
      </c>
    </row>
    <row r="4325" spans="1:7">
      <c r="A4325" s="3">
        <v>12</v>
      </c>
      <c r="B4325" s="3">
        <v>4</v>
      </c>
      <c r="C4325" s="3">
        <v>81</v>
      </c>
      <c r="D4325" s="3">
        <v>77</v>
      </c>
      <c r="E4325" s="3">
        <v>-20445.754</v>
      </c>
      <c r="F4325" s="4" t="str">
        <f>HYPERLINK("http://141.218.60.56/~jnz1568/getInfo.php?workbook=12_04.xlsx&amp;sheet=A0&amp;row=4325&amp;col=6&amp;number=0.205&amp;sourceID=14","0.205")</f>
        <v>0.205</v>
      </c>
      <c r="G4325" s="4" t="str">
        <f>HYPERLINK("http://141.218.60.56/~jnz1568/getInfo.php?workbook=12_04.xlsx&amp;sheet=A0&amp;row=4325&amp;col=7&amp;number=0&amp;sourceID=14","0")</f>
        <v>0</v>
      </c>
    </row>
    <row r="4326" spans="1:7">
      <c r="A4326" s="3">
        <v>12</v>
      </c>
      <c r="B4326" s="3">
        <v>4</v>
      </c>
      <c r="C4326" s="3">
        <v>82</v>
      </c>
      <c r="D4326" s="3">
        <v>77</v>
      </c>
      <c r="E4326" s="3">
        <v>-19135.129</v>
      </c>
      <c r="F4326" s="4" t="str">
        <f>HYPERLINK("http://141.218.60.56/~jnz1568/getInfo.php?workbook=12_04.xlsx&amp;sheet=A0&amp;row=4326&amp;col=6&amp;number=5.5e-10&amp;sourceID=14","5.5e-10")</f>
        <v>5.5e-10</v>
      </c>
      <c r="G4326" s="4" t="str">
        <f>HYPERLINK("http://141.218.60.56/~jnz1568/getInfo.php?workbook=12_04.xlsx&amp;sheet=A0&amp;row=4326&amp;col=7&amp;number=0&amp;sourceID=14","0")</f>
        <v>0</v>
      </c>
    </row>
    <row r="4327" spans="1:7">
      <c r="A4327" s="3">
        <v>12</v>
      </c>
      <c r="B4327" s="3">
        <v>4</v>
      </c>
      <c r="C4327" s="3">
        <v>83</v>
      </c>
      <c r="D4327" s="3">
        <v>77</v>
      </c>
      <c r="E4327" s="3">
        <v>-19116.838</v>
      </c>
      <c r="F4327" s="4" t="str">
        <f>HYPERLINK("http://141.218.60.56/~jnz1568/getInfo.php?workbook=12_04.xlsx&amp;sheet=A0&amp;row=4327&amp;col=6&amp;number=1260&amp;sourceID=14","1260")</f>
        <v>1260</v>
      </c>
      <c r="G4327" s="4" t="str">
        <f>HYPERLINK("http://141.218.60.56/~jnz1568/getInfo.php?workbook=12_04.xlsx&amp;sheet=A0&amp;row=4327&amp;col=7&amp;number=0&amp;sourceID=14","0")</f>
        <v>0</v>
      </c>
    </row>
    <row r="4328" spans="1:7">
      <c r="A4328" s="3">
        <v>12</v>
      </c>
      <c r="B4328" s="3">
        <v>4</v>
      </c>
      <c r="C4328" s="3">
        <v>84</v>
      </c>
      <c r="D4328" s="3">
        <v>77</v>
      </c>
      <c r="E4328" s="3">
        <v>-17998.594</v>
      </c>
      <c r="F4328" s="4" t="str">
        <f>HYPERLINK("http://141.218.60.56/~jnz1568/getInfo.php?workbook=12_04.xlsx&amp;sheet=A0&amp;row=4328&amp;col=6&amp;number=12500&amp;sourceID=14","12500")</f>
        <v>12500</v>
      </c>
      <c r="G4328" s="4" t="str">
        <f>HYPERLINK("http://141.218.60.56/~jnz1568/getInfo.php?workbook=12_04.xlsx&amp;sheet=A0&amp;row=4328&amp;col=7&amp;number=0&amp;sourceID=14","0")</f>
        <v>0</v>
      </c>
    </row>
    <row r="4329" spans="1:7">
      <c r="A4329" s="3">
        <v>12</v>
      </c>
      <c r="B4329" s="3">
        <v>4</v>
      </c>
      <c r="C4329" s="3">
        <v>85</v>
      </c>
      <c r="D4329" s="3">
        <v>77</v>
      </c>
      <c r="E4329" s="3">
        <v>-14216.689</v>
      </c>
      <c r="F4329" s="4" t="str">
        <f>HYPERLINK("http://141.218.60.56/~jnz1568/getInfo.php?workbook=12_04.xlsx&amp;sheet=A0&amp;row=4329&amp;col=6&amp;number=0.00485&amp;sourceID=14","0.00485")</f>
        <v>0.00485</v>
      </c>
      <c r="G4329" s="4" t="str">
        <f>HYPERLINK("http://141.218.60.56/~jnz1568/getInfo.php?workbook=12_04.xlsx&amp;sheet=A0&amp;row=4329&amp;col=7&amp;number=0&amp;sourceID=14","0")</f>
        <v>0</v>
      </c>
    </row>
    <row r="4330" spans="1:7">
      <c r="A4330" s="3">
        <v>12</v>
      </c>
      <c r="B4330" s="3">
        <v>4</v>
      </c>
      <c r="C4330" s="3">
        <v>86</v>
      </c>
      <c r="D4330" s="3">
        <v>77</v>
      </c>
      <c r="E4330" s="3">
        <v>-13065.088</v>
      </c>
      <c r="F4330" s="4" t="str">
        <f>HYPERLINK("http://141.218.60.56/~jnz1568/getInfo.php?workbook=12_04.xlsx&amp;sheet=A0&amp;row=4330&amp;col=6&amp;number=1.23e-17&amp;sourceID=14","1.23e-17")</f>
        <v>1.23e-17</v>
      </c>
      <c r="G4330" s="4" t="str">
        <f>HYPERLINK("http://141.218.60.56/~jnz1568/getInfo.php?workbook=12_04.xlsx&amp;sheet=A0&amp;row=4330&amp;col=7&amp;number=0&amp;sourceID=14","0")</f>
        <v>0</v>
      </c>
    </row>
    <row r="4331" spans="1:7">
      <c r="A4331" s="3">
        <v>12</v>
      </c>
      <c r="B4331" s="3">
        <v>4</v>
      </c>
      <c r="C4331" s="3">
        <v>87</v>
      </c>
      <c r="D4331" s="3">
        <v>77</v>
      </c>
      <c r="E4331" s="3">
        <v>-12521.936</v>
      </c>
      <c r="F4331" s="4" t="str">
        <f>HYPERLINK("http://141.218.60.56/~jnz1568/getInfo.php?workbook=12_04.xlsx&amp;sheet=A0&amp;row=4331&amp;col=6&amp;number=5.67e-18&amp;sourceID=14","5.67e-18")</f>
        <v>5.67e-18</v>
      </c>
      <c r="G4331" s="4" t="str">
        <f>HYPERLINK("http://141.218.60.56/~jnz1568/getInfo.php?workbook=12_04.xlsx&amp;sheet=A0&amp;row=4331&amp;col=7&amp;number=0&amp;sourceID=14","0")</f>
        <v>0</v>
      </c>
    </row>
    <row r="4332" spans="1:7">
      <c r="A4332" s="3">
        <v>12</v>
      </c>
      <c r="B4332" s="3">
        <v>4</v>
      </c>
      <c r="C4332" s="3">
        <v>88</v>
      </c>
      <c r="D4332" s="3">
        <v>77</v>
      </c>
      <c r="E4332" s="3">
        <v>-11403.83</v>
      </c>
      <c r="F4332" s="4" t="str">
        <f>HYPERLINK("http://141.218.60.56/~jnz1568/getInfo.php?workbook=12_04.xlsx&amp;sheet=A0&amp;row=4332&amp;col=6&amp;number=8070&amp;sourceID=14","8070")</f>
        <v>8070</v>
      </c>
      <c r="G4332" s="4" t="str">
        <f>HYPERLINK("http://141.218.60.56/~jnz1568/getInfo.php?workbook=12_04.xlsx&amp;sheet=A0&amp;row=4332&amp;col=7&amp;number=0&amp;sourceID=14","0")</f>
        <v>0</v>
      </c>
    </row>
    <row r="4333" spans="1:7">
      <c r="A4333" s="3">
        <v>12</v>
      </c>
      <c r="B4333" s="3">
        <v>4</v>
      </c>
      <c r="C4333" s="3">
        <v>89</v>
      </c>
      <c r="D4333" s="3">
        <v>77</v>
      </c>
      <c r="E4333" s="3">
        <v>-10831.909</v>
      </c>
      <c r="F4333" s="4" t="str">
        <f>HYPERLINK("http://141.218.60.56/~jnz1568/getInfo.php?workbook=12_04.xlsx&amp;sheet=A0&amp;row=4333&amp;col=6&amp;number=299000&amp;sourceID=14","299000")</f>
        <v>299000</v>
      </c>
      <c r="G4333" s="4" t="str">
        <f>HYPERLINK("http://141.218.60.56/~jnz1568/getInfo.php?workbook=12_04.xlsx&amp;sheet=A0&amp;row=4333&amp;col=7&amp;number=0&amp;sourceID=14","0")</f>
        <v>0</v>
      </c>
    </row>
    <row r="4334" spans="1:7">
      <c r="A4334" s="3">
        <v>12</v>
      </c>
      <c r="B4334" s="3">
        <v>4</v>
      </c>
      <c r="C4334" s="3">
        <v>90</v>
      </c>
      <c r="D4334" s="3">
        <v>77</v>
      </c>
      <c r="E4334" s="3">
        <v>-9428.643</v>
      </c>
      <c r="F4334" s="4" t="str">
        <f>HYPERLINK("http://141.218.60.56/~jnz1568/getInfo.php?workbook=12_04.xlsx&amp;sheet=A0&amp;row=4334&amp;col=6&amp;number=3410000&amp;sourceID=14","3410000")</f>
        <v>3410000</v>
      </c>
      <c r="G4334" s="4" t="str">
        <f>HYPERLINK("http://141.218.60.56/~jnz1568/getInfo.php?workbook=12_04.xlsx&amp;sheet=A0&amp;row=4334&amp;col=7&amp;number=0&amp;sourceID=14","0")</f>
        <v>0</v>
      </c>
    </row>
    <row r="4335" spans="1:7">
      <c r="A4335" s="3">
        <v>12</v>
      </c>
      <c r="B4335" s="3">
        <v>4</v>
      </c>
      <c r="C4335" s="3">
        <v>91</v>
      </c>
      <c r="D4335" s="3">
        <v>77</v>
      </c>
      <c r="E4335" s="3">
        <v>-8456.675</v>
      </c>
      <c r="F4335" s="4" t="str">
        <f>HYPERLINK("http://141.218.60.56/~jnz1568/getInfo.php?workbook=12_04.xlsx&amp;sheet=A0&amp;row=4335&amp;col=6&amp;number=21500&amp;sourceID=14","21500")</f>
        <v>21500</v>
      </c>
      <c r="G4335" s="4" t="str">
        <f>HYPERLINK("http://141.218.60.56/~jnz1568/getInfo.php?workbook=12_04.xlsx&amp;sheet=A0&amp;row=4335&amp;col=7&amp;number=0&amp;sourceID=14","0")</f>
        <v>0</v>
      </c>
    </row>
    <row r="4336" spans="1:7">
      <c r="A4336" s="3">
        <v>12</v>
      </c>
      <c r="B4336" s="3">
        <v>4</v>
      </c>
      <c r="C4336" s="3">
        <v>92</v>
      </c>
      <c r="D4336" s="3">
        <v>77</v>
      </c>
      <c r="E4336" s="3">
        <v>-8256.29</v>
      </c>
      <c r="F4336" s="4" t="str">
        <f>HYPERLINK("http://141.218.60.56/~jnz1568/getInfo.php?workbook=12_04.xlsx&amp;sheet=A0&amp;row=4336&amp;col=6&amp;number=19000&amp;sourceID=14","19000")</f>
        <v>19000</v>
      </c>
      <c r="G4336" s="4" t="str">
        <f>HYPERLINK("http://141.218.60.56/~jnz1568/getInfo.php?workbook=12_04.xlsx&amp;sheet=A0&amp;row=4336&amp;col=7&amp;number=0&amp;sourceID=14","0")</f>
        <v>0</v>
      </c>
    </row>
    <row r="4337" spans="1:7">
      <c r="A4337" s="3">
        <v>12</v>
      </c>
      <c r="B4337" s="3">
        <v>4</v>
      </c>
      <c r="C4337" s="3">
        <v>93</v>
      </c>
      <c r="D4337" s="3">
        <v>77</v>
      </c>
      <c r="E4337" s="3">
        <v>-8080.823</v>
      </c>
      <c r="F4337" s="4" t="str">
        <f>HYPERLINK("http://141.218.60.56/~jnz1568/getInfo.php?workbook=12_04.xlsx&amp;sheet=A0&amp;row=4337&amp;col=6&amp;number=6.49e-10&amp;sourceID=14","6.49e-10")</f>
        <v>6.49e-10</v>
      </c>
      <c r="G4337" s="4" t="str">
        <f>HYPERLINK("http://141.218.60.56/~jnz1568/getInfo.php?workbook=12_04.xlsx&amp;sheet=A0&amp;row=4337&amp;col=7&amp;number=0&amp;sourceID=14","0")</f>
        <v>0</v>
      </c>
    </row>
    <row r="4338" spans="1:7">
      <c r="A4338" s="3">
        <v>12</v>
      </c>
      <c r="B4338" s="3">
        <v>4</v>
      </c>
      <c r="C4338" s="3">
        <v>94</v>
      </c>
      <c r="D4338" s="3">
        <v>77</v>
      </c>
      <c r="E4338" s="3">
        <v>-7495.142</v>
      </c>
      <c r="F4338" s="4" t="str">
        <f>HYPERLINK("http://141.218.60.56/~jnz1568/getInfo.php?workbook=12_04.xlsx&amp;sheet=A0&amp;row=4338&amp;col=6&amp;number=9.94e-11&amp;sourceID=14","9.94e-11")</f>
        <v>9.94e-11</v>
      </c>
      <c r="G4338" s="4" t="str">
        <f>HYPERLINK("http://141.218.60.56/~jnz1568/getInfo.php?workbook=12_04.xlsx&amp;sheet=A0&amp;row=4338&amp;col=7&amp;number=0&amp;sourceID=14","0")</f>
        <v>0</v>
      </c>
    </row>
    <row r="4339" spans="1:7">
      <c r="A4339" s="3">
        <v>12</v>
      </c>
      <c r="B4339" s="3">
        <v>4</v>
      </c>
      <c r="C4339" s="3">
        <v>96</v>
      </c>
      <c r="D4339" s="3">
        <v>77</v>
      </c>
      <c r="E4339" s="3">
        <v>-6866.73</v>
      </c>
      <c r="F4339" s="4" t="str">
        <f>HYPERLINK("http://141.218.60.56/~jnz1568/getInfo.php?workbook=12_04.xlsx&amp;sheet=A0&amp;row=4339&amp;col=6&amp;number=2.07e-07&amp;sourceID=14","2.07e-07")</f>
        <v>2.07e-07</v>
      </c>
      <c r="G4339" s="4" t="str">
        <f>HYPERLINK("http://141.218.60.56/~jnz1568/getInfo.php?workbook=12_04.xlsx&amp;sheet=A0&amp;row=4339&amp;col=7&amp;number=0&amp;sourceID=14","0")</f>
        <v>0</v>
      </c>
    </row>
    <row r="4340" spans="1:7">
      <c r="A4340" s="3">
        <v>12</v>
      </c>
      <c r="B4340" s="3">
        <v>4</v>
      </c>
      <c r="C4340" s="3">
        <v>97</v>
      </c>
      <c r="D4340" s="3">
        <v>77</v>
      </c>
      <c r="E4340" s="3">
        <v>-5861.675</v>
      </c>
      <c r="F4340" s="4" t="str">
        <f>HYPERLINK("http://141.218.60.56/~jnz1568/getInfo.php?workbook=12_04.xlsx&amp;sheet=A0&amp;row=4340&amp;col=6&amp;number=0.395&amp;sourceID=14","0.395")</f>
        <v>0.395</v>
      </c>
      <c r="G4340" s="4" t="str">
        <f>HYPERLINK("http://141.218.60.56/~jnz1568/getInfo.php?workbook=12_04.xlsx&amp;sheet=A0&amp;row=4340&amp;col=7&amp;number=0&amp;sourceID=14","0")</f>
        <v>0</v>
      </c>
    </row>
    <row r="4341" spans="1:7">
      <c r="A4341" s="3">
        <v>12</v>
      </c>
      <c r="B4341" s="3">
        <v>4</v>
      </c>
      <c r="C4341" s="3">
        <v>98</v>
      </c>
      <c r="D4341" s="3">
        <v>77</v>
      </c>
      <c r="E4341" s="3">
        <v>-5477.661</v>
      </c>
      <c r="F4341" s="4" t="str">
        <f>HYPERLINK("http://141.218.60.56/~jnz1568/getInfo.php?workbook=12_04.xlsx&amp;sheet=A0&amp;row=4341&amp;col=6&amp;number=7.55e-14&amp;sourceID=14","7.55e-14")</f>
        <v>7.55e-14</v>
      </c>
      <c r="G4341" s="4" t="str">
        <f>HYPERLINK("http://141.218.60.56/~jnz1568/getInfo.php?workbook=12_04.xlsx&amp;sheet=A0&amp;row=4341&amp;col=7&amp;number=0&amp;sourceID=14","0")</f>
        <v>0</v>
      </c>
    </row>
    <row r="4342" spans="1:7">
      <c r="A4342" s="3">
        <v>12</v>
      </c>
      <c r="B4342" s="3">
        <v>4</v>
      </c>
      <c r="C4342" s="3">
        <v>79</v>
      </c>
      <c r="D4342" s="3">
        <v>78</v>
      </c>
      <c r="E4342" s="3">
        <v>-161551.188</v>
      </c>
      <c r="F4342" s="4" t="str">
        <f>HYPERLINK("http://141.218.60.56/~jnz1568/getInfo.php?workbook=12_04.xlsx&amp;sheet=A0&amp;row=4342&amp;col=6&amp;number=0.00482&amp;sourceID=14","0.00482")</f>
        <v>0.00482</v>
      </c>
      <c r="G4342" s="4" t="str">
        <f>HYPERLINK("http://141.218.60.56/~jnz1568/getInfo.php?workbook=12_04.xlsx&amp;sheet=A0&amp;row=4342&amp;col=7&amp;number=0&amp;sourceID=14","0")</f>
        <v>0</v>
      </c>
    </row>
    <row r="4343" spans="1:7">
      <c r="A4343" s="3">
        <v>12</v>
      </c>
      <c r="B4343" s="3">
        <v>4</v>
      </c>
      <c r="C4343" s="3">
        <v>80</v>
      </c>
      <c r="D4343" s="3">
        <v>78</v>
      </c>
      <c r="E4343" s="3">
        <v>-53763.539</v>
      </c>
      <c r="F4343" s="4" t="str">
        <f>HYPERLINK("http://141.218.60.56/~jnz1568/getInfo.php?workbook=12_04.xlsx&amp;sheet=A0&amp;row=4343&amp;col=6&amp;number=3.45e-11&amp;sourceID=14","3.45e-11")</f>
        <v>3.45e-11</v>
      </c>
      <c r="G4343" s="4" t="str">
        <f>HYPERLINK("http://141.218.60.56/~jnz1568/getInfo.php?workbook=12_04.xlsx&amp;sheet=A0&amp;row=4343&amp;col=7&amp;number=0&amp;sourceID=14","0")</f>
        <v>0</v>
      </c>
    </row>
    <row r="4344" spans="1:7">
      <c r="A4344" s="3">
        <v>12</v>
      </c>
      <c r="B4344" s="3">
        <v>4</v>
      </c>
      <c r="C4344" s="3">
        <v>81</v>
      </c>
      <c r="D4344" s="3">
        <v>78</v>
      </c>
      <c r="E4344" s="3">
        <v>-52994.27</v>
      </c>
      <c r="F4344" s="4" t="str">
        <f>HYPERLINK("http://141.218.60.56/~jnz1568/getInfo.php?workbook=12_04.xlsx&amp;sheet=A0&amp;row=4344&amp;col=6&amp;number=1.22e-07&amp;sourceID=14","1.22e-07")</f>
        <v>1.22e-07</v>
      </c>
      <c r="G4344" s="4" t="str">
        <f>HYPERLINK("http://141.218.60.56/~jnz1568/getInfo.php?workbook=12_04.xlsx&amp;sheet=A0&amp;row=4344&amp;col=7&amp;number=0&amp;sourceID=14","0")</f>
        <v>0</v>
      </c>
    </row>
    <row r="4345" spans="1:7">
      <c r="A4345" s="3">
        <v>12</v>
      </c>
      <c r="B4345" s="3">
        <v>4</v>
      </c>
      <c r="C4345" s="3">
        <v>82</v>
      </c>
      <c r="D4345" s="3">
        <v>78</v>
      </c>
      <c r="E4345" s="3">
        <v>-45004.582</v>
      </c>
      <c r="F4345" s="4" t="str">
        <f>HYPERLINK("http://141.218.60.56/~jnz1568/getInfo.php?workbook=12_04.xlsx&amp;sheet=A0&amp;row=4345&amp;col=6&amp;number=23400&amp;sourceID=14","23400")</f>
        <v>23400</v>
      </c>
      <c r="G4345" s="4" t="str">
        <f>HYPERLINK("http://141.218.60.56/~jnz1568/getInfo.php?workbook=12_04.xlsx&amp;sheet=A0&amp;row=4345&amp;col=7&amp;number=0&amp;sourceID=14","0")</f>
        <v>0</v>
      </c>
    </row>
    <row r="4346" spans="1:7">
      <c r="A4346" s="3">
        <v>12</v>
      </c>
      <c r="B4346" s="3">
        <v>4</v>
      </c>
      <c r="C4346" s="3">
        <v>83</v>
      </c>
      <c r="D4346" s="3">
        <v>78</v>
      </c>
      <c r="E4346" s="3">
        <v>-44903.539</v>
      </c>
      <c r="F4346" s="4" t="str">
        <f>HYPERLINK("http://141.218.60.56/~jnz1568/getInfo.php?workbook=12_04.xlsx&amp;sheet=A0&amp;row=4346&amp;col=6&amp;number=3.86e-12&amp;sourceID=14","3.86e-12")</f>
        <v>3.86e-12</v>
      </c>
      <c r="G4346" s="4" t="str">
        <f>HYPERLINK("http://141.218.60.56/~jnz1568/getInfo.php?workbook=12_04.xlsx&amp;sheet=A0&amp;row=4346&amp;col=7&amp;number=0&amp;sourceID=14","0")</f>
        <v>0</v>
      </c>
    </row>
    <row r="4347" spans="1:7">
      <c r="A4347" s="3">
        <v>12</v>
      </c>
      <c r="B4347" s="3">
        <v>4</v>
      </c>
      <c r="C4347" s="3">
        <v>84</v>
      </c>
      <c r="D4347" s="3">
        <v>78</v>
      </c>
      <c r="E4347" s="3">
        <v>-39185.023</v>
      </c>
      <c r="F4347" s="4" t="str">
        <f>HYPERLINK("http://141.218.60.56/~jnz1568/getInfo.php?workbook=12_04.xlsx&amp;sheet=A0&amp;row=4347&amp;col=6&amp;number=8.87e-16&amp;sourceID=14","8.87e-16")</f>
        <v>8.87e-16</v>
      </c>
      <c r="G4347" s="4" t="str">
        <f>HYPERLINK("http://141.218.60.56/~jnz1568/getInfo.php?workbook=12_04.xlsx&amp;sheet=A0&amp;row=4347&amp;col=7&amp;number=0&amp;sourceID=14","0")</f>
        <v>0</v>
      </c>
    </row>
    <row r="4348" spans="1:7">
      <c r="A4348" s="3">
        <v>12</v>
      </c>
      <c r="B4348" s="3">
        <v>4</v>
      </c>
      <c r="C4348" s="3">
        <v>85</v>
      </c>
      <c r="D4348" s="3">
        <v>78</v>
      </c>
      <c r="E4348" s="3">
        <v>-24813.941</v>
      </c>
      <c r="F4348" s="4" t="str">
        <f>HYPERLINK("http://141.218.60.56/~jnz1568/getInfo.php?workbook=12_04.xlsx&amp;sheet=A0&amp;row=4348&amp;col=6&amp;number=0.0966&amp;sourceID=14","0.0966")</f>
        <v>0.0966</v>
      </c>
      <c r="G4348" s="4" t="str">
        <f>HYPERLINK("http://141.218.60.56/~jnz1568/getInfo.php?workbook=12_04.xlsx&amp;sheet=A0&amp;row=4348&amp;col=7&amp;number=0&amp;sourceID=14","0")</f>
        <v>0</v>
      </c>
    </row>
    <row r="4349" spans="1:7">
      <c r="A4349" s="3">
        <v>12</v>
      </c>
      <c r="B4349" s="3">
        <v>4</v>
      </c>
      <c r="C4349" s="3">
        <v>86</v>
      </c>
      <c r="D4349" s="3">
        <v>78</v>
      </c>
      <c r="E4349" s="3">
        <v>-21505.416</v>
      </c>
      <c r="F4349" s="4" t="str">
        <f>HYPERLINK("http://141.218.60.56/~jnz1568/getInfo.php?workbook=12_04.xlsx&amp;sheet=A0&amp;row=4349&amp;col=6&amp;number=0.378&amp;sourceID=14","0.378")</f>
        <v>0.378</v>
      </c>
      <c r="G4349" s="4" t="str">
        <f>HYPERLINK("http://141.218.60.56/~jnz1568/getInfo.php?workbook=12_04.xlsx&amp;sheet=A0&amp;row=4349&amp;col=7&amp;number=0&amp;sourceID=14","0")</f>
        <v>0</v>
      </c>
    </row>
    <row r="4350" spans="1:7">
      <c r="A4350" s="3">
        <v>12</v>
      </c>
      <c r="B4350" s="3">
        <v>4</v>
      </c>
      <c r="C4350" s="3">
        <v>87</v>
      </c>
      <c r="D4350" s="3">
        <v>78</v>
      </c>
      <c r="E4350" s="3">
        <v>-20072.297</v>
      </c>
      <c r="F4350" s="4" t="str">
        <f>HYPERLINK("http://141.218.60.56/~jnz1568/getInfo.php?workbook=12_04.xlsx&amp;sheet=A0&amp;row=4350&amp;col=6&amp;number=0.49&amp;sourceID=14","0.49")</f>
        <v>0.49</v>
      </c>
      <c r="G4350" s="4" t="str">
        <f>HYPERLINK("http://141.218.60.56/~jnz1568/getInfo.php?workbook=12_04.xlsx&amp;sheet=A0&amp;row=4350&amp;col=7&amp;number=0&amp;sourceID=14","0")</f>
        <v>0</v>
      </c>
    </row>
    <row r="4351" spans="1:7">
      <c r="A4351" s="3">
        <v>12</v>
      </c>
      <c r="B4351" s="3">
        <v>4</v>
      </c>
      <c r="C4351" s="3">
        <v>88</v>
      </c>
      <c r="D4351" s="3">
        <v>78</v>
      </c>
      <c r="E4351" s="3">
        <v>-17346.086</v>
      </c>
      <c r="F4351" s="4" t="str">
        <f>HYPERLINK("http://141.218.60.56/~jnz1568/getInfo.php?workbook=12_04.xlsx&amp;sheet=A0&amp;row=4351&amp;col=6&amp;number=4.2e-08&amp;sourceID=14","4.2e-08")</f>
        <v>4.2e-08</v>
      </c>
      <c r="G4351" s="4" t="str">
        <f>HYPERLINK("http://141.218.60.56/~jnz1568/getInfo.php?workbook=12_04.xlsx&amp;sheet=A0&amp;row=4351&amp;col=7&amp;number=0&amp;sourceID=14","0")</f>
        <v>0</v>
      </c>
    </row>
    <row r="4352" spans="1:7">
      <c r="A4352" s="3">
        <v>12</v>
      </c>
      <c r="B4352" s="3">
        <v>4</v>
      </c>
      <c r="C4352" s="3">
        <v>89</v>
      </c>
      <c r="D4352" s="3">
        <v>78</v>
      </c>
      <c r="E4352" s="3">
        <v>-16056.549</v>
      </c>
      <c r="F4352" s="4" t="str">
        <f>HYPERLINK("http://141.218.60.56/~jnz1568/getInfo.php?workbook=12_04.xlsx&amp;sheet=A0&amp;row=4352&amp;col=6&amp;number=9.9e-13&amp;sourceID=14","9.9e-13")</f>
        <v>9.9e-13</v>
      </c>
      <c r="G4352" s="4" t="str">
        <f>HYPERLINK("http://141.218.60.56/~jnz1568/getInfo.php?workbook=12_04.xlsx&amp;sheet=A0&amp;row=4352&amp;col=7&amp;number=0&amp;sourceID=14","0")</f>
        <v>0</v>
      </c>
    </row>
    <row r="4353" spans="1:7">
      <c r="A4353" s="3">
        <v>12</v>
      </c>
      <c r="B4353" s="3">
        <v>4</v>
      </c>
      <c r="C4353" s="3">
        <v>90</v>
      </c>
      <c r="D4353" s="3">
        <v>78</v>
      </c>
      <c r="E4353" s="3">
        <v>-13154.457</v>
      </c>
      <c r="F4353" s="4" t="str">
        <f>HYPERLINK("http://141.218.60.56/~jnz1568/getInfo.php?workbook=12_04.xlsx&amp;sheet=A0&amp;row=4353&amp;col=6&amp;number=9.96e-25&amp;sourceID=14","9.96e-25")</f>
        <v>9.96e-25</v>
      </c>
      <c r="G4353" s="4" t="str">
        <f>HYPERLINK("http://141.218.60.56/~jnz1568/getInfo.php?workbook=12_04.xlsx&amp;sheet=A0&amp;row=4353&amp;col=7&amp;number=0&amp;sourceID=14","0")</f>
        <v>0</v>
      </c>
    </row>
    <row r="4354" spans="1:7">
      <c r="A4354" s="3">
        <v>12</v>
      </c>
      <c r="B4354" s="3">
        <v>4</v>
      </c>
      <c r="C4354" s="3">
        <v>91</v>
      </c>
      <c r="D4354" s="3">
        <v>78</v>
      </c>
      <c r="E4354" s="3">
        <v>-11336.604</v>
      </c>
      <c r="F4354" s="4" t="str">
        <f>HYPERLINK("http://141.218.60.56/~jnz1568/getInfo.php?workbook=12_04.xlsx&amp;sheet=A0&amp;row=4354&amp;col=6&amp;number=2.23e-10&amp;sourceID=14","2.23e-10")</f>
        <v>2.23e-10</v>
      </c>
      <c r="G4354" s="4" t="str">
        <f>HYPERLINK("http://141.218.60.56/~jnz1568/getInfo.php?workbook=12_04.xlsx&amp;sheet=A0&amp;row=4354&amp;col=7&amp;number=0&amp;sourceID=14","0")</f>
        <v>0</v>
      </c>
    </row>
    <row r="4355" spans="1:7">
      <c r="A4355" s="3">
        <v>12</v>
      </c>
      <c r="B4355" s="3">
        <v>4</v>
      </c>
      <c r="C4355" s="3">
        <v>92</v>
      </c>
      <c r="D4355" s="3">
        <v>78</v>
      </c>
      <c r="E4355" s="3">
        <v>-10979.379</v>
      </c>
      <c r="F4355" s="4" t="str">
        <f>HYPERLINK("http://141.218.60.56/~jnz1568/getInfo.php?workbook=12_04.xlsx&amp;sheet=A0&amp;row=4355&amp;col=6&amp;number=1.89e-12&amp;sourceID=14","1.89e-12")</f>
        <v>1.89e-12</v>
      </c>
      <c r="G4355" s="4" t="str">
        <f>HYPERLINK("http://141.218.60.56/~jnz1568/getInfo.php?workbook=12_04.xlsx&amp;sheet=A0&amp;row=4355&amp;col=7&amp;number=0&amp;sourceID=14","0")</f>
        <v>0</v>
      </c>
    </row>
    <row r="4356" spans="1:7">
      <c r="A4356" s="3">
        <v>12</v>
      </c>
      <c r="B4356" s="3">
        <v>4</v>
      </c>
      <c r="C4356" s="3">
        <v>93</v>
      </c>
      <c r="D4356" s="3">
        <v>78</v>
      </c>
      <c r="E4356" s="3">
        <v>-10671.239</v>
      </c>
      <c r="F4356" s="4" t="str">
        <f>HYPERLINK("http://141.218.60.56/~jnz1568/getInfo.php?workbook=12_04.xlsx&amp;sheet=A0&amp;row=4356&amp;col=6&amp;number=54500&amp;sourceID=14","54500")</f>
        <v>54500</v>
      </c>
      <c r="G4356" s="4" t="str">
        <f>HYPERLINK("http://141.218.60.56/~jnz1568/getInfo.php?workbook=12_04.xlsx&amp;sheet=A0&amp;row=4356&amp;col=7&amp;number=0&amp;sourceID=14","0")</f>
        <v>0</v>
      </c>
    </row>
    <row r="4357" spans="1:7">
      <c r="A4357" s="3">
        <v>12</v>
      </c>
      <c r="B4357" s="3">
        <v>4</v>
      </c>
      <c r="C4357" s="3">
        <v>94</v>
      </c>
      <c r="D4357" s="3">
        <v>78</v>
      </c>
      <c r="E4357" s="3">
        <v>-9673.068</v>
      </c>
      <c r="F4357" s="4" t="str">
        <f>HYPERLINK("http://141.218.60.56/~jnz1568/getInfo.php?workbook=12_04.xlsx&amp;sheet=A0&amp;row=4357&amp;col=6&amp;number=96600&amp;sourceID=14","96600")</f>
        <v>96600</v>
      </c>
      <c r="G4357" s="4" t="str">
        <f>HYPERLINK("http://141.218.60.56/~jnz1568/getInfo.php?workbook=12_04.xlsx&amp;sheet=A0&amp;row=4357&amp;col=7&amp;number=0&amp;sourceID=14","0")</f>
        <v>0</v>
      </c>
    </row>
    <row r="4358" spans="1:7">
      <c r="A4358" s="3">
        <v>12</v>
      </c>
      <c r="B4358" s="3">
        <v>4</v>
      </c>
      <c r="C4358" s="3">
        <v>95</v>
      </c>
      <c r="D4358" s="3">
        <v>78</v>
      </c>
      <c r="E4358" s="3">
        <v>-9114.125</v>
      </c>
      <c r="F4358" s="4" t="str">
        <f>HYPERLINK("http://141.218.60.56/~jnz1568/getInfo.php?workbook=12_04.xlsx&amp;sheet=A0&amp;row=4358&amp;col=6&amp;number=9870&amp;sourceID=14","9870")</f>
        <v>9870</v>
      </c>
      <c r="G4358" s="4" t="str">
        <f>HYPERLINK("http://141.218.60.56/~jnz1568/getInfo.php?workbook=12_04.xlsx&amp;sheet=A0&amp;row=4358&amp;col=7&amp;number=0&amp;sourceID=14","0")</f>
        <v>0</v>
      </c>
    </row>
    <row r="4359" spans="1:7">
      <c r="A4359" s="3">
        <v>12</v>
      </c>
      <c r="B4359" s="3">
        <v>4</v>
      </c>
      <c r="C4359" s="3">
        <v>96</v>
      </c>
      <c r="D4359" s="3">
        <v>78</v>
      </c>
      <c r="E4359" s="3">
        <v>-8651.283</v>
      </c>
      <c r="F4359" s="4" t="str">
        <f>HYPERLINK("http://141.218.60.56/~jnz1568/getInfo.php?workbook=12_04.xlsx&amp;sheet=A0&amp;row=4359&amp;col=6&amp;number=78000&amp;sourceID=14","78000")</f>
        <v>78000</v>
      </c>
      <c r="G4359" s="4" t="str">
        <f>HYPERLINK("http://141.218.60.56/~jnz1568/getInfo.php?workbook=12_04.xlsx&amp;sheet=A0&amp;row=4359&amp;col=7&amp;number=0&amp;sourceID=14","0")</f>
        <v>0</v>
      </c>
    </row>
    <row r="4360" spans="1:7">
      <c r="A4360" s="3">
        <v>12</v>
      </c>
      <c r="B4360" s="3">
        <v>4</v>
      </c>
      <c r="C4360" s="3">
        <v>97</v>
      </c>
      <c r="D4360" s="3">
        <v>78</v>
      </c>
      <c r="E4360" s="3">
        <v>-7114.413</v>
      </c>
      <c r="F4360" s="4" t="str">
        <f>HYPERLINK("http://141.218.60.56/~jnz1568/getInfo.php?workbook=12_04.xlsx&amp;sheet=A0&amp;row=4360&amp;col=6&amp;number=1.95e-05&amp;sourceID=14","1.95e-05")</f>
        <v>1.95e-05</v>
      </c>
      <c r="G4360" s="4" t="str">
        <f>HYPERLINK("http://141.218.60.56/~jnz1568/getInfo.php?workbook=12_04.xlsx&amp;sheet=A0&amp;row=4360&amp;col=7&amp;number=0&amp;sourceID=14","0")</f>
        <v>0</v>
      </c>
    </row>
    <row r="4361" spans="1:7">
      <c r="A4361" s="3">
        <v>12</v>
      </c>
      <c r="B4361" s="3">
        <v>4</v>
      </c>
      <c r="C4361" s="3">
        <v>98</v>
      </c>
      <c r="D4361" s="3">
        <v>78</v>
      </c>
      <c r="E4361" s="3">
        <v>-6556.529</v>
      </c>
      <c r="F4361" s="4" t="str">
        <f>HYPERLINK("http://141.218.60.56/~jnz1568/getInfo.php?workbook=12_04.xlsx&amp;sheet=A0&amp;row=4361&amp;col=6&amp;number=0.182&amp;sourceID=14","0.182")</f>
        <v>0.182</v>
      </c>
      <c r="G4361" s="4" t="str">
        <f>HYPERLINK("http://141.218.60.56/~jnz1568/getInfo.php?workbook=12_04.xlsx&amp;sheet=A0&amp;row=4361&amp;col=7&amp;number=0&amp;sourceID=14","0")</f>
        <v>0</v>
      </c>
    </row>
    <row r="4362" spans="1:7">
      <c r="A4362" s="3">
        <v>12</v>
      </c>
      <c r="B4362" s="3">
        <v>4</v>
      </c>
      <c r="C4362" s="3">
        <v>80</v>
      </c>
      <c r="D4362" s="3">
        <v>79</v>
      </c>
      <c r="E4362" s="3">
        <v>-80580.328</v>
      </c>
      <c r="F4362" s="4" t="str">
        <f>HYPERLINK("http://141.218.60.56/~jnz1568/getInfo.php?workbook=12_04.xlsx&amp;sheet=A0&amp;row=4362&amp;col=6&amp;number=166&amp;sourceID=14","166")</f>
        <v>166</v>
      </c>
      <c r="G4362" s="4" t="str">
        <f>HYPERLINK("http://141.218.60.56/~jnz1568/getInfo.php?workbook=12_04.xlsx&amp;sheet=A0&amp;row=4362&amp;col=7&amp;number=0&amp;sourceID=14","0")</f>
        <v>0</v>
      </c>
    </row>
    <row r="4363" spans="1:7">
      <c r="A4363" s="3">
        <v>12</v>
      </c>
      <c r="B4363" s="3">
        <v>4</v>
      </c>
      <c r="C4363" s="3">
        <v>81</v>
      </c>
      <c r="D4363" s="3">
        <v>79</v>
      </c>
      <c r="E4363" s="3">
        <v>-78864.5</v>
      </c>
      <c r="F4363" s="4" t="str">
        <f>HYPERLINK("http://141.218.60.56/~jnz1568/getInfo.php?workbook=12_04.xlsx&amp;sheet=A0&amp;row=4363&amp;col=6&amp;number=0.181&amp;sourceID=14","0.181")</f>
        <v>0.181</v>
      </c>
      <c r="G4363" s="4" t="str">
        <f>HYPERLINK("http://141.218.60.56/~jnz1568/getInfo.php?workbook=12_04.xlsx&amp;sheet=A0&amp;row=4363&amp;col=7&amp;number=0&amp;sourceID=14","0")</f>
        <v>0</v>
      </c>
    </row>
    <row r="4364" spans="1:7">
      <c r="A4364" s="3">
        <v>12</v>
      </c>
      <c r="B4364" s="3">
        <v>4</v>
      </c>
      <c r="C4364" s="3">
        <v>82</v>
      </c>
      <c r="D4364" s="3">
        <v>79</v>
      </c>
      <c r="E4364" s="3">
        <v>-62383.148</v>
      </c>
      <c r="F4364" s="4" t="str">
        <f>HYPERLINK("http://141.218.60.56/~jnz1568/getInfo.php?workbook=12_04.xlsx&amp;sheet=A0&amp;row=4364&amp;col=6&amp;number=1130&amp;sourceID=14","1130")</f>
        <v>1130</v>
      </c>
      <c r="G4364" s="4" t="str">
        <f>HYPERLINK("http://141.218.60.56/~jnz1568/getInfo.php?workbook=12_04.xlsx&amp;sheet=A0&amp;row=4364&amp;col=7&amp;number=0&amp;sourceID=14","0")</f>
        <v>0</v>
      </c>
    </row>
    <row r="4365" spans="1:7">
      <c r="A4365" s="3">
        <v>12</v>
      </c>
      <c r="B4365" s="3">
        <v>4</v>
      </c>
      <c r="C4365" s="3">
        <v>83</v>
      </c>
      <c r="D4365" s="3">
        <v>79</v>
      </c>
      <c r="E4365" s="3">
        <v>-62189.168</v>
      </c>
      <c r="F4365" s="4" t="str">
        <f>HYPERLINK("http://141.218.60.56/~jnz1568/getInfo.php?workbook=12_04.xlsx&amp;sheet=A0&amp;row=4365&amp;col=6&amp;number=5350&amp;sourceID=14","5350")</f>
        <v>5350</v>
      </c>
      <c r="G4365" s="4" t="str">
        <f>HYPERLINK("http://141.218.60.56/~jnz1568/getInfo.php?workbook=12_04.xlsx&amp;sheet=A0&amp;row=4365&amp;col=7&amp;number=0&amp;sourceID=14","0")</f>
        <v>0</v>
      </c>
    </row>
    <row r="4366" spans="1:7">
      <c r="A4366" s="3">
        <v>12</v>
      </c>
      <c r="B4366" s="3">
        <v>4</v>
      </c>
      <c r="C4366" s="3">
        <v>84</v>
      </c>
      <c r="D4366" s="3">
        <v>79</v>
      </c>
      <c r="E4366" s="3">
        <v>-51733.152</v>
      </c>
      <c r="F4366" s="4" t="str">
        <f>HYPERLINK("http://141.218.60.56/~jnz1568/getInfo.php?workbook=12_04.xlsx&amp;sheet=A0&amp;row=4366&amp;col=6&amp;number=1.97e-11&amp;sourceID=14","1.97e-11")</f>
        <v>1.97e-11</v>
      </c>
      <c r="G4366" s="4" t="str">
        <f>HYPERLINK("http://141.218.60.56/~jnz1568/getInfo.php?workbook=12_04.xlsx&amp;sheet=A0&amp;row=4366&amp;col=7&amp;number=0&amp;sourceID=14","0")</f>
        <v>0</v>
      </c>
    </row>
    <row r="4367" spans="1:7">
      <c r="A4367" s="3">
        <v>12</v>
      </c>
      <c r="B4367" s="3">
        <v>4</v>
      </c>
      <c r="C4367" s="3">
        <v>85</v>
      </c>
      <c r="D4367" s="3">
        <v>79</v>
      </c>
      <c r="E4367" s="3">
        <v>-29316.971</v>
      </c>
      <c r="F4367" s="4" t="str">
        <f>HYPERLINK("http://141.218.60.56/~jnz1568/getInfo.php?workbook=12_04.xlsx&amp;sheet=A0&amp;row=4367&amp;col=6&amp;number=0.105&amp;sourceID=14","0.105")</f>
        <v>0.105</v>
      </c>
      <c r="G4367" s="4" t="str">
        <f>HYPERLINK("http://141.218.60.56/~jnz1568/getInfo.php?workbook=12_04.xlsx&amp;sheet=A0&amp;row=4367&amp;col=7&amp;number=0&amp;sourceID=14","0")</f>
        <v>0</v>
      </c>
    </row>
    <row r="4368" spans="1:7">
      <c r="A4368" s="3">
        <v>12</v>
      </c>
      <c r="B4368" s="3">
        <v>4</v>
      </c>
      <c r="C4368" s="3">
        <v>86</v>
      </c>
      <c r="D4368" s="3">
        <v>79</v>
      </c>
      <c r="E4368" s="3">
        <v>-24807.785</v>
      </c>
      <c r="F4368" s="4" t="str">
        <f>HYPERLINK("http://141.218.60.56/~jnz1568/getInfo.php?workbook=12_04.xlsx&amp;sheet=A0&amp;row=4368&amp;col=6&amp;number=0.00682&amp;sourceID=14","0.00682")</f>
        <v>0.00682</v>
      </c>
      <c r="G4368" s="4" t="str">
        <f>HYPERLINK("http://141.218.60.56/~jnz1568/getInfo.php?workbook=12_04.xlsx&amp;sheet=A0&amp;row=4368&amp;col=7&amp;number=0&amp;sourceID=14","0")</f>
        <v>0</v>
      </c>
    </row>
    <row r="4369" spans="1:7">
      <c r="A4369" s="3">
        <v>12</v>
      </c>
      <c r="B4369" s="3">
        <v>4</v>
      </c>
      <c r="C4369" s="3">
        <v>87</v>
      </c>
      <c r="D4369" s="3">
        <v>79</v>
      </c>
      <c r="E4369" s="3">
        <v>-22920.051</v>
      </c>
      <c r="F4369" s="4" t="str">
        <f>HYPERLINK("http://141.218.60.56/~jnz1568/getInfo.php?workbook=12_04.xlsx&amp;sheet=A0&amp;row=4369&amp;col=6&amp;number=0.000255&amp;sourceID=14","0.000255")</f>
        <v>0.000255</v>
      </c>
      <c r="G4369" s="4" t="str">
        <f>HYPERLINK("http://141.218.60.56/~jnz1568/getInfo.php?workbook=12_04.xlsx&amp;sheet=A0&amp;row=4369&amp;col=7&amp;number=0&amp;sourceID=14","0")</f>
        <v>0</v>
      </c>
    </row>
    <row r="4370" spans="1:7">
      <c r="A4370" s="3">
        <v>12</v>
      </c>
      <c r="B4370" s="3">
        <v>4</v>
      </c>
      <c r="C4370" s="3">
        <v>88</v>
      </c>
      <c r="D4370" s="3">
        <v>79</v>
      </c>
      <c r="E4370" s="3">
        <v>-19432.606</v>
      </c>
      <c r="F4370" s="4" t="str">
        <f>HYPERLINK("http://141.218.60.56/~jnz1568/getInfo.php?workbook=12_04.xlsx&amp;sheet=A0&amp;row=4370&amp;col=6&amp;number=102000&amp;sourceID=14","102000")</f>
        <v>102000</v>
      </c>
      <c r="G4370" s="4" t="str">
        <f>HYPERLINK("http://141.218.60.56/~jnz1568/getInfo.php?workbook=12_04.xlsx&amp;sheet=A0&amp;row=4370&amp;col=7&amp;number=0&amp;sourceID=14","0")</f>
        <v>0</v>
      </c>
    </row>
    <row r="4371" spans="1:7">
      <c r="A4371" s="3">
        <v>12</v>
      </c>
      <c r="B4371" s="3">
        <v>4</v>
      </c>
      <c r="C4371" s="3">
        <v>89</v>
      </c>
      <c r="D4371" s="3">
        <v>79</v>
      </c>
      <c r="E4371" s="3">
        <v>-17828.523</v>
      </c>
      <c r="F4371" s="4" t="str">
        <f>HYPERLINK("http://141.218.60.56/~jnz1568/getInfo.php?workbook=12_04.xlsx&amp;sheet=A0&amp;row=4371&amp;col=6&amp;number=6.22e-09&amp;sourceID=14","6.22e-09")</f>
        <v>6.22e-09</v>
      </c>
      <c r="G4371" s="4" t="str">
        <f>HYPERLINK("http://141.218.60.56/~jnz1568/getInfo.php?workbook=12_04.xlsx&amp;sheet=A0&amp;row=4371&amp;col=7&amp;number=0&amp;sourceID=14","0")</f>
        <v>0</v>
      </c>
    </row>
    <row r="4372" spans="1:7">
      <c r="A4372" s="3">
        <v>12</v>
      </c>
      <c r="B4372" s="3">
        <v>4</v>
      </c>
      <c r="C4372" s="3">
        <v>90</v>
      </c>
      <c r="D4372" s="3">
        <v>79</v>
      </c>
      <c r="E4372" s="3">
        <v>-14320.519</v>
      </c>
      <c r="F4372" s="4" t="str">
        <f>HYPERLINK("http://141.218.60.56/~jnz1568/getInfo.php?workbook=12_04.xlsx&amp;sheet=A0&amp;row=4372&amp;col=6&amp;number=1.29e-12&amp;sourceID=14","1.29e-12")</f>
        <v>1.29e-12</v>
      </c>
      <c r="G4372" s="4" t="str">
        <f>HYPERLINK("http://141.218.60.56/~jnz1568/getInfo.php?workbook=12_04.xlsx&amp;sheet=A0&amp;row=4372&amp;col=7&amp;number=0&amp;sourceID=14","0")</f>
        <v>0</v>
      </c>
    </row>
    <row r="4373" spans="1:7">
      <c r="A4373" s="3">
        <v>12</v>
      </c>
      <c r="B4373" s="3">
        <v>4</v>
      </c>
      <c r="C4373" s="3">
        <v>91</v>
      </c>
      <c r="D4373" s="3">
        <v>79</v>
      </c>
      <c r="E4373" s="3">
        <v>-12192.171</v>
      </c>
      <c r="F4373" s="4" t="str">
        <f>HYPERLINK("http://141.218.60.56/~jnz1568/getInfo.php?workbook=12_04.xlsx&amp;sheet=A0&amp;row=4373&amp;col=6&amp;number=160000&amp;sourceID=14","160000")</f>
        <v>160000</v>
      </c>
      <c r="G4373" s="4" t="str">
        <f>HYPERLINK("http://141.218.60.56/~jnz1568/getInfo.php?workbook=12_04.xlsx&amp;sheet=A0&amp;row=4373&amp;col=7&amp;number=0&amp;sourceID=14","0")</f>
        <v>0</v>
      </c>
    </row>
    <row r="4374" spans="1:7">
      <c r="A4374" s="3">
        <v>12</v>
      </c>
      <c r="B4374" s="3">
        <v>4</v>
      </c>
      <c r="C4374" s="3">
        <v>92</v>
      </c>
      <c r="D4374" s="3">
        <v>79</v>
      </c>
      <c r="E4374" s="3">
        <v>-11779.973</v>
      </c>
      <c r="F4374" s="4" t="str">
        <f>HYPERLINK("http://141.218.60.56/~jnz1568/getInfo.php?workbook=12_04.xlsx&amp;sheet=A0&amp;row=4374&amp;col=6&amp;number=1.07e-07&amp;sourceID=14","1.07e-07")</f>
        <v>1.07e-07</v>
      </c>
      <c r="G4374" s="4" t="str">
        <f>HYPERLINK("http://141.218.60.56/~jnz1568/getInfo.php?workbook=12_04.xlsx&amp;sheet=A0&amp;row=4374&amp;col=7&amp;number=0&amp;sourceID=14","0")</f>
        <v>0</v>
      </c>
    </row>
    <row r="4375" spans="1:7">
      <c r="A4375" s="3">
        <v>12</v>
      </c>
      <c r="B4375" s="3">
        <v>4</v>
      </c>
      <c r="C4375" s="3">
        <v>93</v>
      </c>
      <c r="D4375" s="3">
        <v>79</v>
      </c>
      <c r="E4375" s="3">
        <v>-11425.98</v>
      </c>
      <c r="F4375" s="4" t="str">
        <f>HYPERLINK("http://141.218.60.56/~jnz1568/getInfo.php?workbook=12_04.xlsx&amp;sheet=A0&amp;row=4375&amp;col=6&amp;number=98900&amp;sourceID=14","98900")</f>
        <v>98900</v>
      </c>
      <c r="G4375" s="4" t="str">
        <f>HYPERLINK("http://141.218.60.56/~jnz1568/getInfo.php?workbook=12_04.xlsx&amp;sheet=A0&amp;row=4375&amp;col=7&amp;number=0&amp;sourceID=14","0")</f>
        <v>0</v>
      </c>
    </row>
    <row r="4376" spans="1:7">
      <c r="A4376" s="3">
        <v>12</v>
      </c>
      <c r="B4376" s="3">
        <v>4</v>
      </c>
      <c r="C4376" s="3">
        <v>94</v>
      </c>
      <c r="D4376" s="3">
        <v>79</v>
      </c>
      <c r="E4376" s="3">
        <v>-10289.144</v>
      </c>
      <c r="F4376" s="4" t="str">
        <f>HYPERLINK("http://141.218.60.56/~jnz1568/getInfo.php?workbook=12_04.xlsx&amp;sheet=A0&amp;row=4376&amp;col=6&amp;number=39000&amp;sourceID=14","39000")</f>
        <v>39000</v>
      </c>
      <c r="G4376" s="4" t="str">
        <f>HYPERLINK("http://141.218.60.56/~jnz1568/getInfo.php?workbook=12_04.xlsx&amp;sheet=A0&amp;row=4376&amp;col=7&amp;number=0&amp;sourceID=14","0")</f>
        <v>0</v>
      </c>
    </row>
    <row r="4377" spans="1:7">
      <c r="A4377" s="3">
        <v>12</v>
      </c>
      <c r="B4377" s="3">
        <v>4</v>
      </c>
      <c r="C4377" s="3">
        <v>95</v>
      </c>
      <c r="D4377" s="3">
        <v>79</v>
      </c>
      <c r="E4377" s="3">
        <v>-9659.054</v>
      </c>
      <c r="F4377" s="4" t="str">
        <f>HYPERLINK("http://141.218.60.56/~jnz1568/getInfo.php?workbook=12_04.xlsx&amp;sheet=A0&amp;row=4377&amp;col=6&amp;number=2.41e-06&amp;sourceID=14","2.41e-06")</f>
        <v>2.41e-06</v>
      </c>
      <c r="G4377" s="4" t="str">
        <f>HYPERLINK("http://141.218.60.56/~jnz1568/getInfo.php?workbook=12_04.xlsx&amp;sheet=A0&amp;row=4377&amp;col=7&amp;number=0&amp;sourceID=14","0")</f>
        <v>0</v>
      </c>
    </row>
    <row r="4378" spans="1:7">
      <c r="A4378" s="3">
        <v>12</v>
      </c>
      <c r="B4378" s="3">
        <v>4</v>
      </c>
      <c r="C4378" s="3">
        <v>96</v>
      </c>
      <c r="D4378" s="3">
        <v>79</v>
      </c>
      <c r="E4378" s="3">
        <v>-9140.784</v>
      </c>
      <c r="F4378" s="4" t="str">
        <f>HYPERLINK("http://141.218.60.56/~jnz1568/getInfo.php?workbook=12_04.xlsx&amp;sheet=A0&amp;row=4378&amp;col=6&amp;number=25200&amp;sourceID=14","25200")</f>
        <v>25200</v>
      </c>
      <c r="G4378" s="4" t="str">
        <f>HYPERLINK("http://141.218.60.56/~jnz1568/getInfo.php?workbook=12_04.xlsx&amp;sheet=A0&amp;row=4378&amp;col=7&amp;number=0&amp;sourceID=14","0")</f>
        <v>0</v>
      </c>
    </row>
    <row r="4379" spans="1:7">
      <c r="A4379" s="3">
        <v>12</v>
      </c>
      <c r="B4379" s="3">
        <v>4</v>
      </c>
      <c r="C4379" s="3">
        <v>97</v>
      </c>
      <c r="D4379" s="3">
        <v>79</v>
      </c>
      <c r="E4379" s="3">
        <v>-7442.151</v>
      </c>
      <c r="F4379" s="4" t="str">
        <f>HYPERLINK("http://141.218.60.56/~jnz1568/getInfo.php?workbook=12_04.xlsx&amp;sheet=A0&amp;row=4379&amp;col=6&amp;number=0.0712&amp;sourceID=14","0.0712")</f>
        <v>0.0712</v>
      </c>
      <c r="G4379" s="4" t="str">
        <f>HYPERLINK("http://141.218.60.56/~jnz1568/getInfo.php?workbook=12_04.xlsx&amp;sheet=A0&amp;row=4379&amp;col=7&amp;number=0&amp;sourceID=14","0")</f>
        <v>0</v>
      </c>
    </row>
    <row r="4380" spans="1:7">
      <c r="A4380" s="3">
        <v>12</v>
      </c>
      <c r="B4380" s="3">
        <v>4</v>
      </c>
      <c r="C4380" s="3">
        <v>98</v>
      </c>
      <c r="D4380" s="3">
        <v>79</v>
      </c>
      <c r="E4380" s="3">
        <v>-6833.881</v>
      </c>
      <c r="F4380" s="4" t="str">
        <f>HYPERLINK("http://141.218.60.56/~jnz1568/getInfo.php?workbook=12_04.xlsx&amp;sheet=A0&amp;row=4380&amp;col=6&amp;number=1.03&amp;sourceID=14","1.03")</f>
        <v>1.03</v>
      </c>
      <c r="G4380" s="4" t="str">
        <f>HYPERLINK("http://141.218.60.56/~jnz1568/getInfo.php?workbook=12_04.xlsx&amp;sheet=A0&amp;row=4380&amp;col=7&amp;number=0&amp;sourceID=14","0")</f>
        <v>0</v>
      </c>
    </row>
    <row r="4381" spans="1:7">
      <c r="A4381" s="3">
        <v>12</v>
      </c>
      <c r="B4381" s="3">
        <v>4</v>
      </c>
      <c r="C4381" s="3">
        <v>81</v>
      </c>
      <c r="D4381" s="3">
        <v>80</v>
      </c>
      <c r="E4381" s="3">
        <v>-3703710.5</v>
      </c>
      <c r="F4381" s="4" t="str">
        <f>HYPERLINK("http://141.218.60.56/~jnz1568/getInfo.php?workbook=12_04.xlsx&amp;sheet=A0&amp;row=4381&amp;col=6&amp;number=0.0247&amp;sourceID=14","0.0247")</f>
        <v>0.0247</v>
      </c>
      <c r="G4381" s="4" t="str">
        <f>HYPERLINK("http://141.218.60.56/~jnz1568/getInfo.php?workbook=12_04.xlsx&amp;sheet=A0&amp;row=4381&amp;col=7&amp;number=0&amp;sourceID=14","0")</f>
        <v>0</v>
      </c>
    </row>
    <row r="4382" spans="1:7">
      <c r="A4382" s="3">
        <v>12</v>
      </c>
      <c r="B4382" s="3">
        <v>4</v>
      </c>
      <c r="C4382" s="3">
        <v>82</v>
      </c>
      <c r="D4382" s="3">
        <v>80</v>
      </c>
      <c r="E4382" s="3">
        <v>-276243.594</v>
      </c>
      <c r="F4382" s="4" t="str">
        <f>HYPERLINK("http://141.218.60.56/~jnz1568/getInfo.php?workbook=12_04.xlsx&amp;sheet=A0&amp;row=4382&amp;col=6&amp;number=0.000124&amp;sourceID=14","0.000124")</f>
        <v>0.000124</v>
      </c>
      <c r="G4382" s="4" t="str">
        <f>HYPERLINK("http://141.218.60.56/~jnz1568/getInfo.php?workbook=12_04.xlsx&amp;sheet=A0&amp;row=4382&amp;col=7&amp;number=0&amp;sourceID=14","0")</f>
        <v>0</v>
      </c>
    </row>
    <row r="4383" spans="1:7">
      <c r="A4383" s="3">
        <v>12</v>
      </c>
      <c r="B4383" s="3">
        <v>4</v>
      </c>
      <c r="C4383" s="3">
        <v>83</v>
      </c>
      <c r="D4383" s="3">
        <v>80</v>
      </c>
      <c r="E4383" s="3">
        <v>-272480.062</v>
      </c>
      <c r="F4383" s="4" t="str">
        <f>HYPERLINK("http://141.218.60.56/~jnz1568/getInfo.php?workbook=12_04.xlsx&amp;sheet=A0&amp;row=4383&amp;col=6&amp;number=7.78e-05&amp;sourceID=14","7.78e-05")</f>
        <v>7.78e-05</v>
      </c>
      <c r="G4383" s="4" t="str">
        <f>HYPERLINK("http://141.218.60.56/~jnz1568/getInfo.php?workbook=12_04.xlsx&amp;sheet=A0&amp;row=4383&amp;col=7&amp;number=0&amp;sourceID=14","0")</f>
        <v>0</v>
      </c>
    </row>
    <row r="4384" spans="1:7">
      <c r="A4384" s="3">
        <v>12</v>
      </c>
      <c r="B4384" s="3">
        <v>4</v>
      </c>
      <c r="C4384" s="3">
        <v>84</v>
      </c>
      <c r="D4384" s="3">
        <v>80</v>
      </c>
      <c r="E4384" s="3">
        <v>-144508.938</v>
      </c>
      <c r="F4384" s="4" t="str">
        <f>HYPERLINK("http://141.218.60.56/~jnz1568/getInfo.php?workbook=12_04.xlsx&amp;sheet=A0&amp;row=4384&amp;col=6&amp;number=1.31e-05&amp;sourceID=14","1.31e-05")</f>
        <v>1.31e-05</v>
      </c>
      <c r="G4384" s="4" t="str">
        <f>HYPERLINK("http://141.218.60.56/~jnz1568/getInfo.php?workbook=12_04.xlsx&amp;sheet=A0&amp;row=4384&amp;col=7&amp;number=0&amp;sourceID=14","0")</f>
        <v>0</v>
      </c>
    </row>
    <row r="4385" spans="1:7">
      <c r="A4385" s="3">
        <v>12</v>
      </c>
      <c r="B4385" s="3">
        <v>4</v>
      </c>
      <c r="C4385" s="3">
        <v>85</v>
      </c>
      <c r="D4385" s="3">
        <v>80</v>
      </c>
      <c r="E4385" s="3">
        <v>-46083.035</v>
      </c>
      <c r="F4385" s="4" t="str">
        <f>HYPERLINK("http://141.218.60.56/~jnz1568/getInfo.php?workbook=12_04.xlsx&amp;sheet=A0&amp;row=4385&amp;col=6&amp;number=2.57&amp;sourceID=14","2.57")</f>
        <v>2.57</v>
      </c>
      <c r="G4385" s="4" t="str">
        <f>HYPERLINK("http://141.218.60.56/~jnz1568/getInfo.php?workbook=12_04.xlsx&amp;sheet=A0&amp;row=4385&amp;col=7&amp;number=0&amp;sourceID=14","0")</f>
        <v>0</v>
      </c>
    </row>
    <row r="4386" spans="1:7">
      <c r="A4386" s="3">
        <v>12</v>
      </c>
      <c r="B4386" s="3">
        <v>4</v>
      </c>
      <c r="C4386" s="3">
        <v>86</v>
      </c>
      <c r="D4386" s="3">
        <v>80</v>
      </c>
      <c r="E4386" s="3">
        <v>-35842.359</v>
      </c>
      <c r="F4386" s="4" t="str">
        <f>HYPERLINK("http://141.218.60.56/~jnz1568/getInfo.php?workbook=12_04.xlsx&amp;sheet=A0&amp;row=4386&amp;col=6&amp;number=3.36e-12&amp;sourceID=14","3.36e-12")</f>
        <v>3.36e-12</v>
      </c>
      <c r="G4386" s="4" t="str">
        <f>HYPERLINK("http://141.218.60.56/~jnz1568/getInfo.php?workbook=12_04.xlsx&amp;sheet=A0&amp;row=4386&amp;col=7&amp;number=0&amp;sourceID=14","0")</f>
        <v>0</v>
      </c>
    </row>
    <row r="4387" spans="1:7">
      <c r="A4387" s="3">
        <v>12</v>
      </c>
      <c r="B4387" s="3">
        <v>4</v>
      </c>
      <c r="C4387" s="3">
        <v>87</v>
      </c>
      <c r="D4387" s="3">
        <v>80</v>
      </c>
      <c r="E4387" s="3">
        <v>-32030.809</v>
      </c>
      <c r="F4387" s="4" t="str">
        <f>HYPERLINK("http://141.218.60.56/~jnz1568/getInfo.php?workbook=12_04.xlsx&amp;sheet=A0&amp;row=4387&amp;col=6&amp;number=1.09e-14&amp;sourceID=14","1.09e-14")</f>
        <v>1.09e-14</v>
      </c>
      <c r="G4387" s="4" t="str">
        <f>HYPERLINK("http://141.218.60.56/~jnz1568/getInfo.php?workbook=12_04.xlsx&amp;sheet=A0&amp;row=4387&amp;col=7&amp;number=0&amp;sourceID=14","0")</f>
        <v>0</v>
      </c>
    </row>
    <row r="4388" spans="1:7">
      <c r="A4388" s="3">
        <v>12</v>
      </c>
      <c r="B4388" s="3">
        <v>4</v>
      </c>
      <c r="C4388" s="3">
        <v>88</v>
      </c>
      <c r="D4388" s="3">
        <v>80</v>
      </c>
      <c r="E4388" s="3">
        <v>-25608.242</v>
      </c>
      <c r="F4388" s="4" t="str">
        <f>HYPERLINK("http://141.218.60.56/~jnz1568/getInfo.php?workbook=12_04.xlsx&amp;sheet=A0&amp;row=4388&amp;col=6&amp;number=0.0634&amp;sourceID=14","0.0634")</f>
        <v>0.0634</v>
      </c>
      <c r="G4388" s="4" t="str">
        <f>HYPERLINK("http://141.218.60.56/~jnz1568/getInfo.php?workbook=12_04.xlsx&amp;sheet=A0&amp;row=4388&amp;col=7&amp;number=0&amp;sourceID=14","0")</f>
        <v>0</v>
      </c>
    </row>
    <row r="4389" spans="1:7">
      <c r="A4389" s="3">
        <v>12</v>
      </c>
      <c r="B4389" s="3">
        <v>4</v>
      </c>
      <c r="C4389" s="3">
        <v>89</v>
      </c>
      <c r="D4389" s="3">
        <v>80</v>
      </c>
      <c r="E4389" s="3">
        <v>-22893.815</v>
      </c>
      <c r="F4389" s="4" t="str">
        <f>HYPERLINK("http://141.218.60.56/~jnz1568/getInfo.php?workbook=12_04.xlsx&amp;sheet=A0&amp;row=4389&amp;col=6&amp;number=0.302&amp;sourceID=14","0.302")</f>
        <v>0.302</v>
      </c>
      <c r="G4389" s="4" t="str">
        <f>HYPERLINK("http://141.218.60.56/~jnz1568/getInfo.php?workbook=12_04.xlsx&amp;sheet=A0&amp;row=4389&amp;col=7&amp;number=0&amp;sourceID=14","0")</f>
        <v>0</v>
      </c>
    </row>
    <row r="4390" spans="1:7">
      <c r="A4390" s="3">
        <v>12</v>
      </c>
      <c r="B4390" s="3">
        <v>4</v>
      </c>
      <c r="C4390" s="3">
        <v>90</v>
      </c>
      <c r="D4390" s="3">
        <v>80</v>
      </c>
      <c r="E4390" s="3">
        <v>-17415.566</v>
      </c>
      <c r="F4390" s="4" t="str">
        <f>HYPERLINK("http://141.218.60.56/~jnz1568/getInfo.php?workbook=12_04.xlsx&amp;sheet=A0&amp;row=4390&amp;col=6&amp;number=1.09e-06&amp;sourceID=14","1.09e-06")</f>
        <v>1.09e-06</v>
      </c>
      <c r="G4390" s="4" t="str">
        <f>HYPERLINK("http://141.218.60.56/~jnz1568/getInfo.php?workbook=12_04.xlsx&amp;sheet=A0&amp;row=4390&amp;col=7&amp;number=0&amp;sourceID=14","0")</f>
        <v>0</v>
      </c>
    </row>
    <row r="4391" spans="1:7">
      <c r="A4391" s="3">
        <v>12</v>
      </c>
      <c r="B4391" s="3">
        <v>4</v>
      </c>
      <c r="C4391" s="3">
        <v>91</v>
      </c>
      <c r="D4391" s="3">
        <v>80</v>
      </c>
      <c r="E4391" s="3">
        <v>-14365.778</v>
      </c>
      <c r="F4391" s="4" t="str">
        <f>HYPERLINK("http://141.218.60.56/~jnz1568/getInfo.php?workbook=12_04.xlsx&amp;sheet=A0&amp;row=4391&amp;col=6&amp;number=0.545&amp;sourceID=14","0.545")</f>
        <v>0.545</v>
      </c>
      <c r="G4391" s="4" t="str">
        <f>HYPERLINK("http://141.218.60.56/~jnz1568/getInfo.php?workbook=12_04.xlsx&amp;sheet=A0&amp;row=4391&amp;col=7&amp;number=0&amp;sourceID=14","0")</f>
        <v>0</v>
      </c>
    </row>
    <row r="4392" spans="1:7">
      <c r="A4392" s="3">
        <v>12</v>
      </c>
      <c r="B4392" s="3">
        <v>4</v>
      </c>
      <c r="C4392" s="3">
        <v>92</v>
      </c>
      <c r="D4392" s="3">
        <v>80</v>
      </c>
      <c r="E4392" s="3">
        <v>-13796.935</v>
      </c>
      <c r="F4392" s="4" t="str">
        <f>HYPERLINK("http://141.218.60.56/~jnz1568/getInfo.php?workbook=12_04.xlsx&amp;sheet=A0&amp;row=4392&amp;col=6&amp;number=0.1&amp;sourceID=14","0.1")</f>
        <v>0.1</v>
      </c>
      <c r="G4392" s="4" t="str">
        <f>HYPERLINK("http://141.218.60.56/~jnz1568/getInfo.php?workbook=12_04.xlsx&amp;sheet=A0&amp;row=4392&amp;col=7&amp;number=0&amp;sourceID=14","0")</f>
        <v>0</v>
      </c>
    </row>
    <row r="4393" spans="1:7">
      <c r="A4393" s="3">
        <v>12</v>
      </c>
      <c r="B4393" s="3">
        <v>4</v>
      </c>
      <c r="C4393" s="3">
        <v>93</v>
      </c>
      <c r="D4393" s="3">
        <v>80</v>
      </c>
      <c r="E4393" s="3">
        <v>-13313.831</v>
      </c>
      <c r="F4393" s="4" t="str">
        <f>HYPERLINK("http://141.218.60.56/~jnz1568/getInfo.php?workbook=12_04.xlsx&amp;sheet=A0&amp;row=4393&amp;col=6&amp;number=0.201&amp;sourceID=14","0.201")</f>
        <v>0.201</v>
      </c>
      <c r="G4393" s="4" t="str">
        <f>HYPERLINK("http://141.218.60.56/~jnz1568/getInfo.php?workbook=12_04.xlsx&amp;sheet=A0&amp;row=4393&amp;col=7&amp;number=0&amp;sourceID=14","0")</f>
        <v>0</v>
      </c>
    </row>
    <row r="4394" spans="1:7">
      <c r="A4394" s="3">
        <v>12</v>
      </c>
      <c r="B4394" s="3">
        <v>4</v>
      </c>
      <c r="C4394" s="3">
        <v>94</v>
      </c>
      <c r="D4394" s="3">
        <v>80</v>
      </c>
      <c r="E4394" s="3">
        <v>-11795.257</v>
      </c>
      <c r="F4394" s="4" t="str">
        <f>HYPERLINK("http://141.218.60.56/~jnz1568/getInfo.php?workbook=12_04.xlsx&amp;sheet=A0&amp;row=4394&amp;col=6&amp;number=0.000203&amp;sourceID=14","0.000203")</f>
        <v>0.000203</v>
      </c>
      <c r="G4394" s="4" t="str">
        <f>HYPERLINK("http://141.218.60.56/~jnz1568/getInfo.php?workbook=12_04.xlsx&amp;sheet=A0&amp;row=4394&amp;col=7&amp;number=0&amp;sourceID=14","0")</f>
        <v>0</v>
      </c>
    </row>
    <row r="4395" spans="1:7">
      <c r="A4395" s="3">
        <v>12</v>
      </c>
      <c r="B4395" s="3">
        <v>4</v>
      </c>
      <c r="C4395" s="3">
        <v>96</v>
      </c>
      <c r="D4395" s="3">
        <v>80</v>
      </c>
      <c r="E4395" s="3">
        <v>-10310.36</v>
      </c>
      <c r="F4395" s="4" t="str">
        <f>HYPERLINK("http://141.218.60.56/~jnz1568/getInfo.php?workbook=12_04.xlsx&amp;sheet=A0&amp;row=4395&amp;col=6&amp;number=0.38&amp;sourceID=14","0.38")</f>
        <v>0.38</v>
      </c>
      <c r="G4395" s="4" t="str">
        <f>HYPERLINK("http://141.218.60.56/~jnz1568/getInfo.php?workbook=12_04.xlsx&amp;sheet=A0&amp;row=4395&amp;col=7&amp;number=0&amp;sourceID=14","0")</f>
        <v>0</v>
      </c>
    </row>
    <row r="4396" spans="1:7">
      <c r="A4396" s="3">
        <v>12</v>
      </c>
      <c r="B4396" s="3">
        <v>4</v>
      </c>
      <c r="C4396" s="3">
        <v>97</v>
      </c>
      <c r="D4396" s="3">
        <v>80</v>
      </c>
      <c r="E4396" s="3">
        <v>-8199.425</v>
      </c>
      <c r="F4396" s="4" t="str">
        <f>HYPERLINK("http://141.218.60.56/~jnz1568/getInfo.php?workbook=12_04.xlsx&amp;sheet=A0&amp;row=4396&amp;col=6&amp;number=170000&amp;sourceID=14","170000")</f>
        <v>170000</v>
      </c>
      <c r="G4396" s="4" t="str">
        <f>HYPERLINK("http://141.218.60.56/~jnz1568/getInfo.php?workbook=12_04.xlsx&amp;sheet=A0&amp;row=4396&amp;col=7&amp;number=0&amp;sourceID=14","0")</f>
        <v>0</v>
      </c>
    </row>
    <row r="4397" spans="1:7">
      <c r="A4397" s="3">
        <v>12</v>
      </c>
      <c r="B4397" s="3">
        <v>4</v>
      </c>
      <c r="C4397" s="3">
        <v>98</v>
      </c>
      <c r="D4397" s="3">
        <v>80</v>
      </c>
      <c r="E4397" s="3">
        <v>-7467.158</v>
      </c>
      <c r="F4397" s="4" t="str">
        <f>HYPERLINK("http://141.218.60.56/~jnz1568/getInfo.php?workbook=12_04.xlsx&amp;sheet=A0&amp;row=4397&amp;col=6&amp;number=5.88e-07&amp;sourceID=14","5.88e-07")</f>
        <v>5.88e-07</v>
      </c>
      <c r="G4397" s="4" t="str">
        <f>HYPERLINK("http://141.218.60.56/~jnz1568/getInfo.php?workbook=12_04.xlsx&amp;sheet=A0&amp;row=4397&amp;col=7&amp;number=0&amp;sourceID=14","0")</f>
        <v>0</v>
      </c>
    </row>
    <row r="4398" spans="1:7">
      <c r="A4398" s="3">
        <v>12</v>
      </c>
      <c r="B4398" s="3">
        <v>4</v>
      </c>
      <c r="C4398" s="3">
        <v>82</v>
      </c>
      <c r="D4398" s="3">
        <v>81</v>
      </c>
      <c r="E4398" s="3">
        <v>-298508</v>
      </c>
      <c r="F4398" s="4" t="str">
        <f>HYPERLINK("http://141.218.60.56/~jnz1568/getInfo.php?workbook=12_04.xlsx&amp;sheet=A0&amp;row=4398&amp;col=6&amp;number=2.34&amp;sourceID=14","2.34")</f>
        <v>2.34</v>
      </c>
      <c r="G4398" s="4" t="str">
        <f>HYPERLINK("http://141.218.60.56/~jnz1568/getInfo.php?workbook=12_04.xlsx&amp;sheet=A0&amp;row=4398&amp;col=7&amp;number=0&amp;sourceID=14","0")</f>
        <v>0</v>
      </c>
    </row>
    <row r="4399" spans="1:7">
      <c r="A4399" s="3">
        <v>12</v>
      </c>
      <c r="B4399" s="3">
        <v>4</v>
      </c>
      <c r="C4399" s="3">
        <v>83</v>
      </c>
      <c r="D4399" s="3">
        <v>81</v>
      </c>
      <c r="E4399" s="3">
        <v>-294118.188</v>
      </c>
      <c r="F4399" s="4" t="str">
        <f>HYPERLINK("http://141.218.60.56/~jnz1568/getInfo.php?workbook=12_04.xlsx&amp;sheet=A0&amp;row=4399&amp;col=6&amp;number=48.6&amp;sourceID=14","48.6")</f>
        <v>48.6</v>
      </c>
      <c r="G4399" s="4" t="str">
        <f>HYPERLINK("http://141.218.60.56/~jnz1568/getInfo.php?workbook=12_04.xlsx&amp;sheet=A0&amp;row=4399&amp;col=7&amp;number=0&amp;sourceID=14","0")</f>
        <v>0</v>
      </c>
    </row>
    <row r="4400" spans="1:7">
      <c r="A4400" s="3">
        <v>12</v>
      </c>
      <c r="B4400" s="3">
        <v>4</v>
      </c>
      <c r="C4400" s="3">
        <v>84</v>
      </c>
      <c r="D4400" s="3">
        <v>81</v>
      </c>
      <c r="E4400" s="3">
        <v>-150376.219</v>
      </c>
      <c r="F4400" s="4" t="str">
        <f>HYPERLINK("http://141.218.60.56/~jnz1568/getInfo.php?workbook=12_04.xlsx&amp;sheet=A0&amp;row=4400&amp;col=6&amp;number=83.5&amp;sourceID=14","83.5")</f>
        <v>83.5</v>
      </c>
      <c r="G4400" s="4" t="str">
        <f>HYPERLINK("http://141.218.60.56/~jnz1568/getInfo.php?workbook=12_04.xlsx&amp;sheet=A0&amp;row=4400&amp;col=7&amp;number=0&amp;sourceID=14","0")</f>
        <v>0</v>
      </c>
    </row>
    <row r="4401" spans="1:7">
      <c r="A4401" s="3">
        <v>12</v>
      </c>
      <c r="B4401" s="3">
        <v>4</v>
      </c>
      <c r="C4401" s="3">
        <v>85</v>
      </c>
      <c r="D4401" s="3">
        <v>81</v>
      </c>
      <c r="E4401" s="3">
        <v>83333.484</v>
      </c>
      <c r="F4401" s="4" t="str">
        <f>HYPERLINK("http://141.218.60.56/~jnz1568/getInfo.php?workbook=12_04.xlsx&amp;sheet=A0&amp;row=4401&amp;col=6&amp;number=0.00818&amp;sourceID=14","0.00818")</f>
        <v>0.00818</v>
      </c>
      <c r="G4401" s="4" t="str">
        <f>HYPERLINK("http://141.218.60.56/~jnz1568/getInfo.php?workbook=12_04.xlsx&amp;sheet=A0&amp;row=4401&amp;col=7&amp;number=0&amp;sourceID=14","0")</f>
        <v>0</v>
      </c>
    </row>
    <row r="4402" spans="1:7">
      <c r="A4402" s="3">
        <v>12</v>
      </c>
      <c r="B4402" s="3">
        <v>4</v>
      </c>
      <c r="C4402" s="3">
        <v>86</v>
      </c>
      <c r="D4402" s="3">
        <v>81</v>
      </c>
      <c r="E4402" s="3">
        <v>58139.641</v>
      </c>
      <c r="F4402" s="4" t="str">
        <f>HYPERLINK("http://141.218.60.56/~jnz1568/getInfo.php?workbook=12_04.xlsx&amp;sheet=A0&amp;row=4402&amp;col=6&amp;number=5.63e-06&amp;sourceID=14","5.63e-06")</f>
        <v>5.63e-06</v>
      </c>
      <c r="G4402" s="4" t="str">
        <f>HYPERLINK("http://141.218.60.56/~jnz1568/getInfo.php?workbook=12_04.xlsx&amp;sheet=A0&amp;row=4402&amp;col=7&amp;number=0&amp;sourceID=14","0")</f>
        <v>0</v>
      </c>
    </row>
    <row r="4403" spans="1:7">
      <c r="A4403" s="3">
        <v>12</v>
      </c>
      <c r="B4403" s="3">
        <v>4</v>
      </c>
      <c r="C4403" s="3">
        <v>88</v>
      </c>
      <c r="D4403" s="3">
        <v>81</v>
      </c>
      <c r="E4403" s="3">
        <v>-25786.535</v>
      </c>
      <c r="F4403" s="4" t="str">
        <f>HYPERLINK("http://141.218.60.56/~jnz1568/getInfo.php?workbook=12_04.xlsx&amp;sheet=A0&amp;row=4403&amp;col=6&amp;number=2250&amp;sourceID=14","2250")</f>
        <v>2250</v>
      </c>
      <c r="G4403" s="4" t="str">
        <f>HYPERLINK("http://141.218.60.56/~jnz1568/getInfo.php?workbook=12_04.xlsx&amp;sheet=A0&amp;row=4403&amp;col=7&amp;number=0&amp;sourceID=14","0")</f>
        <v>0</v>
      </c>
    </row>
    <row r="4404" spans="1:7">
      <c r="A4404" s="3">
        <v>12</v>
      </c>
      <c r="B4404" s="3">
        <v>4</v>
      </c>
      <c r="C4404" s="3">
        <v>89</v>
      </c>
      <c r="D4404" s="3">
        <v>81</v>
      </c>
      <c r="E4404" s="3">
        <v>-23036.209</v>
      </c>
      <c r="F4404" s="4" t="str">
        <f>HYPERLINK("http://141.218.60.56/~jnz1568/getInfo.php?workbook=12_04.xlsx&amp;sheet=A0&amp;row=4404&amp;col=6&amp;number=34800&amp;sourceID=14","34800")</f>
        <v>34800</v>
      </c>
      <c r="G4404" s="4" t="str">
        <f>HYPERLINK("http://141.218.60.56/~jnz1568/getInfo.php?workbook=12_04.xlsx&amp;sheet=A0&amp;row=4404&amp;col=7&amp;number=0&amp;sourceID=14","0")</f>
        <v>0</v>
      </c>
    </row>
    <row r="4405" spans="1:7">
      <c r="A4405" s="3">
        <v>12</v>
      </c>
      <c r="B4405" s="3">
        <v>4</v>
      </c>
      <c r="C4405" s="3">
        <v>90</v>
      </c>
      <c r="D4405" s="3">
        <v>81</v>
      </c>
      <c r="E4405" s="3">
        <v>-17497.846</v>
      </c>
      <c r="F4405" s="4" t="str">
        <f>HYPERLINK("http://141.218.60.56/~jnz1568/getInfo.php?workbook=12_04.xlsx&amp;sheet=A0&amp;row=4405&amp;col=6&amp;number=8.4e-09&amp;sourceID=14","8.4e-09")</f>
        <v>8.4e-09</v>
      </c>
      <c r="G4405" s="4" t="str">
        <f>HYPERLINK("http://141.218.60.56/~jnz1568/getInfo.php?workbook=12_04.xlsx&amp;sheet=A0&amp;row=4405&amp;col=7&amp;number=0&amp;sourceID=14","0")</f>
        <v>0</v>
      </c>
    </row>
    <row r="4406" spans="1:7">
      <c r="A4406" s="3">
        <v>12</v>
      </c>
      <c r="B4406" s="3">
        <v>4</v>
      </c>
      <c r="C4406" s="3">
        <v>91</v>
      </c>
      <c r="D4406" s="3">
        <v>81</v>
      </c>
      <c r="E4406" s="3">
        <v>-14421.717</v>
      </c>
      <c r="F4406" s="4" t="str">
        <f>HYPERLINK("http://141.218.60.56/~jnz1568/getInfo.php?workbook=12_04.xlsx&amp;sheet=A0&amp;row=4406&amp;col=6&amp;number=108000&amp;sourceID=14","108000")</f>
        <v>108000</v>
      </c>
      <c r="G4406" s="4" t="str">
        <f>HYPERLINK("http://141.218.60.56/~jnz1568/getInfo.php?workbook=12_04.xlsx&amp;sheet=A0&amp;row=4406&amp;col=7&amp;number=0&amp;sourceID=14","0")</f>
        <v>0</v>
      </c>
    </row>
    <row r="4407" spans="1:7">
      <c r="A4407" s="3">
        <v>12</v>
      </c>
      <c r="B4407" s="3">
        <v>4</v>
      </c>
      <c r="C4407" s="3">
        <v>92</v>
      </c>
      <c r="D4407" s="3">
        <v>81</v>
      </c>
      <c r="E4407" s="3">
        <v>-13848.522</v>
      </c>
      <c r="F4407" s="4" t="str">
        <f>HYPERLINK("http://141.218.60.56/~jnz1568/getInfo.php?workbook=12_04.xlsx&amp;sheet=A0&amp;row=4407&amp;col=6&amp;number=822&amp;sourceID=14","822")</f>
        <v>822</v>
      </c>
      <c r="G4407" s="4" t="str">
        <f>HYPERLINK("http://141.218.60.56/~jnz1568/getInfo.php?workbook=12_04.xlsx&amp;sheet=A0&amp;row=4407&amp;col=7&amp;number=0&amp;sourceID=14","0")</f>
        <v>0</v>
      </c>
    </row>
    <row r="4408" spans="1:7">
      <c r="A4408" s="3">
        <v>12</v>
      </c>
      <c r="B4408" s="3">
        <v>4</v>
      </c>
      <c r="C4408" s="3">
        <v>93</v>
      </c>
      <c r="D4408" s="3">
        <v>81</v>
      </c>
      <c r="E4408" s="3">
        <v>-13361.863</v>
      </c>
      <c r="F4408" s="4" t="str">
        <f>HYPERLINK("http://141.218.60.56/~jnz1568/getInfo.php?workbook=12_04.xlsx&amp;sheet=A0&amp;row=4408&amp;col=6&amp;number=20600&amp;sourceID=14","20600")</f>
        <v>20600</v>
      </c>
      <c r="G4408" s="4" t="str">
        <f>HYPERLINK("http://141.218.60.56/~jnz1568/getInfo.php?workbook=12_04.xlsx&amp;sheet=A0&amp;row=4408&amp;col=7&amp;number=0&amp;sourceID=14","0")</f>
        <v>0</v>
      </c>
    </row>
    <row r="4409" spans="1:7">
      <c r="A4409" s="3">
        <v>12</v>
      </c>
      <c r="B4409" s="3">
        <v>4</v>
      </c>
      <c r="C4409" s="3">
        <v>94</v>
      </c>
      <c r="D4409" s="3">
        <v>81</v>
      </c>
      <c r="E4409" s="3">
        <v>-11832.941</v>
      </c>
      <c r="F4409" s="4" t="str">
        <f>HYPERLINK("http://141.218.60.56/~jnz1568/getInfo.php?workbook=12_04.xlsx&amp;sheet=A0&amp;row=4409&amp;col=6&amp;number=6.02e-11&amp;sourceID=14","6.02e-11")</f>
        <v>6.02e-11</v>
      </c>
      <c r="G4409" s="4" t="str">
        <f>HYPERLINK("http://141.218.60.56/~jnz1568/getInfo.php?workbook=12_04.xlsx&amp;sheet=A0&amp;row=4409&amp;col=7&amp;number=0&amp;sourceID=14","0")</f>
        <v>0</v>
      </c>
    </row>
    <row r="4410" spans="1:7">
      <c r="A4410" s="3">
        <v>12</v>
      </c>
      <c r="B4410" s="3">
        <v>4</v>
      </c>
      <c r="C4410" s="3">
        <v>95</v>
      </c>
      <c r="D4410" s="3">
        <v>81</v>
      </c>
      <c r="E4410" s="3">
        <v>-11007.175</v>
      </c>
      <c r="F4410" s="4" t="str">
        <f>HYPERLINK("http://141.218.60.56/~jnz1568/getInfo.php?workbook=12_04.xlsx&amp;sheet=A0&amp;row=4410&amp;col=6&amp;number=7.99e-13&amp;sourceID=14","7.99e-13")</f>
        <v>7.99e-13</v>
      </c>
      <c r="G4410" s="4" t="str">
        <f>HYPERLINK("http://141.218.60.56/~jnz1568/getInfo.php?workbook=12_04.xlsx&amp;sheet=A0&amp;row=4410&amp;col=7&amp;number=0&amp;sourceID=14","0")</f>
        <v>0</v>
      </c>
    </row>
    <row r="4411" spans="1:7">
      <c r="A4411" s="3">
        <v>12</v>
      </c>
      <c r="B4411" s="3">
        <v>4</v>
      </c>
      <c r="C4411" s="3">
        <v>96</v>
      </c>
      <c r="D4411" s="3">
        <v>81</v>
      </c>
      <c r="E4411" s="3">
        <v>-10339.143</v>
      </c>
      <c r="F4411" s="4" t="str">
        <f>HYPERLINK("http://141.218.60.56/~jnz1568/getInfo.php?workbook=12_04.xlsx&amp;sheet=A0&amp;row=4411&amp;col=6&amp;number=6810&amp;sourceID=14","6810")</f>
        <v>6810</v>
      </c>
      <c r="G4411" s="4" t="str">
        <f>HYPERLINK("http://141.218.60.56/~jnz1568/getInfo.php?workbook=12_04.xlsx&amp;sheet=A0&amp;row=4411&amp;col=7&amp;number=0&amp;sourceID=14","0")</f>
        <v>0</v>
      </c>
    </row>
    <row r="4412" spans="1:7">
      <c r="A4412" s="3">
        <v>12</v>
      </c>
      <c r="B4412" s="3">
        <v>4</v>
      </c>
      <c r="C4412" s="3">
        <v>97</v>
      </c>
      <c r="D4412" s="3">
        <v>81</v>
      </c>
      <c r="E4412" s="3">
        <v>12019.253</v>
      </c>
      <c r="F4412" s="4" t="str">
        <f>HYPERLINK("http://141.218.60.56/~jnz1568/getInfo.php?workbook=12_04.xlsx&amp;sheet=A0&amp;row=4412&amp;col=6&amp;number=0.12&amp;sourceID=14","0.12")</f>
        <v>0.12</v>
      </c>
      <c r="G4412" s="4" t="str">
        <f>HYPERLINK("http://141.218.60.56/~jnz1568/getInfo.php?workbook=12_04.xlsx&amp;sheet=A0&amp;row=4412&amp;col=7&amp;number=0&amp;sourceID=14","0")</f>
        <v>0</v>
      </c>
    </row>
    <row r="4413" spans="1:7">
      <c r="A4413" s="3">
        <v>12</v>
      </c>
      <c r="B4413" s="3">
        <v>4</v>
      </c>
      <c r="C4413" s="3">
        <v>98</v>
      </c>
      <c r="D4413" s="3">
        <v>81</v>
      </c>
      <c r="E4413" s="3">
        <v>9940.376</v>
      </c>
      <c r="F4413" s="4" t="str">
        <f>HYPERLINK("http://141.218.60.56/~jnz1568/getInfo.php?workbook=12_04.xlsx&amp;sheet=A0&amp;row=4413&amp;col=6&amp;number=3.11e-06&amp;sourceID=14","3.11e-06")</f>
        <v>3.11e-06</v>
      </c>
      <c r="G4413" s="4" t="str">
        <f>HYPERLINK("http://141.218.60.56/~jnz1568/getInfo.php?workbook=12_04.xlsx&amp;sheet=A0&amp;row=4413&amp;col=7&amp;number=0&amp;sourceID=14","0")</f>
        <v>0</v>
      </c>
    </row>
    <row r="4414" spans="1:7">
      <c r="A4414" s="3">
        <v>12</v>
      </c>
      <c r="B4414" s="3">
        <v>4</v>
      </c>
      <c r="C4414" s="3">
        <v>83</v>
      </c>
      <c r="D4414" s="3">
        <v>82</v>
      </c>
      <c r="E4414" s="3">
        <v>-20000036</v>
      </c>
      <c r="F4414" s="4" t="str">
        <f>HYPERLINK("http://141.218.60.56/~jnz1568/getInfo.php?workbook=12_04.xlsx&amp;sheet=A0&amp;row=4414&amp;col=6&amp;number=1.76e-09&amp;sourceID=14","1.76e-09")</f>
        <v>1.76e-09</v>
      </c>
      <c r="G4414" s="4" t="str">
        <f>HYPERLINK("http://141.218.60.56/~jnz1568/getInfo.php?workbook=12_04.xlsx&amp;sheet=A0&amp;row=4414&amp;col=7&amp;number=0&amp;sourceID=14","0")</f>
        <v>0</v>
      </c>
    </row>
    <row r="4415" spans="1:7">
      <c r="A4415" s="3">
        <v>12</v>
      </c>
      <c r="B4415" s="3">
        <v>4</v>
      </c>
      <c r="C4415" s="3">
        <v>84</v>
      </c>
      <c r="D4415" s="3">
        <v>82</v>
      </c>
      <c r="E4415" s="3">
        <v>-303030.875</v>
      </c>
      <c r="F4415" s="4" t="str">
        <f>HYPERLINK("http://141.218.60.56/~jnz1568/getInfo.php?workbook=12_04.xlsx&amp;sheet=A0&amp;row=4415&amp;col=6&amp;number=1.04e-12&amp;sourceID=14","1.04e-12")</f>
        <v>1.04e-12</v>
      </c>
      <c r="G4415" s="4" t="str">
        <f>HYPERLINK("http://141.218.60.56/~jnz1568/getInfo.php?workbook=12_04.xlsx&amp;sheet=A0&amp;row=4415&amp;col=7&amp;number=0&amp;sourceID=14","0")</f>
        <v>0</v>
      </c>
    </row>
    <row r="4416" spans="1:7">
      <c r="A4416" s="3">
        <v>12</v>
      </c>
      <c r="B4416" s="3">
        <v>4</v>
      </c>
      <c r="C4416" s="3">
        <v>85</v>
      </c>
      <c r="D4416" s="3">
        <v>82</v>
      </c>
      <c r="E4416" s="3">
        <v>-55309.836</v>
      </c>
      <c r="F4416" s="4" t="str">
        <f>HYPERLINK("http://141.218.60.56/~jnz1568/getInfo.php?workbook=12_04.xlsx&amp;sheet=A0&amp;row=4416&amp;col=6&amp;number=107&amp;sourceID=14","107")</f>
        <v>107</v>
      </c>
      <c r="G4416" s="4" t="str">
        <f>HYPERLINK("http://141.218.60.56/~jnz1568/getInfo.php?workbook=12_04.xlsx&amp;sheet=A0&amp;row=4416&amp;col=7&amp;number=0&amp;sourceID=14","0")</f>
        <v>0</v>
      </c>
    </row>
    <row r="4417" spans="1:7">
      <c r="A4417" s="3">
        <v>12</v>
      </c>
      <c r="B4417" s="3">
        <v>4</v>
      </c>
      <c r="C4417" s="3">
        <v>86</v>
      </c>
      <c r="D4417" s="3">
        <v>82</v>
      </c>
      <c r="E4417" s="3">
        <v>-41186.238</v>
      </c>
      <c r="F4417" s="4" t="str">
        <f>HYPERLINK("http://141.218.60.56/~jnz1568/getInfo.php?workbook=12_04.xlsx&amp;sheet=A0&amp;row=4417&amp;col=6&amp;number=517&amp;sourceID=14","517")</f>
        <v>517</v>
      </c>
      <c r="G4417" s="4" t="str">
        <f>HYPERLINK("http://141.218.60.56/~jnz1568/getInfo.php?workbook=12_04.xlsx&amp;sheet=A0&amp;row=4417&amp;col=7&amp;number=0&amp;sourceID=14","0")</f>
        <v>0</v>
      </c>
    </row>
    <row r="4418" spans="1:7">
      <c r="A4418" s="3">
        <v>12</v>
      </c>
      <c r="B4418" s="3">
        <v>4</v>
      </c>
      <c r="C4418" s="3">
        <v>88</v>
      </c>
      <c r="D4418" s="3">
        <v>82</v>
      </c>
      <c r="E4418" s="3">
        <v>-28224.721</v>
      </c>
      <c r="F4418" s="4" t="str">
        <f>HYPERLINK("http://141.218.60.56/~jnz1568/getInfo.php?workbook=12_04.xlsx&amp;sheet=A0&amp;row=4418&amp;col=6&amp;number=0.163&amp;sourceID=14","0.163")</f>
        <v>0.163</v>
      </c>
      <c r="G4418" s="4" t="str">
        <f>HYPERLINK("http://141.218.60.56/~jnz1568/getInfo.php?workbook=12_04.xlsx&amp;sheet=A0&amp;row=4418&amp;col=7&amp;number=0&amp;sourceID=14","0")</f>
        <v>0</v>
      </c>
    </row>
    <row r="4419" spans="1:7">
      <c r="A4419" s="3">
        <v>12</v>
      </c>
      <c r="B4419" s="3">
        <v>4</v>
      </c>
      <c r="C4419" s="3">
        <v>89</v>
      </c>
      <c r="D4419" s="3">
        <v>82</v>
      </c>
      <c r="E4419" s="3">
        <v>-24962.602</v>
      </c>
      <c r="F4419" s="4" t="str">
        <f>HYPERLINK("http://141.218.60.56/~jnz1568/getInfo.php?workbook=12_04.xlsx&amp;sheet=A0&amp;row=4419&amp;col=6&amp;number=4.03e-06&amp;sourceID=14","4.03e-06")</f>
        <v>4.03e-06</v>
      </c>
      <c r="G4419" s="4" t="str">
        <f>HYPERLINK("http://141.218.60.56/~jnz1568/getInfo.php?workbook=12_04.xlsx&amp;sheet=A0&amp;row=4419&amp;col=7&amp;number=0&amp;sourceID=14","0")</f>
        <v>0</v>
      </c>
    </row>
    <row r="4420" spans="1:7">
      <c r="A4420" s="3">
        <v>12</v>
      </c>
      <c r="B4420" s="3">
        <v>4</v>
      </c>
      <c r="C4420" s="3">
        <v>90</v>
      </c>
      <c r="D4420" s="3">
        <v>82</v>
      </c>
      <c r="E4420" s="3">
        <v>-18587.394</v>
      </c>
      <c r="F4420" s="4" t="str">
        <f>HYPERLINK("http://141.218.60.56/~jnz1568/getInfo.php?workbook=12_04.xlsx&amp;sheet=A0&amp;row=4420&amp;col=6&amp;number=3.88e-18&amp;sourceID=14","3.88e-18")</f>
        <v>3.88e-18</v>
      </c>
      <c r="G4420" s="4" t="str">
        <f>HYPERLINK("http://141.218.60.56/~jnz1568/getInfo.php?workbook=12_04.xlsx&amp;sheet=A0&amp;row=4420&amp;col=7&amp;number=0&amp;sourceID=14","0")</f>
        <v>0</v>
      </c>
    </row>
    <row r="4421" spans="1:7">
      <c r="A4421" s="3">
        <v>12</v>
      </c>
      <c r="B4421" s="3">
        <v>4</v>
      </c>
      <c r="C4421" s="3">
        <v>91</v>
      </c>
      <c r="D4421" s="3">
        <v>82</v>
      </c>
      <c r="E4421" s="3">
        <v>-15153.839</v>
      </c>
      <c r="F4421" s="4" t="str">
        <f>HYPERLINK("http://141.218.60.56/~jnz1568/getInfo.php?workbook=12_04.xlsx&amp;sheet=A0&amp;row=4421&amp;col=6&amp;number=0.0402&amp;sourceID=14","0.0402")</f>
        <v>0.0402</v>
      </c>
      <c r="G4421" s="4" t="str">
        <f>HYPERLINK("http://141.218.60.56/~jnz1568/getInfo.php?workbook=12_04.xlsx&amp;sheet=A0&amp;row=4421&amp;col=7&amp;number=0&amp;sourceID=14","0")</f>
        <v>0</v>
      </c>
    </row>
    <row r="4422" spans="1:7">
      <c r="A4422" s="3">
        <v>12</v>
      </c>
      <c r="B4422" s="3">
        <v>4</v>
      </c>
      <c r="C4422" s="3">
        <v>92</v>
      </c>
      <c r="D4422" s="3">
        <v>82</v>
      </c>
      <c r="E4422" s="3">
        <v>-14522.246</v>
      </c>
      <c r="F4422" s="4" t="str">
        <f>HYPERLINK("http://141.218.60.56/~jnz1568/getInfo.php?workbook=12_04.xlsx&amp;sheet=A0&amp;row=4422&amp;col=6&amp;number=5.48e-05&amp;sourceID=14","5.48e-05")</f>
        <v>5.48e-05</v>
      </c>
      <c r="G4422" s="4" t="str">
        <f>HYPERLINK("http://141.218.60.56/~jnz1568/getInfo.php?workbook=12_04.xlsx&amp;sheet=A0&amp;row=4422&amp;col=7&amp;number=0&amp;sourceID=14","0")</f>
        <v>0</v>
      </c>
    </row>
    <row r="4423" spans="1:7">
      <c r="A4423" s="3">
        <v>12</v>
      </c>
      <c r="B4423" s="3">
        <v>4</v>
      </c>
      <c r="C4423" s="3">
        <v>93</v>
      </c>
      <c r="D4423" s="3">
        <v>82</v>
      </c>
      <c r="E4423" s="3">
        <v>-13987.996</v>
      </c>
      <c r="F4423" s="4" t="str">
        <f>HYPERLINK("http://141.218.60.56/~jnz1568/getInfo.php?workbook=12_04.xlsx&amp;sheet=A0&amp;row=4423&amp;col=6&amp;number=0.709&amp;sourceID=14","0.709")</f>
        <v>0.709</v>
      </c>
      <c r="G4423" s="4" t="str">
        <f>HYPERLINK("http://141.218.60.56/~jnz1568/getInfo.php?workbook=12_04.xlsx&amp;sheet=A0&amp;row=4423&amp;col=7&amp;number=0&amp;sourceID=14","0")</f>
        <v>0</v>
      </c>
    </row>
    <row r="4424" spans="1:7">
      <c r="A4424" s="3">
        <v>12</v>
      </c>
      <c r="B4424" s="3">
        <v>4</v>
      </c>
      <c r="C4424" s="3">
        <v>94</v>
      </c>
      <c r="D4424" s="3">
        <v>82</v>
      </c>
      <c r="E4424" s="3">
        <v>-12321.363</v>
      </c>
      <c r="F4424" s="4" t="str">
        <f>HYPERLINK("http://141.218.60.56/~jnz1568/getInfo.php?workbook=12_04.xlsx&amp;sheet=A0&amp;row=4424&amp;col=6&amp;number=0.793&amp;sourceID=14","0.793")</f>
        <v>0.793</v>
      </c>
      <c r="G4424" s="4" t="str">
        <f>HYPERLINK("http://141.218.60.56/~jnz1568/getInfo.php?workbook=12_04.xlsx&amp;sheet=A0&amp;row=4424&amp;col=7&amp;number=0&amp;sourceID=14","0")</f>
        <v>0</v>
      </c>
    </row>
    <row r="4425" spans="1:7">
      <c r="A4425" s="3">
        <v>12</v>
      </c>
      <c r="B4425" s="3">
        <v>4</v>
      </c>
      <c r="C4425" s="3">
        <v>95</v>
      </c>
      <c r="D4425" s="3">
        <v>82</v>
      </c>
      <c r="E4425" s="3">
        <v>-11428.593</v>
      </c>
      <c r="F4425" s="4" t="str">
        <f>HYPERLINK("http://141.218.60.56/~jnz1568/getInfo.php?workbook=12_04.xlsx&amp;sheet=A0&amp;row=4425&amp;col=6&amp;number=1.9e-06&amp;sourceID=14","1.9e-06")</f>
        <v>1.9e-06</v>
      </c>
      <c r="G4425" s="4" t="str">
        <f>HYPERLINK("http://141.218.60.56/~jnz1568/getInfo.php?workbook=12_04.xlsx&amp;sheet=A0&amp;row=4425&amp;col=7&amp;number=0&amp;sourceID=14","0")</f>
        <v>0</v>
      </c>
    </row>
    <row r="4426" spans="1:7">
      <c r="A4426" s="3">
        <v>12</v>
      </c>
      <c r="B4426" s="3">
        <v>4</v>
      </c>
      <c r="C4426" s="3">
        <v>96</v>
      </c>
      <c r="D4426" s="3">
        <v>82</v>
      </c>
      <c r="E4426" s="3">
        <v>-10710.098</v>
      </c>
      <c r="F4426" s="4" t="str">
        <f>HYPERLINK("http://141.218.60.56/~jnz1568/getInfo.php?workbook=12_04.xlsx&amp;sheet=A0&amp;row=4426&amp;col=6&amp;number=0.0433&amp;sourceID=14","0.0433")</f>
        <v>0.0433</v>
      </c>
      <c r="G4426" s="4" t="str">
        <f>HYPERLINK("http://141.218.60.56/~jnz1568/getInfo.php?workbook=12_04.xlsx&amp;sheet=A0&amp;row=4426&amp;col=7&amp;number=0&amp;sourceID=14","0")</f>
        <v>0</v>
      </c>
    </row>
    <row r="4427" spans="1:7">
      <c r="A4427" s="3">
        <v>12</v>
      </c>
      <c r="B4427" s="3">
        <v>4</v>
      </c>
      <c r="C4427" s="3">
        <v>97</v>
      </c>
      <c r="D4427" s="3">
        <v>82</v>
      </c>
      <c r="E4427" s="3">
        <v>-8450.244</v>
      </c>
      <c r="F4427" s="4" t="str">
        <f>HYPERLINK("http://141.218.60.56/~jnz1568/getInfo.php?workbook=12_04.xlsx&amp;sheet=A0&amp;row=4427&amp;col=6&amp;number=13900&amp;sourceID=14","13900")</f>
        <v>13900</v>
      </c>
      <c r="G4427" s="4" t="str">
        <f>HYPERLINK("http://141.218.60.56/~jnz1568/getInfo.php?workbook=12_04.xlsx&amp;sheet=A0&amp;row=4427&amp;col=7&amp;number=0&amp;sourceID=14","0")</f>
        <v>0</v>
      </c>
    </row>
    <row r="4428" spans="1:7">
      <c r="A4428" s="3">
        <v>12</v>
      </c>
      <c r="B4428" s="3">
        <v>4</v>
      </c>
      <c r="C4428" s="3">
        <v>98</v>
      </c>
      <c r="D4428" s="3">
        <v>82</v>
      </c>
      <c r="E4428" s="3">
        <v>-7674.611</v>
      </c>
      <c r="F4428" s="4" t="str">
        <f>HYPERLINK("http://141.218.60.56/~jnz1568/getInfo.php?workbook=12_04.xlsx&amp;sheet=A0&amp;row=4428&amp;col=6&amp;number=13900&amp;sourceID=14","13900")</f>
        <v>13900</v>
      </c>
      <c r="G4428" s="4" t="str">
        <f>HYPERLINK("http://141.218.60.56/~jnz1568/getInfo.php?workbook=12_04.xlsx&amp;sheet=A0&amp;row=4428&amp;col=7&amp;number=0&amp;sourceID=14","0")</f>
        <v>0</v>
      </c>
    </row>
    <row r="4429" spans="1:7">
      <c r="A4429" s="3">
        <v>12</v>
      </c>
      <c r="B4429" s="3">
        <v>4</v>
      </c>
      <c r="C4429" s="3">
        <v>84</v>
      </c>
      <c r="D4429" s="3">
        <v>83</v>
      </c>
      <c r="E4429" s="3">
        <v>-307692.875</v>
      </c>
      <c r="F4429" s="4" t="str">
        <f>HYPERLINK("http://141.218.60.56/~jnz1568/getInfo.php?workbook=12_04.xlsx&amp;sheet=A0&amp;row=4429&amp;col=6&amp;number=0.000649&amp;sourceID=14","0.000649")</f>
        <v>0.000649</v>
      </c>
      <c r="G4429" s="4" t="str">
        <f>HYPERLINK("http://141.218.60.56/~jnz1568/getInfo.php?workbook=12_04.xlsx&amp;sheet=A0&amp;row=4429&amp;col=7&amp;number=0&amp;sourceID=14","0")</f>
        <v>0</v>
      </c>
    </row>
    <row r="4430" spans="1:7">
      <c r="A4430" s="3">
        <v>12</v>
      </c>
      <c r="B4430" s="3">
        <v>4</v>
      </c>
      <c r="C4430" s="3">
        <v>85</v>
      </c>
      <c r="D4430" s="3">
        <v>83</v>
      </c>
      <c r="E4430" s="3">
        <v>-55463.219</v>
      </c>
      <c r="F4430" s="4" t="str">
        <f>HYPERLINK("http://141.218.60.56/~jnz1568/getInfo.php?workbook=12_04.xlsx&amp;sheet=A0&amp;row=4430&amp;col=6&amp;number=733&amp;sourceID=14","733")</f>
        <v>733</v>
      </c>
      <c r="G4430" s="4" t="str">
        <f>HYPERLINK("http://141.218.60.56/~jnz1568/getInfo.php?workbook=12_04.xlsx&amp;sheet=A0&amp;row=4430&amp;col=7&amp;number=0&amp;sourceID=14","0")</f>
        <v>0</v>
      </c>
    </row>
    <row r="4431" spans="1:7">
      <c r="A4431" s="3">
        <v>12</v>
      </c>
      <c r="B4431" s="3">
        <v>4</v>
      </c>
      <c r="C4431" s="3">
        <v>86</v>
      </c>
      <c r="D4431" s="3">
        <v>83</v>
      </c>
      <c r="E4431" s="3">
        <v>-41271.227</v>
      </c>
      <c r="F4431" s="4" t="str">
        <f>HYPERLINK("http://141.218.60.56/~jnz1568/getInfo.php?workbook=12_04.xlsx&amp;sheet=A0&amp;row=4431&amp;col=6&amp;number=5.08e-10&amp;sourceID=14","5.08e-10")</f>
        <v>5.08e-10</v>
      </c>
      <c r="G4431" s="4" t="str">
        <f>HYPERLINK("http://141.218.60.56/~jnz1568/getInfo.php?workbook=12_04.xlsx&amp;sheet=A0&amp;row=4431&amp;col=7&amp;number=0&amp;sourceID=14","0")</f>
        <v>0</v>
      </c>
    </row>
    <row r="4432" spans="1:7">
      <c r="A4432" s="3">
        <v>12</v>
      </c>
      <c r="B4432" s="3">
        <v>4</v>
      </c>
      <c r="C4432" s="3">
        <v>87</v>
      </c>
      <c r="D4432" s="3">
        <v>83</v>
      </c>
      <c r="E4432" s="3">
        <v>-36297.707</v>
      </c>
      <c r="F4432" s="4" t="str">
        <f>HYPERLINK("http://141.218.60.56/~jnz1568/getInfo.php?workbook=12_04.xlsx&amp;sheet=A0&amp;row=4432&amp;col=6&amp;number=1.53e-14&amp;sourceID=14","1.53e-14")</f>
        <v>1.53e-14</v>
      </c>
      <c r="G4432" s="4" t="str">
        <f>HYPERLINK("http://141.218.60.56/~jnz1568/getInfo.php?workbook=12_04.xlsx&amp;sheet=A0&amp;row=4432&amp;col=7&amp;number=0&amp;sourceID=14","0")</f>
        <v>0</v>
      </c>
    </row>
    <row r="4433" spans="1:7">
      <c r="A4433" s="3">
        <v>12</v>
      </c>
      <c r="B4433" s="3">
        <v>4</v>
      </c>
      <c r="C4433" s="3">
        <v>88</v>
      </c>
      <c r="D4433" s="3">
        <v>83</v>
      </c>
      <c r="E4433" s="3">
        <v>-28264.607</v>
      </c>
      <c r="F4433" s="4" t="str">
        <f>HYPERLINK("http://141.218.60.56/~jnz1568/getInfo.php?workbook=12_04.xlsx&amp;sheet=A0&amp;row=4433&amp;col=6&amp;number=0.224&amp;sourceID=14","0.224")</f>
        <v>0.224</v>
      </c>
      <c r="G4433" s="4" t="str">
        <f>HYPERLINK("http://141.218.60.56/~jnz1568/getInfo.php?workbook=12_04.xlsx&amp;sheet=A0&amp;row=4433&amp;col=7&amp;number=0&amp;sourceID=14","0")</f>
        <v>0</v>
      </c>
    </row>
    <row r="4434" spans="1:7">
      <c r="A4434" s="3">
        <v>12</v>
      </c>
      <c r="B4434" s="3">
        <v>4</v>
      </c>
      <c r="C4434" s="3">
        <v>89</v>
      </c>
      <c r="D4434" s="3">
        <v>83</v>
      </c>
      <c r="E4434" s="3">
        <v>-24993.797</v>
      </c>
      <c r="F4434" s="4" t="str">
        <f>HYPERLINK("http://141.218.60.56/~jnz1568/getInfo.php?workbook=12_04.xlsx&amp;sheet=A0&amp;row=4434&amp;col=6&amp;number=2.38e-05&amp;sourceID=14","2.38e-05")</f>
        <v>2.38e-05</v>
      </c>
      <c r="G4434" s="4" t="str">
        <f>HYPERLINK("http://141.218.60.56/~jnz1568/getInfo.php?workbook=12_04.xlsx&amp;sheet=A0&amp;row=4434&amp;col=7&amp;number=0&amp;sourceID=14","0")</f>
        <v>0</v>
      </c>
    </row>
    <row r="4435" spans="1:7">
      <c r="A4435" s="3">
        <v>12</v>
      </c>
      <c r="B4435" s="3">
        <v>4</v>
      </c>
      <c r="C4435" s="3">
        <v>90</v>
      </c>
      <c r="D4435" s="3">
        <v>83</v>
      </c>
      <c r="E4435" s="3">
        <v>-18604.685</v>
      </c>
      <c r="F4435" s="4" t="str">
        <f>HYPERLINK("http://141.218.60.56/~jnz1568/getInfo.php?workbook=12_04.xlsx&amp;sheet=A0&amp;row=4435&amp;col=6&amp;number=7.46e-06&amp;sourceID=14","7.46e-06")</f>
        <v>7.46e-06</v>
      </c>
      <c r="G4435" s="4" t="str">
        <f>HYPERLINK("http://141.218.60.56/~jnz1568/getInfo.php?workbook=12_04.xlsx&amp;sheet=A0&amp;row=4435&amp;col=7&amp;number=0&amp;sourceID=14","0")</f>
        <v>0</v>
      </c>
    </row>
    <row r="4436" spans="1:7">
      <c r="A4436" s="3">
        <v>12</v>
      </c>
      <c r="B4436" s="3">
        <v>4</v>
      </c>
      <c r="C4436" s="3">
        <v>91</v>
      </c>
      <c r="D4436" s="3">
        <v>83</v>
      </c>
      <c r="E4436" s="3">
        <v>-15165.33</v>
      </c>
      <c r="F4436" s="4" t="str">
        <f>HYPERLINK("http://141.218.60.56/~jnz1568/getInfo.php?workbook=12_04.xlsx&amp;sheet=A0&amp;row=4436&amp;col=6&amp;number=0.166&amp;sourceID=14","0.166")</f>
        <v>0.166</v>
      </c>
      <c r="G4436" s="4" t="str">
        <f>HYPERLINK("http://141.218.60.56/~jnz1568/getInfo.php?workbook=12_04.xlsx&amp;sheet=A0&amp;row=4436&amp;col=7&amp;number=0&amp;sourceID=14","0")</f>
        <v>0</v>
      </c>
    </row>
    <row r="4437" spans="1:7">
      <c r="A4437" s="3">
        <v>12</v>
      </c>
      <c r="B4437" s="3">
        <v>4</v>
      </c>
      <c r="C4437" s="3">
        <v>92</v>
      </c>
      <c r="D4437" s="3">
        <v>83</v>
      </c>
      <c r="E4437" s="3">
        <v>-14532.798</v>
      </c>
      <c r="F4437" s="4" t="str">
        <f>HYPERLINK("http://141.218.60.56/~jnz1568/getInfo.php?workbook=12_04.xlsx&amp;sheet=A0&amp;row=4437&amp;col=6&amp;number=0.554&amp;sourceID=14","0.554")</f>
        <v>0.554</v>
      </c>
      <c r="G4437" s="4" t="str">
        <f>HYPERLINK("http://141.218.60.56/~jnz1568/getInfo.php?workbook=12_04.xlsx&amp;sheet=A0&amp;row=4437&amp;col=7&amp;number=0&amp;sourceID=14","0")</f>
        <v>0</v>
      </c>
    </row>
    <row r="4438" spans="1:7">
      <c r="A4438" s="3">
        <v>12</v>
      </c>
      <c r="B4438" s="3">
        <v>4</v>
      </c>
      <c r="C4438" s="3">
        <v>93</v>
      </c>
      <c r="D4438" s="3">
        <v>83</v>
      </c>
      <c r="E4438" s="3">
        <v>-13997.786</v>
      </c>
      <c r="F4438" s="4" t="str">
        <f>HYPERLINK("http://141.218.60.56/~jnz1568/getInfo.php?workbook=12_04.xlsx&amp;sheet=A0&amp;row=4438&amp;col=6&amp;number=0.0789&amp;sourceID=14","0.0789")</f>
        <v>0.0789</v>
      </c>
      <c r="G4438" s="4" t="str">
        <f>HYPERLINK("http://141.218.60.56/~jnz1568/getInfo.php?workbook=12_04.xlsx&amp;sheet=A0&amp;row=4438&amp;col=7&amp;number=0&amp;sourceID=14","0")</f>
        <v>0</v>
      </c>
    </row>
    <row r="4439" spans="1:7">
      <c r="A4439" s="3">
        <v>12</v>
      </c>
      <c r="B4439" s="3">
        <v>4</v>
      </c>
      <c r="C4439" s="3">
        <v>94</v>
      </c>
      <c r="D4439" s="3">
        <v>83</v>
      </c>
      <c r="E4439" s="3">
        <v>-12328.959</v>
      </c>
      <c r="F4439" s="4" t="str">
        <f>HYPERLINK("http://141.218.60.56/~jnz1568/getInfo.php?workbook=12_04.xlsx&amp;sheet=A0&amp;row=4439&amp;col=6&amp;number=0.000607&amp;sourceID=14","0.000607")</f>
        <v>0.000607</v>
      </c>
      <c r="G4439" s="4" t="str">
        <f>HYPERLINK("http://141.218.60.56/~jnz1568/getInfo.php?workbook=12_04.xlsx&amp;sheet=A0&amp;row=4439&amp;col=7&amp;number=0&amp;sourceID=14","0")</f>
        <v>0</v>
      </c>
    </row>
    <row r="4440" spans="1:7">
      <c r="A4440" s="3">
        <v>12</v>
      </c>
      <c r="B4440" s="3">
        <v>4</v>
      </c>
      <c r="C4440" s="3">
        <v>96</v>
      </c>
      <c r="D4440" s="3">
        <v>83</v>
      </c>
      <c r="E4440" s="3">
        <v>-10715.836</v>
      </c>
      <c r="F4440" s="4" t="str">
        <f>HYPERLINK("http://141.218.60.56/~jnz1568/getInfo.php?workbook=12_04.xlsx&amp;sheet=A0&amp;row=4440&amp;col=6&amp;number=0.644&amp;sourceID=14","0.644")</f>
        <v>0.644</v>
      </c>
      <c r="G4440" s="4" t="str">
        <f>HYPERLINK("http://141.218.60.56/~jnz1568/getInfo.php?workbook=12_04.xlsx&amp;sheet=A0&amp;row=4440&amp;col=7&amp;number=0&amp;sourceID=14","0")</f>
        <v>0</v>
      </c>
    </row>
    <row r="4441" spans="1:7">
      <c r="A4441" s="3">
        <v>12</v>
      </c>
      <c r="B4441" s="3">
        <v>4</v>
      </c>
      <c r="C4441" s="3">
        <v>97</v>
      </c>
      <c r="D4441" s="3">
        <v>83</v>
      </c>
      <c r="E4441" s="3">
        <v>-8453.815</v>
      </c>
      <c r="F4441" s="4" t="str">
        <f>HYPERLINK("http://141.218.60.56/~jnz1568/getInfo.php?workbook=12_04.xlsx&amp;sheet=A0&amp;row=4441&amp;col=6&amp;number=1810&amp;sourceID=14","1810")</f>
        <v>1810</v>
      </c>
      <c r="G4441" s="4" t="str">
        <f>HYPERLINK("http://141.218.60.56/~jnz1568/getInfo.php?workbook=12_04.xlsx&amp;sheet=A0&amp;row=4441&amp;col=7&amp;number=0&amp;sourceID=14","0")</f>
        <v>0</v>
      </c>
    </row>
    <row r="4442" spans="1:7">
      <c r="A4442" s="3">
        <v>12</v>
      </c>
      <c r="B4442" s="3">
        <v>4</v>
      </c>
      <c r="C4442" s="3">
        <v>98</v>
      </c>
      <c r="D4442" s="3">
        <v>83</v>
      </c>
      <c r="E4442" s="3">
        <v>-7677.557</v>
      </c>
      <c r="F4442" s="4" t="str">
        <f>HYPERLINK("http://141.218.60.56/~jnz1568/getInfo.php?workbook=12_04.xlsx&amp;sheet=A0&amp;row=4442&amp;col=6&amp;number=1.99e-07&amp;sourceID=14","1.99e-07")</f>
        <v>1.99e-07</v>
      </c>
      <c r="G4442" s="4" t="str">
        <f>HYPERLINK("http://141.218.60.56/~jnz1568/getInfo.php?workbook=12_04.xlsx&amp;sheet=A0&amp;row=4442&amp;col=7&amp;number=0&amp;sourceID=14","0")</f>
        <v>0</v>
      </c>
    </row>
    <row r="4443" spans="1:7">
      <c r="A4443" s="3">
        <v>12</v>
      </c>
      <c r="B4443" s="3">
        <v>4</v>
      </c>
      <c r="C4443" s="3">
        <v>85</v>
      </c>
      <c r="D4443" s="3">
        <v>84</v>
      </c>
      <c r="E4443" s="3">
        <v>-67659.125</v>
      </c>
      <c r="F4443" s="4" t="str">
        <f>HYPERLINK("http://141.218.60.56/~jnz1568/getInfo.php?workbook=12_04.xlsx&amp;sheet=A0&amp;row=4443&amp;col=6&amp;number=7.13e-11&amp;sourceID=14","7.13e-11")</f>
        <v>7.13e-11</v>
      </c>
      <c r="G4443" s="4" t="str">
        <f>HYPERLINK("http://141.218.60.56/~jnz1568/getInfo.php?workbook=12_04.xlsx&amp;sheet=A0&amp;row=4443&amp;col=7&amp;number=0&amp;sourceID=14","0")</f>
        <v>0</v>
      </c>
    </row>
    <row r="4444" spans="1:7">
      <c r="A4444" s="3">
        <v>12</v>
      </c>
      <c r="B4444" s="3">
        <v>4</v>
      </c>
      <c r="C4444" s="3">
        <v>86</v>
      </c>
      <c r="D4444" s="3">
        <v>84</v>
      </c>
      <c r="E4444" s="3">
        <v>-47664.531</v>
      </c>
      <c r="F4444" s="4" t="str">
        <f>HYPERLINK("http://141.218.60.56/~jnz1568/getInfo.php?workbook=12_04.xlsx&amp;sheet=A0&amp;row=4444&amp;col=6&amp;number=1.49e-15&amp;sourceID=14","1.49e-15")</f>
        <v>1.49e-15</v>
      </c>
      <c r="G4444" s="4" t="str">
        <f>HYPERLINK("http://141.218.60.56/~jnz1568/getInfo.php?workbook=12_04.xlsx&amp;sheet=A0&amp;row=4444&amp;col=7&amp;number=0&amp;sourceID=14","0")</f>
        <v>0</v>
      </c>
    </row>
    <row r="4445" spans="1:7">
      <c r="A4445" s="3">
        <v>12</v>
      </c>
      <c r="B4445" s="3">
        <v>4</v>
      </c>
      <c r="C4445" s="3">
        <v>88</v>
      </c>
      <c r="D4445" s="3">
        <v>84</v>
      </c>
      <c r="E4445" s="3">
        <v>-31123.617</v>
      </c>
      <c r="F4445" s="4" t="str">
        <f>HYPERLINK("http://141.218.60.56/~jnz1568/getInfo.php?workbook=12_04.xlsx&amp;sheet=A0&amp;row=4445&amp;col=6&amp;number=0.00532&amp;sourceID=14","0.00532")</f>
        <v>0.00532</v>
      </c>
      <c r="G4445" s="4" t="str">
        <f>HYPERLINK("http://141.218.60.56/~jnz1568/getInfo.php?workbook=12_04.xlsx&amp;sheet=A0&amp;row=4445&amp;col=7&amp;number=0&amp;sourceID=14","0")</f>
        <v>0</v>
      </c>
    </row>
    <row r="4446" spans="1:7">
      <c r="A4446" s="3">
        <v>12</v>
      </c>
      <c r="B4446" s="3">
        <v>4</v>
      </c>
      <c r="C4446" s="3">
        <v>89</v>
      </c>
      <c r="D4446" s="3">
        <v>84</v>
      </c>
      <c r="E4446" s="3">
        <v>-27203.531</v>
      </c>
      <c r="F4446" s="4" t="str">
        <f>HYPERLINK("http://141.218.60.56/~jnz1568/getInfo.php?workbook=12_04.xlsx&amp;sheet=A0&amp;row=4446&amp;col=6&amp;number=0.221&amp;sourceID=14","0.221")</f>
        <v>0.221</v>
      </c>
      <c r="G4446" s="4" t="str">
        <f>HYPERLINK("http://141.218.60.56/~jnz1568/getInfo.php?workbook=12_04.xlsx&amp;sheet=A0&amp;row=4446&amp;col=7&amp;number=0&amp;sourceID=14","0")</f>
        <v>0</v>
      </c>
    </row>
    <row r="4447" spans="1:7">
      <c r="A4447" s="3">
        <v>12</v>
      </c>
      <c r="B4447" s="3">
        <v>4</v>
      </c>
      <c r="C4447" s="3">
        <v>90</v>
      </c>
      <c r="D4447" s="3">
        <v>84</v>
      </c>
      <c r="E4447" s="3">
        <v>-19802.018</v>
      </c>
      <c r="F4447" s="4" t="str">
        <f>HYPERLINK("http://141.218.60.56/~jnz1568/getInfo.php?workbook=12_04.xlsx&amp;sheet=A0&amp;row=4447&amp;col=6&amp;number=0.538&amp;sourceID=14","0.538")</f>
        <v>0.538</v>
      </c>
      <c r="G4447" s="4" t="str">
        <f>HYPERLINK("http://141.218.60.56/~jnz1568/getInfo.php?workbook=12_04.xlsx&amp;sheet=A0&amp;row=4447&amp;col=7&amp;number=0&amp;sourceID=14","0")</f>
        <v>0</v>
      </c>
    </row>
    <row r="4448" spans="1:7">
      <c r="A4448" s="3">
        <v>12</v>
      </c>
      <c r="B4448" s="3">
        <v>4</v>
      </c>
      <c r="C4448" s="3">
        <v>91</v>
      </c>
      <c r="D4448" s="3">
        <v>84</v>
      </c>
      <c r="E4448" s="3">
        <v>-15951.537</v>
      </c>
      <c r="F4448" s="4" t="str">
        <f>HYPERLINK("http://141.218.60.56/~jnz1568/getInfo.php?workbook=12_04.xlsx&amp;sheet=A0&amp;row=4448&amp;col=6&amp;number=0.253&amp;sourceID=14","0.253")</f>
        <v>0.253</v>
      </c>
      <c r="G4448" s="4" t="str">
        <f>HYPERLINK("http://141.218.60.56/~jnz1568/getInfo.php?workbook=12_04.xlsx&amp;sheet=A0&amp;row=4448&amp;col=7&amp;number=0&amp;sourceID=14","0")</f>
        <v>0</v>
      </c>
    </row>
    <row r="4449" spans="1:7">
      <c r="A4449" s="3">
        <v>12</v>
      </c>
      <c r="B4449" s="3">
        <v>4</v>
      </c>
      <c r="C4449" s="3">
        <v>92</v>
      </c>
      <c r="D4449" s="3">
        <v>84</v>
      </c>
      <c r="E4449" s="3">
        <v>-15253.231</v>
      </c>
      <c r="F4449" s="4" t="str">
        <f>HYPERLINK("http://141.218.60.56/~jnz1568/getInfo.php?workbook=12_04.xlsx&amp;sheet=A0&amp;row=4449&amp;col=6&amp;number=0.143&amp;sourceID=14","0.143")</f>
        <v>0.143</v>
      </c>
      <c r="G4449" s="4" t="str">
        <f>HYPERLINK("http://141.218.60.56/~jnz1568/getInfo.php?workbook=12_04.xlsx&amp;sheet=A0&amp;row=4449&amp;col=7&amp;number=0&amp;sourceID=14","0")</f>
        <v>0</v>
      </c>
    </row>
    <row r="4450" spans="1:7">
      <c r="A4450" s="3">
        <v>12</v>
      </c>
      <c r="B4450" s="3">
        <v>4</v>
      </c>
      <c r="C4450" s="3">
        <v>93</v>
      </c>
      <c r="D4450" s="3">
        <v>84</v>
      </c>
      <c r="E4450" s="3">
        <v>-14664.934</v>
      </c>
      <c r="F4450" s="4" t="str">
        <f>HYPERLINK("http://141.218.60.56/~jnz1568/getInfo.php?workbook=12_04.xlsx&amp;sheet=A0&amp;row=4450&amp;col=6&amp;number=0.000194&amp;sourceID=14","0.000194")</f>
        <v>0.000194</v>
      </c>
      <c r="G4450" s="4" t="str">
        <f>HYPERLINK("http://141.218.60.56/~jnz1568/getInfo.php?workbook=12_04.xlsx&amp;sheet=A0&amp;row=4450&amp;col=7&amp;number=0&amp;sourceID=14","0")</f>
        <v>0</v>
      </c>
    </row>
    <row r="4451" spans="1:7">
      <c r="A4451" s="3">
        <v>12</v>
      </c>
      <c r="B4451" s="3">
        <v>4</v>
      </c>
      <c r="C4451" s="3">
        <v>94</v>
      </c>
      <c r="D4451" s="3">
        <v>84</v>
      </c>
      <c r="E4451" s="3">
        <v>-12843.589</v>
      </c>
      <c r="F4451" s="4" t="str">
        <f>HYPERLINK("http://141.218.60.56/~jnz1568/getInfo.php?workbook=12_04.xlsx&amp;sheet=A0&amp;row=4451&amp;col=6&amp;number=1.75e-17&amp;sourceID=14","1.75e-17")</f>
        <v>1.75e-17</v>
      </c>
      <c r="G4451" s="4" t="str">
        <f>HYPERLINK("http://141.218.60.56/~jnz1568/getInfo.php?workbook=12_04.xlsx&amp;sheet=A0&amp;row=4451&amp;col=7&amp;number=0&amp;sourceID=14","0")</f>
        <v>0</v>
      </c>
    </row>
    <row r="4452" spans="1:7">
      <c r="A4452" s="3">
        <v>12</v>
      </c>
      <c r="B4452" s="3">
        <v>4</v>
      </c>
      <c r="C4452" s="3">
        <v>95</v>
      </c>
      <c r="D4452" s="3">
        <v>84</v>
      </c>
      <c r="E4452" s="3">
        <v>-11876.507</v>
      </c>
      <c r="F4452" s="4" t="str">
        <f>HYPERLINK("http://141.218.60.56/~jnz1568/getInfo.php?workbook=12_04.xlsx&amp;sheet=A0&amp;row=4452&amp;col=6&amp;number=2.97e-19&amp;sourceID=14","2.97e-19")</f>
        <v>2.97e-19</v>
      </c>
      <c r="G4452" s="4" t="str">
        <f>HYPERLINK("http://141.218.60.56/~jnz1568/getInfo.php?workbook=12_04.xlsx&amp;sheet=A0&amp;row=4452&amp;col=7&amp;number=0&amp;sourceID=14","0")</f>
        <v>0</v>
      </c>
    </row>
    <row r="4453" spans="1:7">
      <c r="A4453" s="3">
        <v>12</v>
      </c>
      <c r="B4453" s="3">
        <v>4</v>
      </c>
      <c r="C4453" s="3">
        <v>96</v>
      </c>
      <c r="D4453" s="3">
        <v>84</v>
      </c>
      <c r="E4453" s="3">
        <v>-11102.496</v>
      </c>
      <c r="F4453" s="4" t="str">
        <f>HYPERLINK("http://141.218.60.56/~jnz1568/getInfo.php?workbook=12_04.xlsx&amp;sheet=A0&amp;row=4453&amp;col=6&amp;number=0.000103&amp;sourceID=14","0.000103")</f>
        <v>0.000103</v>
      </c>
      <c r="G4453" s="4" t="str">
        <f>HYPERLINK("http://141.218.60.56/~jnz1568/getInfo.php?workbook=12_04.xlsx&amp;sheet=A0&amp;row=4453&amp;col=7&amp;number=0&amp;sourceID=14","0")</f>
        <v>0</v>
      </c>
    </row>
    <row r="4454" spans="1:7">
      <c r="A4454" s="3">
        <v>12</v>
      </c>
      <c r="B4454" s="3">
        <v>4</v>
      </c>
      <c r="C4454" s="3">
        <v>97</v>
      </c>
      <c r="D4454" s="3">
        <v>84</v>
      </c>
      <c r="E4454" s="3">
        <v>-8692.645</v>
      </c>
      <c r="F4454" s="4" t="str">
        <f>HYPERLINK("http://141.218.60.56/~jnz1568/getInfo.php?workbook=12_04.xlsx&amp;sheet=A0&amp;row=4454&amp;col=6&amp;number=63900&amp;sourceID=14","63900")</f>
        <v>63900</v>
      </c>
      <c r="G4454" s="4" t="str">
        <f>HYPERLINK("http://141.218.60.56/~jnz1568/getInfo.php?workbook=12_04.xlsx&amp;sheet=A0&amp;row=4454&amp;col=7&amp;number=0&amp;sourceID=14","0")</f>
        <v>0</v>
      </c>
    </row>
    <row r="4455" spans="1:7">
      <c r="A4455" s="3">
        <v>12</v>
      </c>
      <c r="B4455" s="3">
        <v>4</v>
      </c>
      <c r="C4455" s="3">
        <v>98</v>
      </c>
      <c r="D4455" s="3">
        <v>84</v>
      </c>
      <c r="E4455" s="3">
        <v>-7874.03</v>
      </c>
      <c r="F4455" s="4" t="str">
        <f>HYPERLINK("http://141.218.60.56/~jnz1568/getInfo.php?workbook=12_04.xlsx&amp;sheet=A0&amp;row=4455&amp;col=6&amp;number=3.01e-12&amp;sourceID=14","3.01e-12")</f>
        <v>3.01e-12</v>
      </c>
      <c r="G4455" s="4" t="str">
        <f>HYPERLINK("http://141.218.60.56/~jnz1568/getInfo.php?workbook=12_04.xlsx&amp;sheet=A0&amp;row=4455&amp;col=7&amp;number=0&amp;sourceID=14","0")</f>
        <v>0</v>
      </c>
    </row>
    <row r="4456" spans="1:7">
      <c r="A4456" s="3">
        <v>12</v>
      </c>
      <c r="B4456" s="3">
        <v>4</v>
      </c>
      <c r="C4456" s="3">
        <v>86</v>
      </c>
      <c r="D4456" s="3">
        <v>85</v>
      </c>
      <c r="E4456" s="3">
        <v>192308.047</v>
      </c>
      <c r="F4456" s="4" t="str">
        <f>HYPERLINK("http://141.218.60.56/~jnz1568/getInfo.php?workbook=12_04.xlsx&amp;sheet=A0&amp;row=4456&amp;col=6&amp;number=0.00329&amp;sourceID=14","0.00329")</f>
        <v>0.00329</v>
      </c>
      <c r="G4456" s="4" t="str">
        <f>HYPERLINK("http://141.218.60.56/~jnz1568/getInfo.php?workbook=12_04.xlsx&amp;sheet=A0&amp;row=4456&amp;col=7&amp;number=0&amp;sourceID=14","0")</f>
        <v>0</v>
      </c>
    </row>
    <row r="4457" spans="1:7">
      <c r="A4457" s="3">
        <v>12</v>
      </c>
      <c r="B4457" s="3">
        <v>4</v>
      </c>
      <c r="C4457" s="3">
        <v>87</v>
      </c>
      <c r="D4457" s="3">
        <v>85</v>
      </c>
      <c r="E4457" s="3">
        <v>-105042.211</v>
      </c>
      <c r="F4457" s="4" t="str">
        <f>HYPERLINK("http://141.218.60.56/~jnz1568/getInfo.php?workbook=12_04.xlsx&amp;sheet=A0&amp;row=4457&amp;col=6&amp;number=4.79e-07&amp;sourceID=14","4.79e-07")</f>
        <v>4.79e-07</v>
      </c>
      <c r="G4457" s="4" t="str">
        <f>HYPERLINK("http://141.218.60.56/~jnz1568/getInfo.php?workbook=12_04.xlsx&amp;sheet=A0&amp;row=4457&amp;col=7&amp;number=0&amp;sourceID=14","0")</f>
        <v>0</v>
      </c>
    </row>
    <row r="4458" spans="1:7">
      <c r="A4458" s="3">
        <v>12</v>
      </c>
      <c r="B4458" s="3">
        <v>4</v>
      </c>
      <c r="C4458" s="3">
        <v>88</v>
      </c>
      <c r="D4458" s="3">
        <v>85</v>
      </c>
      <c r="E4458" s="3">
        <v>-57636.992</v>
      </c>
      <c r="F4458" s="4" t="str">
        <f>HYPERLINK("http://141.218.60.56/~jnz1568/getInfo.php?workbook=12_04.xlsx&amp;sheet=A0&amp;row=4458&amp;col=6&amp;number=180&amp;sourceID=14","180")</f>
        <v>180</v>
      </c>
      <c r="G4458" s="4" t="str">
        <f>HYPERLINK("http://141.218.60.56/~jnz1568/getInfo.php?workbook=12_04.xlsx&amp;sheet=A0&amp;row=4458&amp;col=7&amp;number=0&amp;sourceID=14","0")</f>
        <v>0</v>
      </c>
    </row>
    <row r="4459" spans="1:7">
      <c r="A4459" s="3">
        <v>12</v>
      </c>
      <c r="B4459" s="3">
        <v>4</v>
      </c>
      <c r="C4459" s="3">
        <v>89</v>
      </c>
      <c r="D4459" s="3">
        <v>85</v>
      </c>
      <c r="E4459" s="3">
        <v>-45495.988</v>
      </c>
      <c r="F4459" s="4" t="str">
        <f>HYPERLINK("http://141.218.60.56/~jnz1568/getInfo.php?workbook=12_04.xlsx&amp;sheet=A0&amp;row=4459&amp;col=6&amp;number=1.71e-10&amp;sourceID=14","1.71e-10")</f>
        <v>1.71e-10</v>
      </c>
      <c r="G4459" s="4" t="str">
        <f>HYPERLINK("http://141.218.60.56/~jnz1568/getInfo.php?workbook=12_04.xlsx&amp;sheet=A0&amp;row=4459&amp;col=7&amp;number=0&amp;sourceID=14","0")</f>
        <v>0</v>
      </c>
    </row>
    <row r="4460" spans="1:7">
      <c r="A4460" s="3">
        <v>12</v>
      </c>
      <c r="B4460" s="3">
        <v>4</v>
      </c>
      <c r="C4460" s="3">
        <v>90</v>
      </c>
      <c r="D4460" s="3">
        <v>85</v>
      </c>
      <c r="E4460" s="3">
        <v>-27995.572</v>
      </c>
      <c r="F4460" s="4" t="str">
        <f>HYPERLINK("http://141.218.60.56/~jnz1568/getInfo.php?workbook=12_04.xlsx&amp;sheet=A0&amp;row=4460&amp;col=6&amp;number=8.24e-14&amp;sourceID=14","8.24e-14")</f>
        <v>8.24e-14</v>
      </c>
      <c r="G4460" s="4" t="str">
        <f>HYPERLINK("http://141.218.60.56/~jnz1568/getInfo.php?workbook=12_04.xlsx&amp;sheet=A0&amp;row=4460&amp;col=7&amp;number=0&amp;sourceID=14","0")</f>
        <v>0</v>
      </c>
    </row>
    <row r="4461" spans="1:7">
      <c r="A4461" s="3">
        <v>12</v>
      </c>
      <c r="B4461" s="3">
        <v>4</v>
      </c>
      <c r="C4461" s="3">
        <v>91</v>
      </c>
      <c r="D4461" s="3">
        <v>85</v>
      </c>
      <c r="E4461" s="3">
        <v>-20872.508</v>
      </c>
      <c r="F4461" s="4" t="str">
        <f>HYPERLINK("http://141.218.60.56/~jnz1568/getInfo.php?workbook=12_04.xlsx&amp;sheet=A0&amp;row=4461&amp;col=6&amp;number=191000&amp;sourceID=14","191000")</f>
        <v>191000</v>
      </c>
      <c r="G4461" s="4" t="str">
        <f>HYPERLINK("http://141.218.60.56/~jnz1568/getInfo.php?workbook=12_04.xlsx&amp;sheet=A0&amp;row=4461&amp;col=7&amp;number=0&amp;sourceID=14","0")</f>
        <v>0</v>
      </c>
    </row>
    <row r="4462" spans="1:7">
      <c r="A4462" s="3">
        <v>12</v>
      </c>
      <c r="B4462" s="3">
        <v>4</v>
      </c>
      <c r="C4462" s="3">
        <v>92</v>
      </c>
      <c r="D4462" s="3">
        <v>85</v>
      </c>
      <c r="E4462" s="3">
        <v>-19692.828</v>
      </c>
      <c r="F4462" s="4" t="str">
        <f>HYPERLINK("http://141.218.60.56/~jnz1568/getInfo.php?workbook=12_04.xlsx&amp;sheet=A0&amp;row=4462&amp;col=6&amp;number=1.35e-11&amp;sourceID=14","1.35e-11")</f>
        <v>1.35e-11</v>
      </c>
      <c r="G4462" s="4" t="str">
        <f>HYPERLINK("http://141.218.60.56/~jnz1568/getInfo.php?workbook=12_04.xlsx&amp;sheet=A0&amp;row=4462&amp;col=7&amp;number=0&amp;sourceID=14","0")</f>
        <v>0</v>
      </c>
    </row>
    <row r="4463" spans="1:7">
      <c r="A4463" s="3">
        <v>12</v>
      </c>
      <c r="B4463" s="3">
        <v>4</v>
      </c>
      <c r="C4463" s="3">
        <v>93</v>
      </c>
      <c r="D4463" s="3">
        <v>85</v>
      </c>
      <c r="E4463" s="3">
        <v>-18723.119</v>
      </c>
      <c r="F4463" s="4" t="str">
        <f>HYPERLINK("http://141.218.60.56/~jnz1568/getInfo.php?workbook=12_04.xlsx&amp;sheet=A0&amp;row=4463&amp;col=6&amp;number=104000&amp;sourceID=14","104000")</f>
        <v>104000</v>
      </c>
      <c r="G4463" s="4" t="str">
        <f>HYPERLINK("http://141.218.60.56/~jnz1568/getInfo.php?workbook=12_04.xlsx&amp;sheet=A0&amp;row=4463&amp;col=7&amp;number=0&amp;sourceID=14","0")</f>
        <v>0</v>
      </c>
    </row>
    <row r="4464" spans="1:7">
      <c r="A4464" s="3">
        <v>12</v>
      </c>
      <c r="B4464" s="3">
        <v>4</v>
      </c>
      <c r="C4464" s="3">
        <v>94</v>
      </c>
      <c r="D4464" s="3">
        <v>85</v>
      </c>
      <c r="E4464" s="3">
        <v>-15852.914</v>
      </c>
      <c r="F4464" s="4" t="str">
        <f>HYPERLINK("http://141.218.60.56/~jnz1568/getInfo.php?workbook=12_04.xlsx&amp;sheet=A0&amp;row=4464&amp;col=6&amp;number=33300&amp;sourceID=14","33300")</f>
        <v>33300</v>
      </c>
      <c r="G4464" s="4" t="str">
        <f>HYPERLINK("http://141.218.60.56/~jnz1568/getInfo.php?workbook=12_04.xlsx&amp;sheet=A0&amp;row=4464&amp;col=7&amp;number=0&amp;sourceID=14","0")</f>
        <v>0</v>
      </c>
    </row>
    <row r="4465" spans="1:7">
      <c r="A4465" s="3">
        <v>12</v>
      </c>
      <c r="B4465" s="3">
        <v>4</v>
      </c>
      <c r="C4465" s="3">
        <v>95</v>
      </c>
      <c r="D4465" s="3">
        <v>85</v>
      </c>
      <c r="E4465" s="3">
        <v>-14405.097</v>
      </c>
      <c r="F4465" s="4" t="str">
        <f>HYPERLINK("http://141.218.60.56/~jnz1568/getInfo.php?workbook=12_04.xlsx&amp;sheet=A0&amp;row=4465&amp;col=6&amp;number=7.26e-07&amp;sourceID=14","7.26e-07")</f>
        <v>7.26e-07</v>
      </c>
      <c r="G4465" s="4" t="str">
        <f>HYPERLINK("http://141.218.60.56/~jnz1568/getInfo.php?workbook=12_04.xlsx&amp;sheet=A0&amp;row=4465&amp;col=7&amp;number=0&amp;sourceID=14","0")</f>
        <v>0</v>
      </c>
    </row>
    <row r="4466" spans="1:7">
      <c r="A4466" s="3">
        <v>12</v>
      </c>
      <c r="B4466" s="3">
        <v>4</v>
      </c>
      <c r="C4466" s="3">
        <v>96</v>
      </c>
      <c r="D4466" s="3">
        <v>85</v>
      </c>
      <c r="E4466" s="3">
        <v>-13282.001</v>
      </c>
      <c r="F4466" s="4" t="str">
        <f>HYPERLINK("http://141.218.60.56/~jnz1568/getInfo.php?workbook=12_04.xlsx&amp;sheet=A0&amp;row=4466&amp;col=6&amp;number=74900&amp;sourceID=14","74900")</f>
        <v>74900</v>
      </c>
      <c r="G4466" s="4" t="str">
        <f>HYPERLINK("http://141.218.60.56/~jnz1568/getInfo.php?workbook=12_04.xlsx&amp;sheet=A0&amp;row=4466&amp;col=7&amp;number=0&amp;sourceID=14","0")</f>
        <v>0</v>
      </c>
    </row>
    <row r="4467" spans="1:7">
      <c r="A4467" s="3">
        <v>12</v>
      </c>
      <c r="B4467" s="3">
        <v>4</v>
      </c>
      <c r="C4467" s="3">
        <v>97</v>
      </c>
      <c r="D4467" s="3">
        <v>85</v>
      </c>
      <c r="E4467" s="3">
        <v>14044.97</v>
      </c>
      <c r="F4467" s="4" t="str">
        <f>HYPERLINK("http://141.218.60.56/~jnz1568/getInfo.php?workbook=12_04.xlsx&amp;sheet=A0&amp;row=4467&amp;col=6&amp;number=0.00709&amp;sourceID=14","0.00709")</f>
        <v>0.00709</v>
      </c>
      <c r="G4467" s="4" t="str">
        <f>HYPERLINK("http://141.218.60.56/~jnz1568/getInfo.php?workbook=12_04.xlsx&amp;sheet=A0&amp;row=4467&amp;col=7&amp;number=0&amp;sourceID=14","0")</f>
        <v>0</v>
      </c>
    </row>
    <row r="4468" spans="1:7">
      <c r="A4468" s="3">
        <v>12</v>
      </c>
      <c r="B4468" s="3">
        <v>4</v>
      </c>
      <c r="C4468" s="3">
        <v>98</v>
      </c>
      <c r="D4468" s="3">
        <v>85</v>
      </c>
      <c r="E4468" s="3">
        <v>11286.702</v>
      </c>
      <c r="F4468" s="4" t="str">
        <f>HYPERLINK("http://141.218.60.56/~jnz1568/getInfo.php?workbook=12_04.xlsx&amp;sheet=A0&amp;row=4468&amp;col=6&amp;number=0.00244&amp;sourceID=14","0.00244")</f>
        <v>0.00244</v>
      </c>
      <c r="G4468" s="4" t="str">
        <f>HYPERLINK("http://141.218.60.56/~jnz1568/getInfo.php?workbook=12_04.xlsx&amp;sheet=A0&amp;row=4468&amp;col=7&amp;number=0&amp;sourceID=14","0")</f>
        <v>0</v>
      </c>
    </row>
    <row r="4469" spans="1:7">
      <c r="A4469" s="3">
        <v>12</v>
      </c>
      <c r="B4469" s="3">
        <v>4</v>
      </c>
      <c r="C4469" s="3">
        <v>87</v>
      </c>
      <c r="D4469" s="3">
        <v>86</v>
      </c>
      <c r="E4469" s="3">
        <v>-301205.375</v>
      </c>
      <c r="F4469" s="4" t="str">
        <f>HYPERLINK("http://141.218.60.56/~jnz1568/getInfo.php?workbook=12_04.xlsx&amp;sheet=A0&amp;row=4469&amp;col=6&amp;number=0.00159&amp;sourceID=14","0.00159")</f>
        <v>0.00159</v>
      </c>
      <c r="G4469" s="4" t="str">
        <f>HYPERLINK("http://141.218.60.56/~jnz1568/getInfo.php?workbook=12_04.xlsx&amp;sheet=A0&amp;row=4469&amp;col=7&amp;number=0&amp;sourceID=14","0")</f>
        <v>0</v>
      </c>
    </row>
    <row r="4470" spans="1:7">
      <c r="A4470" s="3">
        <v>12</v>
      </c>
      <c r="B4470" s="3">
        <v>4</v>
      </c>
      <c r="C4470" s="3">
        <v>88</v>
      </c>
      <c r="D4470" s="3">
        <v>86</v>
      </c>
      <c r="E4470" s="3">
        <v>-89686.266</v>
      </c>
      <c r="F4470" s="4" t="str">
        <f>HYPERLINK("http://141.218.60.56/~jnz1568/getInfo.php?workbook=12_04.xlsx&amp;sheet=A0&amp;row=4470&amp;col=6&amp;number=3.61e-12&amp;sourceID=14","3.61e-12")</f>
        <v>3.61e-12</v>
      </c>
      <c r="G4470" s="4" t="str">
        <f>HYPERLINK("http://141.218.60.56/~jnz1568/getInfo.php?workbook=12_04.xlsx&amp;sheet=A0&amp;row=4470&amp;col=7&amp;number=0&amp;sourceID=14","0")</f>
        <v>0</v>
      </c>
    </row>
    <row r="4471" spans="1:7">
      <c r="A4471" s="3">
        <v>12</v>
      </c>
      <c r="B4471" s="3">
        <v>4</v>
      </c>
      <c r="C4471" s="3">
        <v>89</v>
      </c>
      <c r="D4471" s="3">
        <v>86</v>
      </c>
      <c r="E4471" s="3">
        <v>-63371.473</v>
      </c>
      <c r="F4471" s="4" t="str">
        <f>HYPERLINK("http://141.218.60.56/~jnz1568/getInfo.php?workbook=12_04.xlsx&amp;sheet=A0&amp;row=4471&amp;col=6&amp;number=3.72e-16&amp;sourceID=14","3.72e-16")</f>
        <v>3.72e-16</v>
      </c>
      <c r="G4471" s="4" t="str">
        <f>HYPERLINK("http://141.218.60.56/~jnz1568/getInfo.php?workbook=12_04.xlsx&amp;sheet=A0&amp;row=4471&amp;col=7&amp;number=0&amp;sourceID=14","0")</f>
        <v>0</v>
      </c>
    </row>
    <row r="4472" spans="1:7">
      <c r="A4472" s="3">
        <v>12</v>
      </c>
      <c r="B4472" s="3">
        <v>4</v>
      </c>
      <c r="C4472" s="3">
        <v>90</v>
      </c>
      <c r="D4472" s="3">
        <v>86</v>
      </c>
      <c r="E4472" s="3">
        <v>-33875.402</v>
      </c>
      <c r="F4472" s="4" t="str">
        <f>HYPERLINK("http://141.218.60.56/~jnz1568/getInfo.php?workbook=12_04.xlsx&amp;sheet=A0&amp;row=4472&amp;col=6&amp;number=5.46e-29&amp;sourceID=14","5.46e-29")</f>
        <v>5.46e-29</v>
      </c>
      <c r="G4472" s="4" t="str">
        <f>HYPERLINK("http://141.218.60.56/~jnz1568/getInfo.php?workbook=12_04.xlsx&amp;sheet=A0&amp;row=4472&amp;col=7&amp;number=0&amp;sourceID=14","0")</f>
        <v>0</v>
      </c>
    </row>
    <row r="4473" spans="1:7">
      <c r="A4473" s="3">
        <v>12</v>
      </c>
      <c r="B4473" s="3">
        <v>4</v>
      </c>
      <c r="C4473" s="3">
        <v>91</v>
      </c>
      <c r="D4473" s="3">
        <v>86</v>
      </c>
      <c r="E4473" s="3">
        <v>-23975.109</v>
      </c>
      <c r="F4473" s="4" t="str">
        <f>HYPERLINK("http://141.218.60.56/~jnz1568/getInfo.php?workbook=12_04.xlsx&amp;sheet=A0&amp;row=4473&amp;col=6&amp;number=2.09e-10&amp;sourceID=14","2.09e-10")</f>
        <v>2.09e-10</v>
      </c>
      <c r="G4473" s="4" t="str">
        <f>HYPERLINK("http://141.218.60.56/~jnz1568/getInfo.php?workbook=12_04.xlsx&amp;sheet=A0&amp;row=4473&amp;col=7&amp;number=0&amp;sourceID=14","0")</f>
        <v>0</v>
      </c>
    </row>
    <row r="4474" spans="1:7">
      <c r="A4474" s="3">
        <v>12</v>
      </c>
      <c r="B4474" s="3">
        <v>4</v>
      </c>
      <c r="C4474" s="3">
        <v>92</v>
      </c>
      <c r="D4474" s="3">
        <v>86</v>
      </c>
      <c r="E4474" s="3">
        <v>-22431.625</v>
      </c>
      <c r="F4474" s="4" t="str">
        <f>HYPERLINK("http://141.218.60.56/~jnz1568/getInfo.php?workbook=12_04.xlsx&amp;sheet=A0&amp;row=4474&amp;col=6&amp;number=2.47e-14&amp;sourceID=14","2.47e-14")</f>
        <v>2.47e-14</v>
      </c>
      <c r="G4474" s="4" t="str">
        <f>HYPERLINK("http://141.218.60.56/~jnz1568/getInfo.php?workbook=12_04.xlsx&amp;sheet=A0&amp;row=4474&amp;col=7&amp;number=0&amp;sourceID=14","0")</f>
        <v>0</v>
      </c>
    </row>
    <row r="4475" spans="1:7">
      <c r="A4475" s="3">
        <v>12</v>
      </c>
      <c r="B4475" s="3">
        <v>4</v>
      </c>
      <c r="C4475" s="3">
        <v>93</v>
      </c>
      <c r="D4475" s="3">
        <v>86</v>
      </c>
      <c r="E4475" s="3">
        <v>-21181.992</v>
      </c>
      <c r="F4475" s="4" t="str">
        <f>HYPERLINK("http://141.218.60.56/~jnz1568/getInfo.php?workbook=12_04.xlsx&amp;sheet=A0&amp;row=4475&amp;col=6&amp;number=143000&amp;sourceID=14","143000")</f>
        <v>143000</v>
      </c>
      <c r="G4475" s="4" t="str">
        <f>HYPERLINK("http://141.218.60.56/~jnz1568/getInfo.php?workbook=12_04.xlsx&amp;sheet=A0&amp;row=4475&amp;col=7&amp;number=0&amp;sourceID=14","0")</f>
        <v>0</v>
      </c>
    </row>
    <row r="4476" spans="1:7">
      <c r="A4476" s="3">
        <v>12</v>
      </c>
      <c r="B4476" s="3">
        <v>4</v>
      </c>
      <c r="C4476" s="3">
        <v>94</v>
      </c>
      <c r="D4476" s="3">
        <v>86</v>
      </c>
      <c r="E4476" s="3">
        <v>-17580.904</v>
      </c>
      <c r="F4476" s="4" t="str">
        <f>HYPERLINK("http://141.218.60.56/~jnz1568/getInfo.php?workbook=12_04.xlsx&amp;sheet=A0&amp;row=4476&amp;col=6&amp;number=219000&amp;sourceID=14","219000")</f>
        <v>219000</v>
      </c>
      <c r="G4476" s="4" t="str">
        <f>HYPERLINK("http://141.218.60.56/~jnz1568/getInfo.php?workbook=12_04.xlsx&amp;sheet=A0&amp;row=4476&amp;col=7&amp;number=0&amp;sourceID=14","0")</f>
        <v>0</v>
      </c>
    </row>
    <row r="4477" spans="1:7">
      <c r="A4477" s="3">
        <v>12</v>
      </c>
      <c r="B4477" s="3">
        <v>4</v>
      </c>
      <c r="C4477" s="3">
        <v>95</v>
      </c>
      <c r="D4477" s="3">
        <v>86</v>
      </c>
      <c r="E4477" s="3">
        <v>-15817.809</v>
      </c>
      <c r="F4477" s="4" t="str">
        <f>HYPERLINK("http://141.218.60.56/~jnz1568/getInfo.php?workbook=12_04.xlsx&amp;sheet=A0&amp;row=4477&amp;col=6&amp;number=1820&amp;sourceID=14","1820")</f>
        <v>1820</v>
      </c>
      <c r="G4477" s="4" t="str">
        <f>HYPERLINK("http://141.218.60.56/~jnz1568/getInfo.php?workbook=12_04.xlsx&amp;sheet=A0&amp;row=4477&amp;col=7&amp;number=0&amp;sourceID=14","0")</f>
        <v>0</v>
      </c>
    </row>
    <row r="4478" spans="1:7">
      <c r="A4478" s="3">
        <v>12</v>
      </c>
      <c r="B4478" s="3">
        <v>4</v>
      </c>
      <c r="C4478" s="3">
        <v>96</v>
      </c>
      <c r="D4478" s="3">
        <v>86</v>
      </c>
      <c r="E4478" s="3">
        <v>-14473.901</v>
      </c>
      <c r="F4478" s="4" t="str">
        <f>HYPERLINK("http://141.218.60.56/~jnz1568/getInfo.php?workbook=12_04.xlsx&amp;sheet=A0&amp;row=4478&amp;col=6&amp;number=49900&amp;sourceID=14","49900")</f>
        <v>49900</v>
      </c>
      <c r="G4478" s="4" t="str">
        <f>HYPERLINK("http://141.218.60.56/~jnz1568/getInfo.php?workbook=12_04.xlsx&amp;sheet=A0&amp;row=4478&amp;col=7&amp;number=0&amp;sourceID=14","0")</f>
        <v>0</v>
      </c>
    </row>
    <row r="4479" spans="1:7">
      <c r="A4479" s="3">
        <v>12</v>
      </c>
      <c r="B4479" s="3">
        <v>4</v>
      </c>
      <c r="C4479" s="3">
        <v>97</v>
      </c>
      <c r="D4479" s="3">
        <v>86</v>
      </c>
      <c r="E4479" s="3">
        <v>15151.543</v>
      </c>
      <c r="F4479" s="4" t="str">
        <f>HYPERLINK("http://141.218.60.56/~jnz1568/getInfo.php?workbook=12_04.xlsx&amp;sheet=A0&amp;row=4479&amp;col=6&amp;number=5.42e-07&amp;sourceID=14","5.42e-07")</f>
        <v>5.42e-07</v>
      </c>
      <c r="G4479" s="4" t="str">
        <f>HYPERLINK("http://141.218.60.56/~jnz1568/getInfo.php?workbook=12_04.xlsx&amp;sheet=A0&amp;row=4479&amp;col=7&amp;number=0&amp;sourceID=14","0")</f>
        <v>0</v>
      </c>
    </row>
    <row r="4480" spans="1:7">
      <c r="A4480" s="3">
        <v>12</v>
      </c>
      <c r="B4480" s="3">
        <v>4</v>
      </c>
      <c r="C4480" s="3">
        <v>98</v>
      </c>
      <c r="D4480" s="3">
        <v>86</v>
      </c>
      <c r="E4480" s="3">
        <v>11990.43</v>
      </c>
      <c r="F4480" s="4" t="str">
        <f>HYPERLINK("http://141.218.60.56/~jnz1568/getInfo.php?workbook=12_04.xlsx&amp;sheet=A0&amp;row=4480&amp;col=6&amp;number=0.0866&amp;sourceID=14","0.0866")</f>
        <v>0.0866</v>
      </c>
      <c r="G4480" s="4" t="str">
        <f>HYPERLINK("http://141.218.60.56/~jnz1568/getInfo.php?workbook=12_04.xlsx&amp;sheet=A0&amp;row=4480&amp;col=7&amp;number=0&amp;sourceID=14","0")</f>
        <v>0</v>
      </c>
    </row>
    <row r="4481" spans="1:7">
      <c r="A4481" s="3">
        <v>12</v>
      </c>
      <c r="B4481" s="3">
        <v>4</v>
      </c>
      <c r="C4481" s="3">
        <v>88</v>
      </c>
      <c r="D4481" s="3">
        <v>87</v>
      </c>
      <c r="E4481" s="3">
        <v>-127714.156</v>
      </c>
      <c r="F4481" s="4" t="str">
        <f>HYPERLINK("http://141.218.60.56/~jnz1568/getInfo.php?workbook=12_04.xlsx&amp;sheet=A0&amp;row=4481&amp;col=6&amp;number=1.27e-18&amp;sourceID=14","1.27e-18")</f>
        <v>1.27e-18</v>
      </c>
      <c r="G4481" s="4" t="str">
        <f>HYPERLINK("http://141.218.60.56/~jnz1568/getInfo.php?workbook=12_04.xlsx&amp;sheet=A0&amp;row=4481&amp;col=7&amp;number=0&amp;sourceID=14","0")</f>
        <v>0</v>
      </c>
    </row>
    <row r="4482" spans="1:7">
      <c r="A4482" s="3">
        <v>12</v>
      </c>
      <c r="B4482" s="3">
        <v>4</v>
      </c>
      <c r="C4482" s="3">
        <v>90</v>
      </c>
      <c r="D4482" s="3">
        <v>87</v>
      </c>
      <c r="E4482" s="3">
        <v>-38168.008</v>
      </c>
      <c r="F4482" s="4" t="str">
        <f>HYPERLINK("http://141.218.60.56/~jnz1568/getInfo.php?workbook=12_04.xlsx&amp;sheet=A0&amp;row=4482&amp;col=6&amp;number=5.72e-30&amp;sourceID=14","5.72e-30")</f>
        <v>5.72e-30</v>
      </c>
      <c r="G4482" s="4" t="str">
        <f>HYPERLINK("http://141.218.60.56/~jnz1568/getInfo.php?workbook=12_04.xlsx&amp;sheet=A0&amp;row=4482&amp;col=7&amp;number=0&amp;sourceID=14","0")</f>
        <v>0</v>
      </c>
    </row>
    <row r="4483" spans="1:7">
      <c r="A4483" s="3">
        <v>12</v>
      </c>
      <c r="B4483" s="3">
        <v>4</v>
      </c>
      <c r="C4483" s="3">
        <v>91</v>
      </c>
      <c r="D4483" s="3">
        <v>87</v>
      </c>
      <c r="E4483" s="3">
        <v>-26048.498</v>
      </c>
      <c r="F4483" s="4" t="str">
        <f>HYPERLINK("http://141.218.60.56/~jnz1568/getInfo.php?workbook=12_04.xlsx&amp;sheet=A0&amp;row=4483&amp;col=6&amp;number=1.29e-13&amp;sourceID=14","1.29e-13")</f>
        <v>1.29e-13</v>
      </c>
      <c r="G4483" s="4" t="str">
        <f>HYPERLINK("http://141.218.60.56/~jnz1568/getInfo.php?workbook=12_04.xlsx&amp;sheet=A0&amp;row=4483&amp;col=7&amp;number=0&amp;sourceID=14","0")</f>
        <v>0</v>
      </c>
    </row>
    <row r="4484" spans="1:7">
      <c r="A4484" s="3">
        <v>12</v>
      </c>
      <c r="B4484" s="3">
        <v>4</v>
      </c>
      <c r="C4484" s="3">
        <v>94</v>
      </c>
      <c r="D4484" s="3">
        <v>87</v>
      </c>
      <c r="E4484" s="3">
        <v>-18670.684</v>
      </c>
      <c r="F4484" s="4" t="str">
        <f>HYPERLINK("http://141.218.60.56/~jnz1568/getInfo.php?workbook=12_04.xlsx&amp;sheet=A0&amp;row=4484&amp;col=6&amp;number=194000&amp;sourceID=14","194000")</f>
        <v>194000</v>
      </c>
      <c r="G4484" s="4" t="str">
        <f>HYPERLINK("http://141.218.60.56/~jnz1568/getInfo.php?workbook=12_04.xlsx&amp;sheet=A0&amp;row=4484&amp;col=7&amp;number=0&amp;sourceID=14","0")</f>
        <v>0</v>
      </c>
    </row>
    <row r="4485" spans="1:7">
      <c r="A4485" s="3">
        <v>12</v>
      </c>
      <c r="B4485" s="3">
        <v>4</v>
      </c>
      <c r="C4485" s="3">
        <v>98</v>
      </c>
      <c r="D4485" s="3">
        <v>87</v>
      </c>
      <c r="E4485" s="3">
        <v>-9737.116</v>
      </c>
      <c r="F4485" s="4" t="str">
        <f>HYPERLINK("http://141.218.60.56/~jnz1568/getInfo.php?workbook=12_04.xlsx&amp;sheet=A0&amp;row=4485&amp;col=6&amp;number=0.0579&amp;sourceID=14","0.0579")</f>
        <v>0.0579</v>
      </c>
      <c r="G4485" s="4" t="str">
        <f>HYPERLINK("http://141.218.60.56/~jnz1568/getInfo.php?workbook=12_04.xlsx&amp;sheet=A0&amp;row=4485&amp;col=7&amp;number=0&amp;sourceID=14","0")</f>
        <v>0</v>
      </c>
    </row>
    <row r="4486" spans="1:7">
      <c r="A4486" s="3">
        <v>12</v>
      </c>
      <c r="B4486" s="3">
        <v>4</v>
      </c>
      <c r="C4486" s="3">
        <v>89</v>
      </c>
      <c r="D4486" s="3">
        <v>88</v>
      </c>
      <c r="E4486" s="3">
        <v>-215983.125</v>
      </c>
      <c r="F4486" s="4" t="str">
        <f>HYPERLINK("http://141.218.60.56/~jnz1568/getInfo.php?workbook=12_04.xlsx&amp;sheet=A0&amp;row=4486&amp;col=6&amp;number=0.00186&amp;sourceID=14","0.00186")</f>
        <v>0.00186</v>
      </c>
      <c r="G4486" s="4" t="str">
        <f>HYPERLINK("http://141.218.60.56/~jnz1568/getInfo.php?workbook=12_04.xlsx&amp;sheet=A0&amp;row=4486&amp;col=7&amp;number=0&amp;sourceID=14","0")</f>
        <v>0</v>
      </c>
    </row>
    <row r="4487" spans="1:7">
      <c r="A4487" s="3">
        <v>12</v>
      </c>
      <c r="B4487" s="3">
        <v>4</v>
      </c>
      <c r="C4487" s="3">
        <v>90</v>
      </c>
      <c r="D4487" s="3">
        <v>88</v>
      </c>
      <c r="E4487" s="3">
        <v>-54436.68</v>
      </c>
      <c r="F4487" s="4" t="str">
        <f>HYPERLINK("http://141.218.60.56/~jnz1568/getInfo.php?workbook=12_04.xlsx&amp;sheet=A0&amp;row=4487&amp;col=6&amp;number=9.05e-08&amp;sourceID=14","9.05e-08")</f>
        <v>9.05e-08</v>
      </c>
      <c r="G4487" s="4" t="str">
        <f>HYPERLINK("http://141.218.60.56/~jnz1568/getInfo.php?workbook=12_04.xlsx&amp;sheet=A0&amp;row=4487&amp;col=7&amp;number=0&amp;sourceID=14","0")</f>
        <v>0</v>
      </c>
    </row>
    <row r="4488" spans="1:7">
      <c r="A4488" s="3">
        <v>12</v>
      </c>
      <c r="B4488" s="3">
        <v>4</v>
      </c>
      <c r="C4488" s="3">
        <v>91</v>
      </c>
      <c r="D4488" s="3">
        <v>88</v>
      </c>
      <c r="E4488" s="3">
        <v>-32722.574</v>
      </c>
      <c r="F4488" s="4" t="str">
        <f>HYPERLINK("http://141.218.60.56/~jnz1568/getInfo.php?workbook=12_04.xlsx&amp;sheet=A0&amp;row=4488&amp;col=6&amp;number=1.98e-05&amp;sourceID=14","1.98e-05")</f>
        <v>1.98e-05</v>
      </c>
      <c r="G4488" s="4" t="str">
        <f>HYPERLINK("http://141.218.60.56/~jnz1568/getInfo.php?workbook=12_04.xlsx&amp;sheet=A0&amp;row=4488&amp;col=7&amp;number=0&amp;sourceID=14","0")</f>
        <v>0</v>
      </c>
    </row>
    <row r="4489" spans="1:7">
      <c r="A4489" s="3">
        <v>12</v>
      </c>
      <c r="B4489" s="3">
        <v>4</v>
      </c>
      <c r="C4489" s="3">
        <v>92</v>
      </c>
      <c r="D4489" s="3">
        <v>88</v>
      </c>
      <c r="E4489" s="3">
        <v>-29913.307</v>
      </c>
      <c r="F4489" s="4" t="str">
        <f>HYPERLINK("http://141.218.60.56/~jnz1568/getInfo.php?workbook=12_04.xlsx&amp;sheet=A0&amp;row=4489&amp;col=6&amp;number=0.0732&amp;sourceID=14","0.0732")</f>
        <v>0.0732</v>
      </c>
      <c r="G4489" s="4" t="str">
        <f>HYPERLINK("http://141.218.60.56/~jnz1568/getInfo.php?workbook=12_04.xlsx&amp;sheet=A0&amp;row=4489&amp;col=7&amp;number=0&amp;sourceID=14","0")</f>
        <v>0</v>
      </c>
    </row>
    <row r="4490" spans="1:7">
      <c r="A4490" s="3">
        <v>12</v>
      </c>
      <c r="B4490" s="3">
        <v>4</v>
      </c>
      <c r="C4490" s="3">
        <v>93</v>
      </c>
      <c r="D4490" s="3">
        <v>88</v>
      </c>
      <c r="E4490" s="3">
        <v>-27731.609</v>
      </c>
      <c r="F4490" s="4" t="str">
        <f>HYPERLINK("http://141.218.60.56/~jnz1568/getInfo.php?workbook=12_04.xlsx&amp;sheet=A0&amp;row=4490&amp;col=6&amp;number=0.0124&amp;sourceID=14","0.0124")</f>
        <v>0.0124</v>
      </c>
      <c r="G4490" s="4" t="str">
        <f>HYPERLINK("http://141.218.60.56/~jnz1568/getInfo.php?workbook=12_04.xlsx&amp;sheet=A0&amp;row=4490&amp;col=7&amp;number=0&amp;sourceID=14","0")</f>
        <v>0</v>
      </c>
    </row>
    <row r="4491" spans="1:7">
      <c r="A4491" s="3">
        <v>12</v>
      </c>
      <c r="B4491" s="3">
        <v>4</v>
      </c>
      <c r="C4491" s="3">
        <v>94</v>
      </c>
      <c r="D4491" s="3">
        <v>88</v>
      </c>
      <c r="E4491" s="3">
        <v>-21867.523</v>
      </c>
      <c r="F4491" s="4" t="str">
        <f>HYPERLINK("http://141.218.60.56/~jnz1568/getInfo.php?workbook=12_04.xlsx&amp;sheet=A0&amp;row=4491&amp;col=6&amp;number=8.7e-05&amp;sourceID=14","8.7e-05")</f>
        <v>8.7e-05</v>
      </c>
      <c r="G4491" s="4" t="str">
        <f>HYPERLINK("http://141.218.60.56/~jnz1568/getInfo.php?workbook=12_04.xlsx&amp;sheet=A0&amp;row=4491&amp;col=7&amp;number=0&amp;sourceID=14","0")</f>
        <v>0</v>
      </c>
    </row>
    <row r="4492" spans="1:7">
      <c r="A4492" s="3">
        <v>12</v>
      </c>
      <c r="B4492" s="3">
        <v>4</v>
      </c>
      <c r="C4492" s="3">
        <v>96</v>
      </c>
      <c r="D4492" s="3">
        <v>88</v>
      </c>
      <c r="E4492" s="3">
        <v>-17259.266</v>
      </c>
      <c r="F4492" s="4" t="str">
        <f>HYPERLINK("http://141.218.60.56/~jnz1568/getInfo.php?workbook=12_04.xlsx&amp;sheet=A0&amp;row=4492&amp;col=6&amp;number=0.0138&amp;sourceID=14","0.0138")</f>
        <v>0.0138</v>
      </c>
      <c r="G4492" s="4" t="str">
        <f>HYPERLINK("http://141.218.60.56/~jnz1568/getInfo.php?workbook=12_04.xlsx&amp;sheet=A0&amp;row=4492&amp;col=7&amp;number=0&amp;sourceID=14","0")</f>
        <v>0</v>
      </c>
    </row>
    <row r="4493" spans="1:7">
      <c r="A4493" s="3">
        <v>12</v>
      </c>
      <c r="B4493" s="3">
        <v>4</v>
      </c>
      <c r="C4493" s="3">
        <v>97</v>
      </c>
      <c r="D4493" s="3">
        <v>88</v>
      </c>
      <c r="E4493" s="3">
        <v>-12061.293</v>
      </c>
      <c r="F4493" s="4" t="str">
        <f>HYPERLINK("http://141.218.60.56/~jnz1568/getInfo.php?workbook=12_04.xlsx&amp;sheet=A0&amp;row=4493&amp;col=6&amp;number=10300&amp;sourceID=14","10300")</f>
        <v>10300</v>
      </c>
      <c r="G4493" s="4" t="str">
        <f>HYPERLINK("http://141.218.60.56/~jnz1568/getInfo.php?workbook=12_04.xlsx&amp;sheet=A0&amp;row=4493&amp;col=7&amp;number=0&amp;sourceID=14","0")</f>
        <v>0</v>
      </c>
    </row>
    <row r="4494" spans="1:7">
      <c r="A4494" s="3">
        <v>12</v>
      </c>
      <c r="B4494" s="3">
        <v>4</v>
      </c>
      <c r="C4494" s="3">
        <v>98</v>
      </c>
      <c r="D4494" s="3">
        <v>88</v>
      </c>
      <c r="E4494" s="3">
        <v>-10540.76</v>
      </c>
      <c r="F4494" s="4" t="str">
        <f>HYPERLINK("http://141.218.60.56/~jnz1568/getInfo.php?workbook=12_04.xlsx&amp;sheet=A0&amp;row=4494&amp;col=6&amp;number=5.99e-08&amp;sourceID=14","5.99e-08")</f>
        <v>5.99e-08</v>
      </c>
      <c r="G4494" s="4" t="str">
        <f>HYPERLINK("http://141.218.60.56/~jnz1568/getInfo.php?workbook=12_04.xlsx&amp;sheet=A0&amp;row=4494&amp;col=7&amp;number=0&amp;sourceID=14","0")</f>
        <v>0</v>
      </c>
    </row>
    <row r="4495" spans="1:7">
      <c r="A4495" s="3">
        <v>12</v>
      </c>
      <c r="B4495" s="3">
        <v>4</v>
      </c>
      <c r="C4495" s="3">
        <v>90</v>
      </c>
      <c r="D4495" s="3">
        <v>89</v>
      </c>
      <c r="E4495" s="3">
        <v>-72780.336</v>
      </c>
      <c r="F4495" s="4" t="str">
        <f>HYPERLINK("http://141.218.60.56/~jnz1568/getInfo.php?workbook=12_04.xlsx&amp;sheet=A0&amp;row=4495&amp;col=6&amp;number=0.0371&amp;sourceID=14","0.0371")</f>
        <v>0.0371</v>
      </c>
      <c r="G4495" s="4" t="str">
        <f>HYPERLINK("http://141.218.60.56/~jnz1568/getInfo.php?workbook=12_04.xlsx&amp;sheet=A0&amp;row=4495&amp;col=7&amp;number=0&amp;sourceID=14","0")</f>
        <v>0</v>
      </c>
    </row>
    <row r="4496" spans="1:7">
      <c r="A4496" s="3">
        <v>12</v>
      </c>
      <c r="B4496" s="3">
        <v>4</v>
      </c>
      <c r="C4496" s="3">
        <v>91</v>
      </c>
      <c r="D4496" s="3">
        <v>89</v>
      </c>
      <c r="E4496" s="3">
        <v>-38565.438</v>
      </c>
      <c r="F4496" s="4" t="str">
        <f>HYPERLINK("http://141.218.60.56/~jnz1568/getInfo.php?workbook=12_04.xlsx&amp;sheet=A0&amp;row=4496&amp;col=6&amp;number=0.00684&amp;sourceID=14","0.00684")</f>
        <v>0.00684</v>
      </c>
      <c r="G4496" s="4" t="str">
        <f>HYPERLINK("http://141.218.60.56/~jnz1568/getInfo.php?workbook=12_04.xlsx&amp;sheet=A0&amp;row=4496&amp;col=7&amp;number=0&amp;sourceID=14","0")</f>
        <v>0</v>
      </c>
    </row>
    <row r="4497" spans="1:7">
      <c r="A4497" s="3">
        <v>12</v>
      </c>
      <c r="B4497" s="3">
        <v>4</v>
      </c>
      <c r="C4497" s="3">
        <v>92</v>
      </c>
      <c r="D4497" s="3">
        <v>89</v>
      </c>
      <c r="E4497" s="3">
        <v>-34722.285</v>
      </c>
      <c r="F4497" s="4" t="str">
        <f>HYPERLINK("http://141.218.60.56/~jnz1568/getInfo.php?workbook=12_04.xlsx&amp;sheet=A0&amp;row=4497&amp;col=6&amp;number=4.99e-05&amp;sourceID=14","4.99e-05")</f>
        <v>4.99e-05</v>
      </c>
      <c r="G4497" s="4" t="str">
        <f>HYPERLINK("http://141.218.60.56/~jnz1568/getInfo.php?workbook=12_04.xlsx&amp;sheet=A0&amp;row=4497&amp;col=7&amp;number=0&amp;sourceID=14","0")</f>
        <v>0</v>
      </c>
    </row>
    <row r="4498" spans="1:7">
      <c r="A4498" s="3">
        <v>12</v>
      </c>
      <c r="B4498" s="3">
        <v>4</v>
      </c>
      <c r="C4498" s="3">
        <v>93</v>
      </c>
      <c r="D4498" s="3">
        <v>89</v>
      </c>
      <c r="E4498" s="3">
        <v>-31816.795</v>
      </c>
      <c r="F4498" s="4" t="str">
        <f>HYPERLINK("http://141.218.60.56/~jnz1568/getInfo.php?workbook=12_04.xlsx&amp;sheet=A0&amp;row=4498&amp;col=6&amp;number=1.46e-05&amp;sourceID=14","1.46e-05")</f>
        <v>1.46e-05</v>
      </c>
      <c r="G4498" s="4" t="str">
        <f>HYPERLINK("http://141.218.60.56/~jnz1568/getInfo.php?workbook=12_04.xlsx&amp;sheet=A0&amp;row=4498&amp;col=7&amp;number=0&amp;sourceID=14","0")</f>
        <v>0</v>
      </c>
    </row>
    <row r="4499" spans="1:7">
      <c r="A4499" s="3">
        <v>12</v>
      </c>
      <c r="B4499" s="3">
        <v>4</v>
      </c>
      <c r="C4499" s="3">
        <v>94</v>
      </c>
      <c r="D4499" s="3">
        <v>89</v>
      </c>
      <c r="E4499" s="3">
        <v>-24330.945</v>
      </c>
      <c r="F4499" s="4" t="str">
        <f>HYPERLINK("http://141.218.60.56/~jnz1568/getInfo.php?workbook=12_04.xlsx&amp;sheet=A0&amp;row=4499&amp;col=6&amp;number=1.48e-19&amp;sourceID=14","1.48e-19")</f>
        <v>1.48e-19</v>
      </c>
      <c r="G4499" s="4" t="str">
        <f>HYPERLINK("http://141.218.60.56/~jnz1568/getInfo.php?workbook=12_04.xlsx&amp;sheet=A0&amp;row=4499&amp;col=7&amp;number=0&amp;sourceID=14","0")</f>
        <v>0</v>
      </c>
    </row>
    <row r="4500" spans="1:7">
      <c r="A4500" s="3">
        <v>12</v>
      </c>
      <c r="B4500" s="3">
        <v>4</v>
      </c>
      <c r="C4500" s="3">
        <v>95</v>
      </c>
      <c r="D4500" s="3">
        <v>89</v>
      </c>
      <c r="E4500" s="3">
        <v>-21079.297</v>
      </c>
      <c r="F4500" s="4" t="str">
        <f>HYPERLINK("http://141.218.60.56/~jnz1568/getInfo.php?workbook=12_04.xlsx&amp;sheet=A0&amp;row=4500&amp;col=6&amp;number=2.61e-21&amp;sourceID=14","2.61e-21")</f>
        <v>2.61e-21</v>
      </c>
      <c r="G4500" s="4" t="str">
        <f>HYPERLINK("http://141.218.60.56/~jnz1568/getInfo.php?workbook=12_04.xlsx&amp;sheet=A0&amp;row=4500&amp;col=7&amp;number=0&amp;sourceID=14","0")</f>
        <v>0</v>
      </c>
    </row>
    <row r="4501" spans="1:7">
      <c r="A4501" s="3">
        <v>12</v>
      </c>
      <c r="B4501" s="3">
        <v>4</v>
      </c>
      <c r="C4501" s="3">
        <v>96</v>
      </c>
      <c r="D4501" s="3">
        <v>89</v>
      </c>
      <c r="E4501" s="3">
        <v>-18758.242</v>
      </c>
      <c r="F4501" s="4" t="str">
        <f>HYPERLINK("http://141.218.60.56/~jnz1568/getInfo.php?workbook=12_04.xlsx&amp;sheet=A0&amp;row=4501&amp;col=6&amp;number=2.51e-05&amp;sourceID=14","2.51e-05")</f>
        <v>2.51e-05</v>
      </c>
      <c r="G4501" s="4" t="str">
        <f>HYPERLINK("http://141.218.60.56/~jnz1568/getInfo.php?workbook=12_04.xlsx&amp;sheet=A0&amp;row=4501&amp;col=7&amp;number=0&amp;sourceID=14","0")</f>
        <v>0</v>
      </c>
    </row>
    <row r="4502" spans="1:7">
      <c r="A4502" s="3">
        <v>12</v>
      </c>
      <c r="B4502" s="3">
        <v>4</v>
      </c>
      <c r="C4502" s="3">
        <v>97</v>
      </c>
      <c r="D4502" s="3">
        <v>89</v>
      </c>
      <c r="E4502" s="3">
        <v>-12774.679</v>
      </c>
      <c r="F4502" s="4" t="str">
        <f>HYPERLINK("http://141.218.60.56/~jnz1568/getInfo.php?workbook=12_04.xlsx&amp;sheet=A0&amp;row=4502&amp;col=6&amp;number=28100&amp;sourceID=14","28100")</f>
        <v>28100</v>
      </c>
      <c r="G4502" s="4" t="str">
        <f>HYPERLINK("http://141.218.60.56/~jnz1568/getInfo.php?workbook=12_04.xlsx&amp;sheet=A0&amp;row=4502&amp;col=7&amp;number=0&amp;sourceID=14","0")</f>
        <v>0</v>
      </c>
    </row>
    <row r="4503" spans="1:7">
      <c r="A4503" s="3">
        <v>12</v>
      </c>
      <c r="B4503" s="3">
        <v>4</v>
      </c>
      <c r="C4503" s="3">
        <v>98</v>
      </c>
      <c r="D4503" s="3">
        <v>89</v>
      </c>
      <c r="E4503" s="3">
        <v>-11081.581</v>
      </c>
      <c r="F4503" s="4" t="str">
        <f>HYPERLINK("http://141.218.60.56/~jnz1568/getInfo.php?workbook=12_04.xlsx&amp;sheet=A0&amp;row=4503&amp;col=6&amp;number=4.42e-13&amp;sourceID=14","4.42e-13")</f>
        <v>4.42e-13</v>
      </c>
      <c r="G4503" s="4" t="str">
        <f>HYPERLINK("http://141.218.60.56/~jnz1568/getInfo.php?workbook=12_04.xlsx&amp;sheet=A0&amp;row=4503&amp;col=7&amp;number=0&amp;sourceID=14","0")</f>
        <v>0</v>
      </c>
    </row>
    <row r="4504" spans="1:7">
      <c r="A4504" s="3">
        <v>12</v>
      </c>
      <c r="B4504" s="3">
        <v>4</v>
      </c>
      <c r="C4504" s="3">
        <v>91</v>
      </c>
      <c r="D4504" s="3">
        <v>90</v>
      </c>
      <c r="E4504" s="3">
        <v>-82034.602</v>
      </c>
      <c r="F4504" s="4" t="str">
        <f>HYPERLINK("http://141.218.60.56/~jnz1568/getInfo.php?workbook=12_04.xlsx&amp;sheet=A0&amp;row=4504&amp;col=6&amp;number=5.38e-08&amp;sourceID=14","5.38e-08")</f>
        <v>5.38e-08</v>
      </c>
      <c r="G4504" s="4" t="str">
        <f>HYPERLINK("http://141.218.60.56/~jnz1568/getInfo.php?workbook=12_04.xlsx&amp;sheet=A0&amp;row=4504&amp;col=7&amp;number=0&amp;sourceID=14","0")</f>
        <v>0</v>
      </c>
    </row>
    <row r="4505" spans="1:7">
      <c r="A4505" s="3">
        <v>12</v>
      </c>
      <c r="B4505" s="3">
        <v>4</v>
      </c>
      <c r="C4505" s="3">
        <v>92</v>
      </c>
      <c r="D4505" s="3">
        <v>90</v>
      </c>
      <c r="E4505" s="3">
        <v>-66401.188</v>
      </c>
      <c r="F4505" s="4" t="str">
        <f>HYPERLINK("http://141.218.60.56/~jnz1568/getInfo.php?workbook=12_04.xlsx&amp;sheet=A0&amp;row=4505&amp;col=6&amp;number=0.0128&amp;sourceID=14","0.0128")</f>
        <v>0.0128</v>
      </c>
      <c r="G4505" s="4" t="str">
        <f>HYPERLINK("http://141.218.60.56/~jnz1568/getInfo.php?workbook=12_04.xlsx&amp;sheet=A0&amp;row=4505&amp;col=7&amp;number=0&amp;sourceID=14","0")</f>
        <v>0</v>
      </c>
    </row>
    <row r="4506" spans="1:7">
      <c r="A4506" s="3">
        <v>12</v>
      </c>
      <c r="B4506" s="3">
        <v>4</v>
      </c>
      <c r="C4506" s="3">
        <v>93</v>
      </c>
      <c r="D4506" s="3">
        <v>90</v>
      </c>
      <c r="E4506" s="3">
        <v>-56529.215</v>
      </c>
      <c r="F4506" s="4" t="str">
        <f>HYPERLINK("http://141.218.60.56/~jnz1568/getInfo.php?workbook=12_04.xlsx&amp;sheet=A0&amp;row=4506&amp;col=6&amp;number=4.87e-22&amp;sourceID=14","4.87e-22")</f>
        <v>4.87e-22</v>
      </c>
      <c r="G4506" s="4" t="str">
        <f>HYPERLINK("http://141.218.60.56/~jnz1568/getInfo.php?workbook=12_04.xlsx&amp;sheet=A0&amp;row=4506&amp;col=7&amp;number=0&amp;sourceID=14","0")</f>
        <v>0</v>
      </c>
    </row>
    <row r="4507" spans="1:7">
      <c r="A4507" s="3">
        <v>12</v>
      </c>
      <c r="B4507" s="3">
        <v>4</v>
      </c>
      <c r="C4507" s="3">
        <v>94</v>
      </c>
      <c r="D4507" s="3">
        <v>90</v>
      </c>
      <c r="E4507" s="3">
        <v>-36549.773</v>
      </c>
      <c r="F4507" s="4" t="str">
        <f>HYPERLINK("http://141.218.60.56/~jnz1568/getInfo.php?workbook=12_04.xlsx&amp;sheet=A0&amp;row=4507&amp;col=6&amp;number=1.38e-24&amp;sourceID=14","1.38e-24")</f>
        <v>1.38e-24</v>
      </c>
      <c r="G4507" s="4" t="str">
        <f>HYPERLINK("http://141.218.60.56/~jnz1568/getInfo.php?workbook=12_04.xlsx&amp;sheet=A0&amp;row=4507&amp;col=7&amp;number=0&amp;sourceID=14","0")</f>
        <v>0</v>
      </c>
    </row>
    <row r="4508" spans="1:7">
      <c r="A4508" s="3">
        <v>12</v>
      </c>
      <c r="B4508" s="3">
        <v>4</v>
      </c>
      <c r="C4508" s="3">
        <v>96</v>
      </c>
      <c r="D4508" s="3">
        <v>90</v>
      </c>
      <c r="E4508" s="3">
        <v>-25271.717</v>
      </c>
      <c r="F4508" s="4" t="str">
        <f>HYPERLINK("http://141.218.60.56/~jnz1568/getInfo.php?workbook=12_04.xlsx&amp;sheet=A0&amp;row=4508&amp;col=6&amp;number=7.19e-19&amp;sourceID=14","7.19e-19")</f>
        <v>7.19e-19</v>
      </c>
      <c r="G4508" s="4" t="str">
        <f>HYPERLINK("http://141.218.60.56/~jnz1568/getInfo.php?workbook=12_04.xlsx&amp;sheet=A0&amp;row=4508&amp;col=7&amp;number=0&amp;sourceID=14","0")</f>
        <v>0</v>
      </c>
    </row>
    <row r="4509" spans="1:7">
      <c r="A4509" s="3">
        <v>12</v>
      </c>
      <c r="B4509" s="3">
        <v>4</v>
      </c>
      <c r="C4509" s="3">
        <v>97</v>
      </c>
      <c r="D4509" s="3">
        <v>90</v>
      </c>
      <c r="E4509" s="3">
        <v>-15494.296</v>
      </c>
      <c r="F4509" s="4" t="str">
        <f>HYPERLINK("http://141.218.60.56/~jnz1568/getInfo.php?workbook=12_04.xlsx&amp;sheet=A0&amp;row=4509&amp;col=6&amp;number=1.2e-08&amp;sourceID=14","1.2e-08")</f>
        <v>1.2e-08</v>
      </c>
      <c r="G4509" s="4" t="str">
        <f>HYPERLINK("http://141.218.60.56/~jnz1568/getInfo.php?workbook=12_04.xlsx&amp;sheet=A0&amp;row=4509&amp;col=7&amp;number=0&amp;sourceID=14","0")</f>
        <v>0</v>
      </c>
    </row>
    <row r="4510" spans="1:7">
      <c r="A4510" s="3">
        <v>12</v>
      </c>
      <c r="B4510" s="3">
        <v>4</v>
      </c>
      <c r="C4510" s="3">
        <v>98</v>
      </c>
      <c r="D4510" s="3">
        <v>90</v>
      </c>
      <c r="E4510" s="3">
        <v>-13071.92</v>
      </c>
      <c r="F4510" s="4" t="str">
        <f>HYPERLINK("http://141.218.60.56/~jnz1568/getInfo.php?workbook=12_04.xlsx&amp;sheet=A0&amp;row=4510&amp;col=6&amp;number=3.22e-25&amp;sourceID=14","3.22e-25")</f>
        <v>3.22e-25</v>
      </c>
      <c r="G4510" s="4" t="str">
        <f>HYPERLINK("http://141.218.60.56/~jnz1568/getInfo.php?workbook=12_04.xlsx&amp;sheet=A0&amp;row=4510&amp;col=7&amp;number=0&amp;sourceID=14","0")</f>
        <v>0</v>
      </c>
    </row>
    <row r="4511" spans="1:7">
      <c r="A4511" s="3">
        <v>12</v>
      </c>
      <c r="B4511" s="3">
        <v>4</v>
      </c>
      <c r="C4511" s="3">
        <v>92</v>
      </c>
      <c r="D4511" s="3">
        <v>91</v>
      </c>
      <c r="E4511" s="3">
        <v>-348432.688</v>
      </c>
      <c r="F4511" s="4" t="str">
        <f>HYPERLINK("http://141.218.60.56/~jnz1568/getInfo.php?workbook=12_04.xlsx&amp;sheet=A0&amp;row=4511&amp;col=6&amp;number=2.51e-07&amp;sourceID=14","2.51e-07")</f>
        <v>2.51e-07</v>
      </c>
      <c r="G4511" s="4" t="str">
        <f>HYPERLINK("http://141.218.60.56/~jnz1568/getInfo.php?workbook=12_04.xlsx&amp;sheet=A0&amp;row=4511&amp;col=7&amp;number=0&amp;sourceID=14","0")</f>
        <v>0</v>
      </c>
    </row>
    <row r="4512" spans="1:7">
      <c r="A4512" s="3">
        <v>12</v>
      </c>
      <c r="B4512" s="3">
        <v>4</v>
      </c>
      <c r="C4512" s="3">
        <v>93</v>
      </c>
      <c r="D4512" s="3">
        <v>91</v>
      </c>
      <c r="E4512" s="3">
        <v>-181818.516</v>
      </c>
      <c r="F4512" s="4" t="str">
        <f>HYPERLINK("http://141.218.60.56/~jnz1568/getInfo.php?workbook=12_04.xlsx&amp;sheet=A0&amp;row=4512&amp;col=6&amp;number=0.00353&amp;sourceID=14","0.00353")</f>
        <v>0.00353</v>
      </c>
      <c r="G4512" s="4" t="str">
        <f>HYPERLINK("http://141.218.60.56/~jnz1568/getInfo.php?workbook=12_04.xlsx&amp;sheet=A0&amp;row=4512&amp;col=7&amp;number=0&amp;sourceID=14","0")</f>
        <v>0</v>
      </c>
    </row>
    <row r="4513" spans="1:7">
      <c r="A4513" s="3">
        <v>12</v>
      </c>
      <c r="B4513" s="3">
        <v>4</v>
      </c>
      <c r="C4513" s="3">
        <v>94</v>
      </c>
      <c r="D4513" s="3">
        <v>91</v>
      </c>
      <c r="E4513" s="3">
        <v>-65919.703</v>
      </c>
      <c r="F4513" s="4" t="str">
        <f>HYPERLINK("http://141.218.60.56/~jnz1568/getInfo.php?workbook=12_04.xlsx&amp;sheet=A0&amp;row=4513&amp;col=6&amp;number=3.88e-07&amp;sourceID=14","3.88e-07")</f>
        <v>3.88e-07</v>
      </c>
      <c r="G4513" s="4" t="str">
        <f>HYPERLINK("http://141.218.60.56/~jnz1568/getInfo.php?workbook=12_04.xlsx&amp;sheet=A0&amp;row=4513&amp;col=7&amp;number=0&amp;sourceID=14","0")</f>
        <v>0</v>
      </c>
    </row>
    <row r="4514" spans="1:7">
      <c r="A4514" s="3">
        <v>12</v>
      </c>
      <c r="B4514" s="3">
        <v>4</v>
      </c>
      <c r="C4514" s="3">
        <v>96</v>
      </c>
      <c r="D4514" s="3">
        <v>91</v>
      </c>
      <c r="E4514" s="3">
        <v>-36523.078</v>
      </c>
      <c r="F4514" s="4" t="str">
        <f>HYPERLINK("http://141.218.60.56/~jnz1568/getInfo.php?workbook=12_04.xlsx&amp;sheet=A0&amp;row=4514&amp;col=6&amp;number=0.0698&amp;sourceID=14","0.0698")</f>
        <v>0.0698</v>
      </c>
      <c r="G4514" s="4" t="str">
        <f>HYPERLINK("http://141.218.60.56/~jnz1568/getInfo.php?workbook=12_04.xlsx&amp;sheet=A0&amp;row=4514&amp;col=7&amp;number=0&amp;sourceID=14","0")</f>
        <v>0</v>
      </c>
    </row>
    <row r="4515" spans="1:7">
      <c r="A4515" s="3">
        <v>12</v>
      </c>
      <c r="B4515" s="3">
        <v>4</v>
      </c>
      <c r="C4515" s="3">
        <v>97</v>
      </c>
      <c r="D4515" s="3">
        <v>91</v>
      </c>
      <c r="E4515" s="3">
        <v>-19102.232</v>
      </c>
      <c r="F4515" s="4" t="str">
        <f>HYPERLINK("http://141.218.60.56/~jnz1568/getInfo.php?workbook=12_04.xlsx&amp;sheet=A0&amp;row=4515&amp;col=6&amp;number=345&amp;sourceID=14","345")</f>
        <v>345</v>
      </c>
      <c r="G4515" s="4" t="str">
        <f>HYPERLINK("http://141.218.60.56/~jnz1568/getInfo.php?workbook=12_04.xlsx&amp;sheet=A0&amp;row=4515&amp;col=7&amp;number=0&amp;sourceID=14","0")</f>
        <v>0</v>
      </c>
    </row>
    <row r="4516" spans="1:7">
      <c r="A4516" s="3">
        <v>12</v>
      </c>
      <c r="B4516" s="3">
        <v>4</v>
      </c>
      <c r="C4516" s="3">
        <v>98</v>
      </c>
      <c r="D4516" s="3">
        <v>91</v>
      </c>
      <c r="E4516" s="3">
        <v>-15549.71</v>
      </c>
      <c r="F4516" s="4" t="str">
        <f>HYPERLINK("http://141.218.60.56/~jnz1568/getInfo.php?workbook=12_04.xlsx&amp;sheet=A0&amp;row=4516&amp;col=6&amp;number=3.36e-08&amp;sourceID=14","3.36e-08")</f>
        <v>3.36e-08</v>
      </c>
      <c r="G4516" s="4" t="str">
        <f>HYPERLINK("http://141.218.60.56/~jnz1568/getInfo.php?workbook=12_04.xlsx&amp;sheet=A0&amp;row=4516&amp;col=7&amp;number=0&amp;sourceID=14","0")</f>
        <v>0</v>
      </c>
    </row>
    <row r="4517" spans="1:7">
      <c r="A4517" s="3">
        <v>12</v>
      </c>
      <c r="B4517" s="3">
        <v>4</v>
      </c>
      <c r="C4517" s="3">
        <v>93</v>
      </c>
      <c r="D4517" s="3">
        <v>92</v>
      </c>
      <c r="E4517" s="3">
        <v>-380228.844</v>
      </c>
      <c r="F4517" s="4" t="str">
        <f>HYPERLINK("http://141.218.60.56/~jnz1568/getInfo.php?workbook=12_04.xlsx&amp;sheet=A0&amp;row=4517&amp;col=6&amp;number=6.95e-13&amp;sourceID=14","6.95e-13")</f>
        <v>6.95e-13</v>
      </c>
      <c r="G4517" s="4" t="str">
        <f>HYPERLINK("http://141.218.60.56/~jnz1568/getInfo.php?workbook=12_04.xlsx&amp;sheet=A0&amp;row=4517&amp;col=7&amp;number=0&amp;sourceID=14","0")</f>
        <v>0</v>
      </c>
    </row>
    <row r="4518" spans="1:7">
      <c r="A4518" s="3">
        <v>12</v>
      </c>
      <c r="B4518" s="3">
        <v>4</v>
      </c>
      <c r="C4518" s="3">
        <v>94</v>
      </c>
      <c r="D4518" s="3">
        <v>92</v>
      </c>
      <c r="E4518" s="3">
        <v>-81300.961</v>
      </c>
      <c r="F4518" s="4" t="str">
        <f>HYPERLINK("http://141.218.60.56/~jnz1568/getInfo.php?workbook=12_04.xlsx&amp;sheet=A0&amp;row=4518&amp;col=6&amp;number=1.59e-23&amp;sourceID=14","1.59e-23")</f>
        <v>1.59e-23</v>
      </c>
      <c r="G4518" s="4" t="str">
        <f>HYPERLINK("http://141.218.60.56/~jnz1568/getInfo.php?workbook=12_04.xlsx&amp;sheet=A0&amp;row=4518&amp;col=7&amp;number=0&amp;sourceID=14","0")</f>
        <v>0</v>
      </c>
    </row>
    <row r="4519" spans="1:7">
      <c r="A4519" s="3">
        <v>12</v>
      </c>
      <c r="B4519" s="3">
        <v>4</v>
      </c>
      <c r="C4519" s="3">
        <v>95</v>
      </c>
      <c r="D4519" s="3">
        <v>92</v>
      </c>
      <c r="E4519" s="3">
        <v>-53648.168</v>
      </c>
      <c r="F4519" s="4" t="str">
        <f>HYPERLINK("http://141.218.60.56/~jnz1568/getInfo.php?workbook=12_04.xlsx&amp;sheet=A0&amp;row=4519&amp;col=6&amp;number=8.83e-24&amp;sourceID=14","8.83e-24")</f>
        <v>8.83e-24</v>
      </c>
      <c r="G4519" s="4" t="str">
        <f>HYPERLINK("http://141.218.60.56/~jnz1568/getInfo.php?workbook=12_04.xlsx&amp;sheet=A0&amp;row=4519&amp;col=7&amp;number=0&amp;sourceID=14","0")</f>
        <v>0</v>
      </c>
    </row>
    <row r="4520" spans="1:7">
      <c r="A4520" s="3">
        <v>12</v>
      </c>
      <c r="B4520" s="3">
        <v>4</v>
      </c>
      <c r="C4520" s="3">
        <v>96</v>
      </c>
      <c r="D4520" s="3">
        <v>92</v>
      </c>
      <c r="E4520" s="3">
        <v>-40799.75</v>
      </c>
      <c r="F4520" s="4" t="str">
        <f>HYPERLINK("http://141.218.60.56/~jnz1568/getInfo.php?workbook=12_04.xlsx&amp;sheet=A0&amp;row=4520&amp;col=6&amp;number=2.8e-10&amp;sourceID=14","2.8e-10")</f>
        <v>2.8e-10</v>
      </c>
      <c r="G4520" s="4" t="str">
        <f>HYPERLINK("http://141.218.60.56/~jnz1568/getInfo.php?workbook=12_04.xlsx&amp;sheet=A0&amp;row=4520&amp;col=7&amp;number=0&amp;sourceID=14","0")</f>
        <v>0</v>
      </c>
    </row>
    <row r="4521" spans="1:7">
      <c r="A4521" s="3">
        <v>12</v>
      </c>
      <c r="B4521" s="3">
        <v>4</v>
      </c>
      <c r="C4521" s="3">
        <v>97</v>
      </c>
      <c r="D4521" s="3">
        <v>92</v>
      </c>
      <c r="E4521" s="3">
        <v>-20210.223</v>
      </c>
      <c r="F4521" s="4" t="str">
        <f>HYPERLINK("http://141.218.60.56/~jnz1568/getInfo.php?workbook=12_04.xlsx&amp;sheet=A0&amp;row=4521&amp;col=6&amp;number=30100&amp;sourceID=14","30100")</f>
        <v>30100</v>
      </c>
      <c r="G4521" s="4" t="str">
        <f>HYPERLINK("http://141.218.60.56/~jnz1568/getInfo.php?workbook=12_04.xlsx&amp;sheet=A0&amp;row=4521&amp;col=7&amp;number=0&amp;sourceID=14","0")</f>
        <v>0</v>
      </c>
    </row>
    <row r="4522" spans="1:7">
      <c r="A4522" s="3">
        <v>12</v>
      </c>
      <c r="B4522" s="3">
        <v>4</v>
      </c>
      <c r="C4522" s="3">
        <v>98</v>
      </c>
      <c r="D4522" s="3">
        <v>92</v>
      </c>
      <c r="E4522" s="3">
        <v>-16276.071</v>
      </c>
      <c r="F4522" s="4" t="str">
        <f>HYPERLINK("http://141.218.60.56/~jnz1568/getInfo.php?workbook=12_04.xlsx&amp;sheet=A0&amp;row=4522&amp;col=6&amp;number=1.13e-13&amp;sourceID=14","1.13e-13")</f>
        <v>1.13e-13</v>
      </c>
      <c r="G4522" s="4" t="str">
        <f>HYPERLINK("http://141.218.60.56/~jnz1568/getInfo.php?workbook=12_04.xlsx&amp;sheet=A0&amp;row=4522&amp;col=7&amp;number=0&amp;sourceID=14","0")</f>
        <v>0</v>
      </c>
    </row>
    <row r="4523" spans="1:7">
      <c r="A4523" s="3">
        <v>12</v>
      </c>
      <c r="B4523" s="3">
        <v>4</v>
      </c>
      <c r="C4523" s="3">
        <v>94</v>
      </c>
      <c r="D4523" s="3">
        <v>93</v>
      </c>
      <c r="E4523" s="3">
        <v>-103412.805</v>
      </c>
      <c r="F4523" s="4" t="str">
        <f>HYPERLINK("http://141.218.60.56/~jnz1568/getInfo.php?workbook=12_04.xlsx&amp;sheet=A0&amp;row=4523&amp;col=6&amp;number=0.0289&amp;sourceID=14","0.0289")</f>
        <v>0.0289</v>
      </c>
      <c r="G4523" s="4" t="str">
        <f>HYPERLINK("http://141.218.60.56/~jnz1568/getInfo.php?workbook=12_04.xlsx&amp;sheet=A0&amp;row=4523&amp;col=7&amp;number=0&amp;sourceID=14","0")</f>
        <v>0</v>
      </c>
    </row>
    <row r="4524" spans="1:7">
      <c r="A4524" s="3">
        <v>12</v>
      </c>
      <c r="B4524" s="3">
        <v>4</v>
      </c>
      <c r="C4524" s="3">
        <v>95</v>
      </c>
      <c r="D4524" s="3">
        <v>93</v>
      </c>
      <c r="E4524" s="3">
        <v>-62461.078</v>
      </c>
      <c r="F4524" s="4" t="str">
        <f>HYPERLINK("http://141.218.60.56/~jnz1568/getInfo.php?workbook=12_04.xlsx&amp;sheet=A0&amp;row=4524&amp;col=6&amp;number=9.18e-07&amp;sourceID=14","9.18e-07")</f>
        <v>9.18e-07</v>
      </c>
      <c r="G4524" s="4" t="str">
        <f>HYPERLINK("http://141.218.60.56/~jnz1568/getInfo.php?workbook=12_04.xlsx&amp;sheet=A0&amp;row=4524&amp;col=7&amp;number=0&amp;sourceID=14","0")</f>
        <v>0</v>
      </c>
    </row>
    <row r="4525" spans="1:7">
      <c r="A4525" s="3">
        <v>12</v>
      </c>
      <c r="B4525" s="3">
        <v>4</v>
      </c>
      <c r="C4525" s="3">
        <v>96</v>
      </c>
      <c r="D4525" s="3">
        <v>93</v>
      </c>
      <c r="E4525" s="3">
        <v>-45703.922</v>
      </c>
      <c r="F4525" s="4" t="str">
        <f>HYPERLINK("http://141.218.60.56/~jnz1568/getInfo.php?workbook=12_04.xlsx&amp;sheet=A0&amp;row=4525&amp;col=6&amp;number=0.00826&amp;sourceID=14","0.00826")</f>
        <v>0.00826</v>
      </c>
      <c r="G4525" s="4" t="str">
        <f>HYPERLINK("http://141.218.60.56/~jnz1568/getInfo.php?workbook=12_04.xlsx&amp;sheet=A0&amp;row=4525&amp;col=7&amp;number=0&amp;sourceID=14","0")</f>
        <v>0</v>
      </c>
    </row>
    <row r="4526" spans="1:7">
      <c r="A4526" s="3">
        <v>12</v>
      </c>
      <c r="B4526" s="3">
        <v>4</v>
      </c>
      <c r="C4526" s="3">
        <v>97</v>
      </c>
      <c r="D4526" s="3">
        <v>93</v>
      </c>
      <c r="E4526" s="3">
        <v>-21344.756</v>
      </c>
      <c r="F4526" s="4" t="str">
        <f>HYPERLINK("http://141.218.60.56/~jnz1568/getInfo.php?workbook=12_04.xlsx&amp;sheet=A0&amp;row=4526&amp;col=6&amp;number=77.8&amp;sourceID=14","77.8")</f>
        <v>77.8</v>
      </c>
      <c r="G4526" s="4" t="str">
        <f>HYPERLINK("http://141.218.60.56/~jnz1568/getInfo.php?workbook=12_04.xlsx&amp;sheet=A0&amp;row=4526&amp;col=7&amp;number=0&amp;sourceID=14","0")</f>
        <v>0</v>
      </c>
    </row>
    <row r="4527" spans="1:7">
      <c r="A4527" s="3">
        <v>12</v>
      </c>
      <c r="B4527" s="3">
        <v>4</v>
      </c>
      <c r="C4527" s="3">
        <v>98</v>
      </c>
      <c r="D4527" s="3">
        <v>93</v>
      </c>
      <c r="E4527" s="3">
        <v>-17003.941</v>
      </c>
      <c r="F4527" s="4" t="str">
        <f>HYPERLINK("http://141.218.60.56/~jnz1568/getInfo.php?workbook=12_04.xlsx&amp;sheet=A0&amp;row=4527&amp;col=6&amp;number=16500&amp;sourceID=14","16500")</f>
        <v>16500</v>
      </c>
      <c r="G4527" s="4" t="str">
        <f>HYPERLINK("http://141.218.60.56/~jnz1568/getInfo.php?workbook=12_04.xlsx&amp;sheet=A0&amp;row=4527&amp;col=7&amp;number=0&amp;sourceID=14","0")</f>
        <v>0</v>
      </c>
    </row>
    <row r="4528" spans="1:7">
      <c r="A4528" s="3">
        <v>12</v>
      </c>
      <c r="B4528" s="3">
        <v>4</v>
      </c>
      <c r="C4528" s="3">
        <v>96</v>
      </c>
      <c r="D4528" s="3">
        <v>94</v>
      </c>
      <c r="E4528" s="3">
        <v>-81900.234</v>
      </c>
      <c r="F4528" s="4" t="str">
        <f>HYPERLINK("http://141.218.60.56/~jnz1568/getInfo.php?workbook=12_04.xlsx&amp;sheet=A0&amp;row=4528&amp;col=6&amp;number=0.00762&amp;sourceID=14","0.00762")</f>
        <v>0.00762</v>
      </c>
      <c r="G4528" s="4" t="str">
        <f>HYPERLINK("http://141.218.60.56/~jnz1568/getInfo.php?workbook=12_04.xlsx&amp;sheet=A0&amp;row=4528&amp;col=7&amp;number=0&amp;sourceID=14","0")</f>
        <v>0</v>
      </c>
    </row>
    <row r="4529" spans="1:7">
      <c r="A4529" s="3">
        <v>12</v>
      </c>
      <c r="B4529" s="3">
        <v>4</v>
      </c>
      <c r="C4529" s="3">
        <v>97</v>
      </c>
      <c r="D4529" s="3">
        <v>94</v>
      </c>
      <c r="E4529" s="3">
        <v>-26896.231</v>
      </c>
      <c r="F4529" s="4" t="str">
        <f>HYPERLINK("http://141.218.60.56/~jnz1568/getInfo.php?workbook=12_04.xlsx&amp;sheet=A0&amp;row=4529&amp;col=6&amp;number=3.07e-15&amp;sourceID=14","3.07e-15")</f>
        <v>3.07e-15</v>
      </c>
      <c r="G4529" s="4" t="str">
        <f>HYPERLINK("http://141.218.60.56/~jnz1568/getInfo.php?workbook=12_04.xlsx&amp;sheet=A0&amp;row=4529&amp;col=7&amp;number=0&amp;sourceID=14","0")</f>
        <v>0</v>
      </c>
    </row>
    <row r="4530" spans="1:7">
      <c r="A4530" s="3">
        <v>12</v>
      </c>
      <c r="B4530" s="3">
        <v>4</v>
      </c>
      <c r="C4530" s="3">
        <v>98</v>
      </c>
      <c r="D4530" s="3">
        <v>94</v>
      </c>
      <c r="E4530" s="3">
        <v>-20350.059</v>
      </c>
      <c r="F4530" s="4" t="str">
        <f>HYPERLINK("http://141.218.60.56/~jnz1568/getInfo.php?workbook=12_04.xlsx&amp;sheet=A0&amp;row=4530&amp;col=6&amp;number=3.86&amp;sourceID=14","3.86")</f>
        <v>3.86</v>
      </c>
      <c r="G4530" s="4" t="str">
        <f>HYPERLINK("http://141.218.60.56/~jnz1568/getInfo.php?workbook=12_04.xlsx&amp;sheet=A0&amp;row=4530&amp;col=7&amp;number=0&amp;sourceID=14","0")</f>
        <v>0</v>
      </c>
    </row>
    <row r="4531" spans="1:7">
      <c r="A4531" s="3">
        <v>12</v>
      </c>
      <c r="B4531" s="3">
        <v>4</v>
      </c>
      <c r="C4531" s="3">
        <v>96</v>
      </c>
      <c r="D4531" s="3">
        <v>95</v>
      </c>
      <c r="E4531" s="3">
        <v>-170358.062</v>
      </c>
      <c r="F4531" s="4" t="str">
        <f>HYPERLINK("http://141.218.60.56/~jnz1568/getInfo.php?workbook=12_04.xlsx&amp;sheet=A0&amp;row=4531&amp;col=6&amp;number=1.03e-08&amp;sourceID=14","1.03e-08")</f>
        <v>1.03e-08</v>
      </c>
      <c r="G4531" s="4" t="str">
        <f>HYPERLINK("http://141.218.60.56/~jnz1568/getInfo.php?workbook=12_04.xlsx&amp;sheet=A0&amp;row=4531&amp;col=7&amp;number=0&amp;sourceID=14","0")</f>
        <v>0</v>
      </c>
    </row>
    <row r="4532" spans="1:7">
      <c r="A4532" s="3">
        <v>12</v>
      </c>
      <c r="B4532" s="3">
        <v>4</v>
      </c>
      <c r="C4532" s="3">
        <v>97</v>
      </c>
      <c r="D4532" s="3">
        <v>95</v>
      </c>
      <c r="E4532" s="3">
        <v>-32425.481</v>
      </c>
      <c r="F4532" s="4" t="str">
        <f>HYPERLINK("http://141.218.60.56/~jnz1568/getInfo.php?workbook=12_04.xlsx&amp;sheet=A0&amp;row=4532&amp;col=6&amp;number=1.2e-20&amp;sourceID=14","1.2e-20")</f>
        <v>1.2e-20</v>
      </c>
      <c r="G4532" s="4" t="str">
        <f>HYPERLINK("http://141.218.60.56/~jnz1568/getInfo.php?workbook=12_04.xlsx&amp;sheet=A0&amp;row=4532&amp;col=7&amp;number=0&amp;sourceID=14","0")</f>
        <v>0</v>
      </c>
    </row>
    <row r="4533" spans="1:7">
      <c r="A4533" s="3">
        <v>12</v>
      </c>
      <c r="B4533" s="3">
        <v>4</v>
      </c>
      <c r="C4533" s="3">
        <v>98</v>
      </c>
      <c r="D4533" s="3">
        <v>95</v>
      </c>
      <c r="E4533" s="3">
        <v>-23364.529</v>
      </c>
      <c r="F4533" s="4" t="str">
        <f>HYPERLINK("http://141.218.60.56/~jnz1568/getInfo.php?workbook=12_04.xlsx&amp;sheet=A0&amp;row=4533&amp;col=6&amp;number=18200&amp;sourceID=14","18200")</f>
        <v>18200</v>
      </c>
      <c r="G4533" s="4" t="str">
        <f>HYPERLINK("http://141.218.60.56/~jnz1568/getInfo.php?workbook=12_04.xlsx&amp;sheet=A0&amp;row=4533&amp;col=7&amp;number=0&amp;sourceID=14","0")</f>
        <v>0</v>
      </c>
    </row>
    <row r="4534" spans="1:7">
      <c r="A4534" s="3">
        <v>12</v>
      </c>
      <c r="B4534" s="3">
        <v>4</v>
      </c>
      <c r="C4534" s="3">
        <v>97</v>
      </c>
      <c r="D4534" s="3">
        <v>96</v>
      </c>
      <c r="E4534" s="3">
        <v>-40048.133</v>
      </c>
      <c r="F4534" s="4" t="str">
        <f>HYPERLINK("http://141.218.60.56/~jnz1568/getInfo.php?workbook=12_04.xlsx&amp;sheet=A0&amp;row=4534&amp;col=6&amp;number=0.726&amp;sourceID=14","0.726")</f>
        <v>0.726</v>
      </c>
      <c r="G4534" s="4" t="str">
        <f>HYPERLINK("http://141.218.60.56/~jnz1568/getInfo.php?workbook=12_04.xlsx&amp;sheet=A0&amp;row=4534&amp;col=7&amp;number=0&amp;sourceID=14","0")</f>
        <v>0</v>
      </c>
    </row>
    <row r="4535" spans="1:7">
      <c r="A4535" s="3">
        <v>12</v>
      </c>
      <c r="B4535" s="3">
        <v>4</v>
      </c>
      <c r="C4535" s="3">
        <v>98</v>
      </c>
      <c r="D4535" s="3">
        <v>96</v>
      </c>
      <c r="E4535" s="3">
        <v>-27078.307</v>
      </c>
      <c r="F4535" s="4" t="str">
        <f>HYPERLINK("http://141.218.60.56/~jnz1568/getInfo.php?workbook=12_04.xlsx&amp;sheet=A0&amp;row=4535&amp;col=6&amp;number=9100&amp;sourceID=14","9100")</f>
        <v>9100</v>
      </c>
      <c r="G4535" s="4" t="str">
        <f>HYPERLINK("http://141.218.60.56/~jnz1568/getInfo.php?workbook=12_04.xlsx&amp;sheet=A0&amp;row=4535&amp;col=7&amp;number=0&amp;sourceID=14","0")</f>
        <v>0</v>
      </c>
    </row>
    <row r="4536" spans="1:7">
      <c r="A4536" s="3">
        <v>12</v>
      </c>
      <c r="B4536" s="3">
        <v>4</v>
      </c>
      <c r="C4536" s="3">
        <v>98</v>
      </c>
      <c r="D4536" s="3">
        <v>97</v>
      </c>
      <c r="E4536" s="3">
        <v>57471.371</v>
      </c>
      <c r="F4536" s="4" t="str">
        <f>HYPERLINK("http://141.218.60.56/~jnz1568/getInfo.php?workbook=12_04.xlsx&amp;sheet=A0&amp;row=4536&amp;col=6&amp;number=1.33e-06&amp;sourceID=14","1.33e-06")</f>
        <v>1.33e-06</v>
      </c>
      <c r="G4536" s="4" t="str">
        <f>HYPERLINK("http://141.218.60.56/~jnz1568/getInfo.php?workbook=12_04.xlsx&amp;sheet=A0&amp;row=4536&amp;col=7&amp;number=0&amp;sourceID=14","0")</f>
        <v>0</v>
      </c>
    </row>
    <row r="4537" spans="1:7">
      <c r="A4537" s="3">
        <v>12</v>
      </c>
      <c r="B4537" s="3">
        <v>4</v>
      </c>
      <c r="C4537" s="3">
        <v>99</v>
      </c>
      <c r="D4537" s="3">
        <v>1</v>
      </c>
      <c r="E4537" s="3">
        <v>-44.148</v>
      </c>
      <c r="F4537" s="4" t="str">
        <f>HYPERLINK("http://141.218.60.56/~jnz1568/getInfo.php?workbook=12_04.xlsx&amp;sheet=A0&amp;row=4537&amp;col=6&amp;number=8.57e-05&amp;sourceID=14","8.57e-05")</f>
        <v>8.57e-05</v>
      </c>
      <c r="G4537" s="4" t="str">
        <f>HYPERLINK("http://141.218.60.56/~jnz1568/getInfo.php?workbook=12_04.xlsx&amp;sheet=A0&amp;row=4537&amp;col=7&amp;number=0&amp;sourceID=14","0")</f>
        <v>0</v>
      </c>
    </row>
    <row r="4538" spans="1:7">
      <c r="A4538" s="3">
        <v>12</v>
      </c>
      <c r="B4538" s="3">
        <v>4</v>
      </c>
      <c r="C4538" s="3">
        <v>101</v>
      </c>
      <c r="D4538" s="3">
        <v>1</v>
      </c>
      <c r="E4538" s="3">
        <v>-43.924</v>
      </c>
      <c r="F4538" s="4" t="str">
        <f>HYPERLINK("http://141.218.60.56/~jnz1568/getInfo.php?workbook=12_04.xlsx&amp;sheet=A0&amp;row=4538&amp;col=6&amp;number=121600000&amp;sourceID=14","121600000")</f>
        <v>121600000</v>
      </c>
      <c r="G4538" s="4" t="str">
        <f>HYPERLINK("http://141.218.60.56/~jnz1568/getInfo.php?workbook=12_04.xlsx&amp;sheet=A0&amp;row=4538&amp;col=7&amp;number=0&amp;sourceID=14","0")</f>
        <v>0</v>
      </c>
    </row>
    <row r="4539" spans="1:7">
      <c r="A4539" s="3">
        <v>12</v>
      </c>
      <c r="B4539" s="3">
        <v>4</v>
      </c>
      <c r="C4539" s="3">
        <v>104</v>
      </c>
      <c r="D4539" s="3">
        <v>1</v>
      </c>
      <c r="E4539" s="3">
        <v>43.843</v>
      </c>
      <c r="F4539" s="4" t="str">
        <f>HYPERLINK("http://141.218.60.56/~jnz1568/getInfo.php?workbook=12_04.xlsx&amp;sheet=A0&amp;row=4539&amp;col=6&amp;number=66360000000&amp;sourceID=14","66360000000")</f>
        <v>66360000000</v>
      </c>
      <c r="G4539" s="4" t="str">
        <f>HYPERLINK("http://141.218.60.56/~jnz1568/getInfo.php?workbook=12_04.xlsx&amp;sheet=A0&amp;row=4539&amp;col=7&amp;number=0&amp;sourceID=14","0")</f>
        <v>0</v>
      </c>
    </row>
    <row r="4540" spans="1:7">
      <c r="A4540" s="3">
        <v>12</v>
      </c>
      <c r="B4540" s="3">
        <v>4</v>
      </c>
      <c r="C4540" s="3">
        <v>105</v>
      </c>
      <c r="D4540" s="3">
        <v>1</v>
      </c>
      <c r="E4540" s="3">
        <v>-43.805</v>
      </c>
      <c r="F4540" s="4" t="str">
        <f>HYPERLINK("http://141.218.60.56/~jnz1568/getInfo.php?workbook=12_04.xlsx&amp;sheet=A0&amp;row=4540&amp;col=6&amp;number=3.401e-07&amp;sourceID=14","3.401e-07")</f>
        <v>3.401e-07</v>
      </c>
      <c r="G4540" s="4" t="str">
        <f>HYPERLINK("http://141.218.60.56/~jnz1568/getInfo.php?workbook=12_04.xlsx&amp;sheet=A0&amp;row=4540&amp;col=7&amp;number=0&amp;sourceID=14","0")</f>
        <v>0</v>
      </c>
    </row>
    <row r="4541" spans="1:7">
      <c r="A4541" s="3">
        <v>12</v>
      </c>
      <c r="B4541" s="3">
        <v>4</v>
      </c>
      <c r="C4541" s="3">
        <v>106</v>
      </c>
      <c r="D4541" s="3">
        <v>1</v>
      </c>
      <c r="E4541" s="3">
        <v>43.765</v>
      </c>
      <c r="F4541" s="4" t="str">
        <f>HYPERLINK("http://141.218.60.56/~jnz1568/getInfo.php?workbook=12_04.xlsx&amp;sheet=A0&amp;row=4541&amp;col=6&amp;number=599.8&amp;sourceID=14","599.8")</f>
        <v>599.8</v>
      </c>
      <c r="G4541" s="4" t="str">
        <f>HYPERLINK("http://141.218.60.56/~jnz1568/getInfo.php?workbook=12_04.xlsx&amp;sheet=A0&amp;row=4541&amp;col=7&amp;number=0&amp;sourceID=14","0")</f>
        <v>0</v>
      </c>
    </row>
    <row r="4542" spans="1:7">
      <c r="A4542" s="3">
        <v>12</v>
      </c>
      <c r="B4542" s="3">
        <v>4</v>
      </c>
      <c r="C4542" s="3">
        <v>108</v>
      </c>
      <c r="D4542" s="3">
        <v>1</v>
      </c>
      <c r="E4542" s="3">
        <v>43.699</v>
      </c>
      <c r="F4542" s="4" t="str">
        <f>HYPERLINK("http://141.218.60.56/~jnz1568/getInfo.php?workbook=12_04.xlsx&amp;sheet=A0&amp;row=4542&amp;col=6&amp;number=20060000&amp;sourceID=14","20060000")</f>
        <v>20060000</v>
      </c>
      <c r="G4542" s="4" t="str">
        <f>HYPERLINK("http://141.218.60.56/~jnz1568/getInfo.php?workbook=12_04.xlsx&amp;sheet=A0&amp;row=4542&amp;col=7&amp;number=0&amp;sourceID=14","0")</f>
        <v>0</v>
      </c>
    </row>
    <row r="4543" spans="1:7">
      <c r="A4543" s="3">
        <v>12</v>
      </c>
      <c r="B4543" s="3">
        <v>4</v>
      </c>
      <c r="C4543" s="3">
        <v>99</v>
      </c>
      <c r="D4543" s="3">
        <v>2</v>
      </c>
      <c r="E4543" s="3">
        <v>-47.084</v>
      </c>
      <c r="F4543" s="4" t="str">
        <f>HYPERLINK("http://141.218.60.56/~jnz1568/getInfo.php?workbook=12_04.xlsx&amp;sheet=A0&amp;row=4543&amp;col=6&amp;number=1403000000&amp;sourceID=14","1403000000")</f>
        <v>1403000000</v>
      </c>
      <c r="G4543" s="4" t="str">
        <f>HYPERLINK("http://141.218.60.56/~jnz1568/getInfo.php?workbook=12_04.xlsx&amp;sheet=A0&amp;row=4543&amp;col=7&amp;number=0&amp;sourceID=14","0")</f>
        <v>0</v>
      </c>
    </row>
    <row r="4544" spans="1:7">
      <c r="A4544" s="3">
        <v>12</v>
      </c>
      <c r="B4544" s="3">
        <v>4</v>
      </c>
      <c r="C4544" s="3">
        <v>101</v>
      </c>
      <c r="D4544" s="3">
        <v>2</v>
      </c>
      <c r="E4544" s="3">
        <v>-46.83</v>
      </c>
      <c r="F4544" s="4" t="str">
        <f>HYPERLINK("http://141.218.60.56/~jnz1568/getInfo.php?workbook=12_04.xlsx&amp;sheet=A0&amp;row=4544&amp;col=6&amp;number=2.519&amp;sourceID=14","2.519")</f>
        <v>2.519</v>
      </c>
      <c r="G4544" s="4" t="str">
        <f>HYPERLINK("http://141.218.60.56/~jnz1568/getInfo.php?workbook=12_04.xlsx&amp;sheet=A0&amp;row=4544&amp;col=7&amp;number=0&amp;sourceID=14","0")</f>
        <v>0</v>
      </c>
    </row>
    <row r="4545" spans="1:7">
      <c r="A4545" s="3">
        <v>12</v>
      </c>
      <c r="B4545" s="3">
        <v>4</v>
      </c>
      <c r="C4545" s="3">
        <v>102</v>
      </c>
      <c r="D4545" s="3">
        <v>2</v>
      </c>
      <c r="E4545" s="3">
        <v>-46.828</v>
      </c>
      <c r="F4545" s="4" t="str">
        <f>HYPERLINK("http://141.218.60.56/~jnz1568/getInfo.php?workbook=12_04.xlsx&amp;sheet=A0&amp;row=4545&amp;col=6&amp;number=2681000&amp;sourceID=14","2681000")</f>
        <v>2681000</v>
      </c>
      <c r="G4545" s="4" t="str">
        <f>HYPERLINK("http://141.218.60.56/~jnz1568/getInfo.php?workbook=12_04.xlsx&amp;sheet=A0&amp;row=4545&amp;col=7&amp;number=0&amp;sourceID=14","0")</f>
        <v>0</v>
      </c>
    </row>
    <row r="4546" spans="1:7">
      <c r="A4546" s="3">
        <v>12</v>
      </c>
      <c r="B4546" s="3">
        <v>4</v>
      </c>
      <c r="C4546" s="3">
        <v>104</v>
      </c>
      <c r="D4546" s="3">
        <v>2</v>
      </c>
      <c r="E4546" s="3">
        <v>46.721</v>
      </c>
      <c r="F4546" s="4" t="str">
        <f>HYPERLINK("http://141.218.60.56/~jnz1568/getInfo.php?workbook=12_04.xlsx&amp;sheet=A0&amp;row=4546&amp;col=6&amp;number=6.353&amp;sourceID=14","6.353")</f>
        <v>6.353</v>
      </c>
      <c r="G4546" s="4" t="str">
        <f>HYPERLINK("http://141.218.60.56/~jnz1568/getInfo.php?workbook=12_04.xlsx&amp;sheet=A0&amp;row=4546&amp;col=7&amp;number=0&amp;sourceID=14","0")</f>
        <v>0</v>
      </c>
    </row>
    <row r="4547" spans="1:7">
      <c r="A4547" s="3">
        <v>12</v>
      </c>
      <c r="B4547" s="3">
        <v>4</v>
      </c>
      <c r="C4547" s="3">
        <v>105</v>
      </c>
      <c r="D4547" s="3">
        <v>2</v>
      </c>
      <c r="E4547" s="3">
        <v>-46.695</v>
      </c>
      <c r="F4547" s="4" t="str">
        <f>HYPERLINK("http://141.218.60.56/~jnz1568/getInfo.php?workbook=12_04.xlsx&amp;sheet=A0&amp;row=4547&amp;col=6&amp;number=50720000000&amp;sourceID=14","50720000000")</f>
        <v>50720000000</v>
      </c>
      <c r="G4547" s="4" t="str">
        <f>HYPERLINK("http://141.218.60.56/~jnz1568/getInfo.php?workbook=12_04.xlsx&amp;sheet=A0&amp;row=4547&amp;col=7&amp;number=0&amp;sourceID=14","0")</f>
        <v>0</v>
      </c>
    </row>
    <row r="4548" spans="1:7">
      <c r="A4548" s="3">
        <v>12</v>
      </c>
      <c r="B4548" s="3">
        <v>4</v>
      </c>
      <c r="C4548" s="3">
        <v>99</v>
      </c>
      <c r="D4548" s="3">
        <v>3</v>
      </c>
      <c r="E4548" s="3">
        <v>-47.113</v>
      </c>
      <c r="F4548" s="4" t="str">
        <f>HYPERLINK("http://141.218.60.56/~jnz1568/getInfo.php?workbook=12_04.xlsx&amp;sheet=A0&amp;row=4548&amp;col=6&amp;number=4143000000&amp;sourceID=14","4143000000")</f>
        <v>4143000000</v>
      </c>
      <c r="G4548" s="4" t="str">
        <f>HYPERLINK("http://141.218.60.56/~jnz1568/getInfo.php?workbook=12_04.xlsx&amp;sheet=A0&amp;row=4548&amp;col=7&amp;number=0&amp;sourceID=14","0")</f>
        <v>0</v>
      </c>
    </row>
    <row r="4549" spans="1:7">
      <c r="A4549" s="3">
        <v>12</v>
      </c>
      <c r="B4549" s="3">
        <v>4</v>
      </c>
      <c r="C4549" s="3">
        <v>100</v>
      </c>
      <c r="D4549" s="3">
        <v>3</v>
      </c>
      <c r="E4549" s="3">
        <v>-46.859</v>
      </c>
      <c r="F4549" s="4" t="str">
        <f>HYPERLINK("http://141.218.60.56/~jnz1568/getInfo.php?workbook=12_04.xlsx&amp;sheet=A0&amp;row=4549&amp;col=6&amp;number=8.117&amp;sourceID=14","8.117")</f>
        <v>8.117</v>
      </c>
      <c r="G4549" s="4" t="str">
        <f>HYPERLINK("http://141.218.60.56/~jnz1568/getInfo.php?workbook=12_04.xlsx&amp;sheet=A0&amp;row=4549&amp;col=7&amp;number=0&amp;sourceID=14","0")</f>
        <v>0</v>
      </c>
    </row>
    <row r="4550" spans="1:7">
      <c r="A4550" s="3">
        <v>12</v>
      </c>
      <c r="B4550" s="3">
        <v>4</v>
      </c>
      <c r="C4550" s="3">
        <v>101</v>
      </c>
      <c r="D4550" s="3">
        <v>3</v>
      </c>
      <c r="E4550" s="3">
        <v>-46.858</v>
      </c>
      <c r="F4550" s="4" t="str">
        <f>HYPERLINK("http://141.218.60.56/~jnz1568/getInfo.php?workbook=12_04.xlsx&amp;sheet=A0&amp;row=4550&amp;col=6&amp;number=3384000&amp;sourceID=14","3384000")</f>
        <v>3384000</v>
      </c>
      <c r="G4550" s="4" t="str">
        <f>HYPERLINK("http://141.218.60.56/~jnz1568/getInfo.php?workbook=12_04.xlsx&amp;sheet=A0&amp;row=4550&amp;col=7&amp;number=0&amp;sourceID=14","0")</f>
        <v>0</v>
      </c>
    </row>
    <row r="4551" spans="1:7">
      <c r="A4551" s="3">
        <v>12</v>
      </c>
      <c r="B4551" s="3">
        <v>4</v>
      </c>
      <c r="C4551" s="3">
        <v>102</v>
      </c>
      <c r="D4551" s="3">
        <v>3</v>
      </c>
      <c r="E4551" s="3">
        <v>-46.856</v>
      </c>
      <c r="F4551" s="4" t="str">
        <f>HYPERLINK("http://141.218.60.56/~jnz1568/getInfo.php?workbook=12_04.xlsx&amp;sheet=A0&amp;row=4551&amp;col=6&amp;number=6130000&amp;sourceID=14","6130000")</f>
        <v>6130000</v>
      </c>
      <c r="G4551" s="4" t="str">
        <f>HYPERLINK("http://141.218.60.56/~jnz1568/getInfo.php?workbook=12_04.xlsx&amp;sheet=A0&amp;row=4551&amp;col=7&amp;number=0&amp;sourceID=14","0")</f>
        <v>0</v>
      </c>
    </row>
    <row r="4552" spans="1:7">
      <c r="A4552" s="3">
        <v>12</v>
      </c>
      <c r="B4552" s="3">
        <v>4</v>
      </c>
      <c r="C4552" s="3">
        <v>103</v>
      </c>
      <c r="D4552" s="3">
        <v>3</v>
      </c>
      <c r="E4552" s="3">
        <v>-46.889</v>
      </c>
      <c r="F4552" s="4" t="str">
        <f>HYPERLINK("http://141.218.60.56/~jnz1568/getInfo.php?workbook=12_04.xlsx&amp;sheet=A0&amp;row=4552&amp;col=6&amp;number=24250000&amp;sourceID=14","24250000")</f>
        <v>24250000</v>
      </c>
      <c r="G4552" s="4" t="str">
        <f>HYPERLINK("http://141.218.60.56/~jnz1568/getInfo.php?workbook=12_04.xlsx&amp;sheet=A0&amp;row=4552&amp;col=7&amp;number=0&amp;sourceID=14","0")</f>
        <v>0</v>
      </c>
    </row>
    <row r="4553" spans="1:7">
      <c r="A4553" s="3">
        <v>12</v>
      </c>
      <c r="B4553" s="3">
        <v>4</v>
      </c>
      <c r="C4553" s="3">
        <v>104</v>
      </c>
      <c r="D4553" s="3">
        <v>3</v>
      </c>
      <c r="E4553" s="3">
        <v>46.746</v>
      </c>
      <c r="F4553" s="4" t="str">
        <f>HYPERLINK("http://141.218.60.56/~jnz1568/getInfo.php?workbook=12_04.xlsx&amp;sheet=A0&amp;row=4553&amp;col=6&amp;number=280.2&amp;sourceID=14","280.2")</f>
        <v>280.2</v>
      </c>
      <c r="G4553" s="4" t="str">
        <f>HYPERLINK("http://141.218.60.56/~jnz1568/getInfo.php?workbook=12_04.xlsx&amp;sheet=A0&amp;row=4553&amp;col=7&amp;number=0&amp;sourceID=14","0")</f>
        <v>0</v>
      </c>
    </row>
    <row r="4554" spans="1:7">
      <c r="A4554" s="3">
        <v>12</v>
      </c>
      <c r="B4554" s="3">
        <v>4</v>
      </c>
      <c r="C4554" s="3">
        <v>105</v>
      </c>
      <c r="D4554" s="3">
        <v>3</v>
      </c>
      <c r="E4554" s="3">
        <v>-46.723</v>
      </c>
      <c r="F4554" s="4" t="str">
        <f>HYPERLINK("http://141.218.60.56/~jnz1568/getInfo.php?workbook=12_04.xlsx&amp;sheet=A0&amp;row=4554&amp;col=6&amp;number=38040000000&amp;sourceID=14","38040000000")</f>
        <v>38040000000</v>
      </c>
      <c r="G4554" s="4" t="str">
        <f>HYPERLINK("http://141.218.60.56/~jnz1568/getInfo.php?workbook=12_04.xlsx&amp;sheet=A0&amp;row=4554&amp;col=7&amp;number=0&amp;sourceID=14","0")</f>
        <v>0</v>
      </c>
    </row>
    <row r="4555" spans="1:7">
      <c r="A4555" s="3">
        <v>12</v>
      </c>
      <c r="B4555" s="3">
        <v>4</v>
      </c>
      <c r="C4555" s="3">
        <v>106</v>
      </c>
      <c r="D4555" s="3">
        <v>3</v>
      </c>
      <c r="E4555" s="3">
        <v>46.657</v>
      </c>
      <c r="F4555" s="4" t="str">
        <f>HYPERLINK("http://141.218.60.56/~jnz1568/getInfo.php?workbook=12_04.xlsx&amp;sheet=A0&amp;row=4555&amp;col=6&amp;number=68860000000&amp;sourceID=14","68860000000")</f>
        <v>68860000000</v>
      </c>
      <c r="G4555" s="4" t="str">
        <f>HYPERLINK("http://141.218.60.56/~jnz1568/getInfo.php?workbook=12_04.xlsx&amp;sheet=A0&amp;row=4555&amp;col=7&amp;number=0&amp;sourceID=14","0")</f>
        <v>0</v>
      </c>
    </row>
    <row r="4556" spans="1:7">
      <c r="A4556" s="3">
        <v>12</v>
      </c>
      <c r="B4556" s="3">
        <v>4</v>
      </c>
      <c r="C4556" s="3">
        <v>108</v>
      </c>
      <c r="D4556" s="3">
        <v>3</v>
      </c>
      <c r="E4556" s="3">
        <v>46.582</v>
      </c>
      <c r="F4556" s="4" t="str">
        <f>HYPERLINK("http://141.218.60.56/~jnz1568/getInfo.php?workbook=12_04.xlsx&amp;sheet=A0&amp;row=4556&amp;col=6&amp;number=2983000&amp;sourceID=14","2983000")</f>
        <v>2983000</v>
      </c>
      <c r="G4556" s="4" t="str">
        <f>HYPERLINK("http://141.218.60.56/~jnz1568/getInfo.php?workbook=12_04.xlsx&amp;sheet=A0&amp;row=4556&amp;col=7&amp;number=0&amp;sourceID=14","0")</f>
        <v>0</v>
      </c>
    </row>
    <row r="4557" spans="1:7">
      <c r="A4557" s="3">
        <v>12</v>
      </c>
      <c r="B4557" s="3">
        <v>4</v>
      </c>
      <c r="C4557" s="3">
        <v>99</v>
      </c>
      <c r="D4557" s="3">
        <v>4</v>
      </c>
      <c r="E4557" s="3">
        <v>-47.171</v>
      </c>
      <c r="F4557" s="4" t="str">
        <f>HYPERLINK("http://141.218.60.56/~jnz1568/getInfo.php?workbook=12_04.xlsx&amp;sheet=A0&amp;row=4557&amp;col=6&amp;number=6684000000&amp;sourceID=14","6684000000")</f>
        <v>6684000000</v>
      </c>
      <c r="G4557" s="4" t="str">
        <f>HYPERLINK("http://141.218.60.56/~jnz1568/getInfo.php?workbook=12_04.xlsx&amp;sheet=A0&amp;row=4557&amp;col=7&amp;number=0&amp;sourceID=14","0")</f>
        <v>0</v>
      </c>
    </row>
    <row r="4558" spans="1:7">
      <c r="A4558" s="3">
        <v>12</v>
      </c>
      <c r="B4558" s="3">
        <v>4</v>
      </c>
      <c r="C4558" s="3">
        <v>100</v>
      </c>
      <c r="D4558" s="3">
        <v>4</v>
      </c>
      <c r="E4558" s="3">
        <v>-46.917</v>
      </c>
      <c r="F4558" s="4" t="str">
        <f>HYPERLINK("http://141.218.60.56/~jnz1568/getInfo.php?workbook=12_04.xlsx&amp;sheet=A0&amp;row=4558&amp;col=6&amp;number=13930000&amp;sourceID=14","13930000")</f>
        <v>13930000</v>
      </c>
      <c r="G4558" s="4" t="str">
        <f>HYPERLINK("http://141.218.60.56/~jnz1568/getInfo.php?workbook=12_04.xlsx&amp;sheet=A0&amp;row=4558&amp;col=7&amp;number=0&amp;sourceID=14","0")</f>
        <v>0</v>
      </c>
    </row>
    <row r="4559" spans="1:7">
      <c r="A4559" s="3">
        <v>12</v>
      </c>
      <c r="B4559" s="3">
        <v>4</v>
      </c>
      <c r="C4559" s="3">
        <v>101</v>
      </c>
      <c r="D4559" s="3">
        <v>4</v>
      </c>
      <c r="E4559" s="3">
        <v>-46.916</v>
      </c>
      <c r="F4559" s="4" t="str">
        <f>HYPERLINK("http://141.218.60.56/~jnz1568/getInfo.php?workbook=12_04.xlsx&amp;sheet=A0&amp;row=4559&amp;col=6&amp;number=10460000&amp;sourceID=14","10460000")</f>
        <v>10460000</v>
      </c>
      <c r="G4559" s="4" t="str">
        <f>HYPERLINK("http://141.218.60.56/~jnz1568/getInfo.php?workbook=12_04.xlsx&amp;sheet=A0&amp;row=4559&amp;col=7&amp;number=0&amp;sourceID=14","0")</f>
        <v>0</v>
      </c>
    </row>
    <row r="4560" spans="1:7">
      <c r="A4560" s="3">
        <v>12</v>
      </c>
      <c r="B4560" s="3">
        <v>4</v>
      </c>
      <c r="C4560" s="3">
        <v>102</v>
      </c>
      <c r="D4560" s="3">
        <v>4</v>
      </c>
      <c r="E4560" s="3">
        <v>-46.914</v>
      </c>
      <c r="F4560" s="4" t="str">
        <f>HYPERLINK("http://141.218.60.56/~jnz1568/getInfo.php?workbook=12_04.xlsx&amp;sheet=A0&amp;row=4560&amp;col=6&amp;number=4922000&amp;sourceID=14","4922000")</f>
        <v>4922000</v>
      </c>
      <c r="G4560" s="4" t="str">
        <f>HYPERLINK("http://141.218.60.56/~jnz1568/getInfo.php?workbook=12_04.xlsx&amp;sheet=A0&amp;row=4560&amp;col=7&amp;number=0&amp;sourceID=14","0")</f>
        <v>0</v>
      </c>
    </row>
    <row r="4561" spans="1:7">
      <c r="A4561" s="3">
        <v>12</v>
      </c>
      <c r="B4561" s="3">
        <v>4</v>
      </c>
      <c r="C4561" s="3">
        <v>104</v>
      </c>
      <c r="D4561" s="3">
        <v>4</v>
      </c>
      <c r="E4561" s="3">
        <v>46.8</v>
      </c>
      <c r="F4561" s="4" t="str">
        <f>HYPERLINK("http://141.218.60.56/~jnz1568/getInfo.php?workbook=12_04.xlsx&amp;sheet=A0&amp;row=4561&amp;col=6&amp;number=17040&amp;sourceID=14","17040")</f>
        <v>17040</v>
      </c>
      <c r="G4561" s="4" t="str">
        <f>HYPERLINK("http://141.218.60.56/~jnz1568/getInfo.php?workbook=12_04.xlsx&amp;sheet=A0&amp;row=4561&amp;col=7&amp;number=0&amp;sourceID=14","0")</f>
        <v>0</v>
      </c>
    </row>
    <row r="4562" spans="1:7">
      <c r="A4562" s="3">
        <v>12</v>
      </c>
      <c r="B4562" s="3">
        <v>4</v>
      </c>
      <c r="C4562" s="3">
        <v>105</v>
      </c>
      <c r="D4562" s="3">
        <v>4</v>
      </c>
      <c r="E4562" s="3">
        <v>-46.78</v>
      </c>
      <c r="F4562" s="4" t="str">
        <f>HYPERLINK("http://141.218.60.56/~jnz1568/getInfo.php?workbook=12_04.xlsx&amp;sheet=A0&amp;row=4562&amp;col=6&amp;number=2536000000&amp;sourceID=14","2536000000")</f>
        <v>2536000000</v>
      </c>
      <c r="G4562" s="4" t="str">
        <f>HYPERLINK("http://141.218.60.56/~jnz1568/getInfo.php?workbook=12_04.xlsx&amp;sheet=A0&amp;row=4562&amp;col=7&amp;number=0&amp;sourceID=14","0")</f>
        <v>0</v>
      </c>
    </row>
    <row r="4563" spans="1:7">
      <c r="A4563" s="3">
        <v>12</v>
      </c>
      <c r="B4563" s="3">
        <v>4</v>
      </c>
      <c r="C4563" s="3">
        <v>106</v>
      </c>
      <c r="D4563" s="3">
        <v>4</v>
      </c>
      <c r="E4563" s="3">
        <v>46.711</v>
      </c>
      <c r="F4563" s="4" t="str">
        <f>HYPERLINK("http://141.218.60.56/~jnz1568/getInfo.php?workbook=12_04.xlsx&amp;sheet=A0&amp;row=4563&amp;col=6&amp;number=22950000000&amp;sourceID=14","22950000000")</f>
        <v>22950000000</v>
      </c>
      <c r="G4563" s="4" t="str">
        <f>HYPERLINK("http://141.218.60.56/~jnz1568/getInfo.php?workbook=12_04.xlsx&amp;sheet=A0&amp;row=4563&amp;col=7&amp;number=0&amp;sourceID=14","0")</f>
        <v>0</v>
      </c>
    </row>
    <row r="4564" spans="1:7">
      <c r="A4564" s="3">
        <v>12</v>
      </c>
      <c r="B4564" s="3">
        <v>4</v>
      </c>
      <c r="C4564" s="3">
        <v>107</v>
      </c>
      <c r="D4564" s="3">
        <v>4</v>
      </c>
      <c r="E4564" s="3">
        <v>46.71</v>
      </c>
      <c r="F4564" s="4" t="str">
        <f>HYPERLINK("http://141.218.60.56/~jnz1568/getInfo.php?workbook=12_04.xlsx&amp;sheet=A0&amp;row=4564&amp;col=6&amp;number=92000000000&amp;sourceID=14","92000000000")</f>
        <v>92000000000</v>
      </c>
      <c r="G4564" s="4" t="str">
        <f>HYPERLINK("http://141.218.60.56/~jnz1568/getInfo.php?workbook=12_04.xlsx&amp;sheet=A0&amp;row=4564&amp;col=7&amp;number=0&amp;sourceID=14","0")</f>
        <v>0</v>
      </c>
    </row>
    <row r="4565" spans="1:7">
      <c r="A4565" s="3">
        <v>12</v>
      </c>
      <c r="B4565" s="3">
        <v>4</v>
      </c>
      <c r="C4565" s="3">
        <v>108</v>
      </c>
      <c r="D4565" s="3">
        <v>4</v>
      </c>
      <c r="E4565" s="3">
        <v>46.636</v>
      </c>
      <c r="F4565" s="4" t="str">
        <f>HYPERLINK("http://141.218.60.56/~jnz1568/getInfo.php?workbook=12_04.xlsx&amp;sheet=A0&amp;row=4565&amp;col=6&amp;number=1316000&amp;sourceID=14","1316000")</f>
        <v>1316000</v>
      </c>
      <c r="G4565" s="4" t="str">
        <f>HYPERLINK("http://141.218.60.56/~jnz1568/getInfo.php?workbook=12_04.xlsx&amp;sheet=A0&amp;row=4565&amp;col=7&amp;number=0&amp;sourceID=14","0")</f>
        <v>0</v>
      </c>
    </row>
    <row r="4566" spans="1:7">
      <c r="A4566" s="3">
        <v>12</v>
      </c>
      <c r="B4566" s="3">
        <v>4</v>
      </c>
      <c r="C4566" s="3">
        <v>99</v>
      </c>
      <c r="D4566" s="3">
        <v>5</v>
      </c>
      <c r="E4566" s="3">
        <v>-50.374</v>
      </c>
      <c r="F4566" s="4" t="str">
        <f>HYPERLINK("http://141.218.60.56/~jnz1568/getInfo.php?workbook=12_04.xlsx&amp;sheet=A0&amp;row=4566&amp;col=6&amp;number=9.572&amp;sourceID=14","9.572")</f>
        <v>9.572</v>
      </c>
      <c r="G4566" s="4" t="str">
        <f>HYPERLINK("http://141.218.60.56/~jnz1568/getInfo.php?workbook=12_04.xlsx&amp;sheet=A0&amp;row=4566&amp;col=7&amp;number=0&amp;sourceID=14","0")</f>
        <v>0</v>
      </c>
    </row>
    <row r="4567" spans="1:7">
      <c r="A4567" s="3">
        <v>12</v>
      </c>
      <c r="B4567" s="3">
        <v>4</v>
      </c>
      <c r="C4567" s="3">
        <v>100</v>
      </c>
      <c r="D4567" s="3">
        <v>5</v>
      </c>
      <c r="E4567" s="3">
        <v>-50.084</v>
      </c>
      <c r="F4567" s="4" t="str">
        <f>HYPERLINK("http://141.218.60.56/~jnz1568/getInfo.php?workbook=12_04.xlsx&amp;sheet=A0&amp;row=4567&amp;col=6&amp;number=16.44&amp;sourceID=14","16.44")</f>
        <v>16.44</v>
      </c>
      <c r="G4567" s="4" t="str">
        <f>HYPERLINK("http://141.218.60.56/~jnz1568/getInfo.php?workbook=12_04.xlsx&amp;sheet=A0&amp;row=4567&amp;col=7&amp;number=0&amp;sourceID=14","0")</f>
        <v>0</v>
      </c>
    </row>
    <row r="4568" spans="1:7">
      <c r="A4568" s="3">
        <v>12</v>
      </c>
      <c r="B4568" s="3">
        <v>4</v>
      </c>
      <c r="C4568" s="3">
        <v>101</v>
      </c>
      <c r="D4568" s="3">
        <v>5</v>
      </c>
      <c r="E4568" s="3">
        <v>-50.083</v>
      </c>
      <c r="F4568" s="4" t="str">
        <f>HYPERLINK("http://141.218.60.56/~jnz1568/getInfo.php?workbook=12_04.xlsx&amp;sheet=A0&amp;row=4568&amp;col=6&amp;number=45630&amp;sourceID=14","45630")</f>
        <v>45630</v>
      </c>
      <c r="G4568" s="4" t="str">
        <f>HYPERLINK("http://141.218.60.56/~jnz1568/getInfo.php?workbook=12_04.xlsx&amp;sheet=A0&amp;row=4568&amp;col=7&amp;number=0&amp;sourceID=14","0")</f>
        <v>0</v>
      </c>
    </row>
    <row r="4569" spans="1:7">
      <c r="A4569" s="3">
        <v>12</v>
      </c>
      <c r="B4569" s="3">
        <v>4</v>
      </c>
      <c r="C4569" s="3">
        <v>102</v>
      </c>
      <c r="D4569" s="3">
        <v>5</v>
      </c>
      <c r="E4569" s="3">
        <v>-50.081</v>
      </c>
      <c r="F4569" s="4" t="str">
        <f>HYPERLINK("http://141.218.60.56/~jnz1568/getInfo.php?workbook=12_04.xlsx&amp;sheet=A0&amp;row=4569&amp;col=6&amp;number=3255&amp;sourceID=14","3255")</f>
        <v>3255</v>
      </c>
      <c r="G4569" s="4" t="str">
        <f>HYPERLINK("http://141.218.60.56/~jnz1568/getInfo.php?workbook=12_04.xlsx&amp;sheet=A0&amp;row=4569&amp;col=7&amp;number=0&amp;sourceID=14","0")</f>
        <v>0</v>
      </c>
    </row>
    <row r="4570" spans="1:7">
      <c r="A4570" s="3">
        <v>12</v>
      </c>
      <c r="B4570" s="3">
        <v>4</v>
      </c>
      <c r="C4570" s="3">
        <v>103</v>
      </c>
      <c r="D4570" s="3">
        <v>5</v>
      </c>
      <c r="E4570" s="3">
        <v>-50.118</v>
      </c>
      <c r="F4570" s="4" t="str">
        <f>HYPERLINK("http://141.218.60.56/~jnz1568/getInfo.php?workbook=12_04.xlsx&amp;sheet=A0&amp;row=4570&amp;col=6&amp;number=68990000000&amp;sourceID=14","68990000000")</f>
        <v>68990000000</v>
      </c>
      <c r="G4570" s="4" t="str">
        <f>HYPERLINK("http://141.218.60.56/~jnz1568/getInfo.php?workbook=12_04.xlsx&amp;sheet=A0&amp;row=4570&amp;col=7&amp;number=0&amp;sourceID=14","0")</f>
        <v>0</v>
      </c>
    </row>
    <row r="4571" spans="1:7">
      <c r="A4571" s="3">
        <v>12</v>
      </c>
      <c r="B4571" s="3">
        <v>4</v>
      </c>
      <c r="C4571" s="3">
        <v>104</v>
      </c>
      <c r="D4571" s="3">
        <v>5</v>
      </c>
      <c r="E4571" s="3">
        <v>49.772</v>
      </c>
      <c r="F4571" s="4" t="str">
        <f>HYPERLINK("http://141.218.60.56/~jnz1568/getInfo.php?workbook=12_04.xlsx&amp;sheet=A0&amp;row=4571&amp;col=6&amp;number=21450000&amp;sourceID=14","21450000")</f>
        <v>21450000</v>
      </c>
      <c r="G4571" s="4" t="str">
        <f>HYPERLINK("http://141.218.60.56/~jnz1568/getInfo.php?workbook=12_04.xlsx&amp;sheet=A0&amp;row=4571&amp;col=7&amp;number=0&amp;sourceID=14","0")</f>
        <v>0</v>
      </c>
    </row>
    <row r="4572" spans="1:7">
      <c r="A4572" s="3">
        <v>12</v>
      </c>
      <c r="B4572" s="3">
        <v>4</v>
      </c>
      <c r="C4572" s="3">
        <v>105</v>
      </c>
      <c r="D4572" s="3">
        <v>5</v>
      </c>
      <c r="E4572" s="3">
        <v>-49.928</v>
      </c>
      <c r="F4572" s="4" t="str">
        <f>HYPERLINK("http://141.218.60.56/~jnz1568/getInfo.php?workbook=12_04.xlsx&amp;sheet=A0&amp;row=4572&amp;col=6&amp;number=6727000&amp;sourceID=14","6727000")</f>
        <v>6727000</v>
      </c>
      <c r="G4572" s="4" t="str">
        <f>HYPERLINK("http://141.218.60.56/~jnz1568/getInfo.php?workbook=12_04.xlsx&amp;sheet=A0&amp;row=4572&amp;col=7&amp;number=0&amp;sourceID=14","0")</f>
        <v>0</v>
      </c>
    </row>
    <row r="4573" spans="1:7">
      <c r="A4573" s="3">
        <v>12</v>
      </c>
      <c r="B4573" s="3">
        <v>4</v>
      </c>
      <c r="C4573" s="3">
        <v>106</v>
      </c>
      <c r="D4573" s="3">
        <v>5</v>
      </c>
      <c r="E4573" s="3">
        <v>49.671</v>
      </c>
      <c r="F4573" s="4" t="str">
        <f>HYPERLINK("http://141.218.60.56/~jnz1568/getInfo.php?workbook=12_04.xlsx&amp;sheet=A0&amp;row=4573&amp;col=6&amp;number=2447000&amp;sourceID=14","2447000")</f>
        <v>2447000</v>
      </c>
      <c r="G4573" s="4" t="str">
        <f>HYPERLINK("http://141.218.60.56/~jnz1568/getInfo.php?workbook=12_04.xlsx&amp;sheet=A0&amp;row=4573&amp;col=7&amp;number=0&amp;sourceID=14","0")</f>
        <v>0</v>
      </c>
    </row>
    <row r="4574" spans="1:7">
      <c r="A4574" s="3">
        <v>12</v>
      </c>
      <c r="B4574" s="3">
        <v>4</v>
      </c>
      <c r="C4574" s="3">
        <v>108</v>
      </c>
      <c r="D4574" s="3">
        <v>5</v>
      </c>
      <c r="E4574" s="3">
        <v>49.586</v>
      </c>
      <c r="F4574" s="4" t="str">
        <f>HYPERLINK("http://141.218.60.56/~jnz1568/getInfo.php?workbook=12_04.xlsx&amp;sheet=A0&amp;row=4574&amp;col=6&amp;number=96440000000&amp;sourceID=14","96440000000")</f>
        <v>96440000000</v>
      </c>
      <c r="G4574" s="4" t="str">
        <f>HYPERLINK("http://141.218.60.56/~jnz1568/getInfo.php?workbook=12_04.xlsx&amp;sheet=A0&amp;row=4574&amp;col=7&amp;number=0&amp;sourceID=14","0")</f>
        <v>0</v>
      </c>
    </row>
    <row r="4575" spans="1:7">
      <c r="A4575" s="3">
        <v>12</v>
      </c>
      <c r="B4575" s="3">
        <v>4</v>
      </c>
      <c r="C4575" s="3">
        <v>99</v>
      </c>
      <c r="D4575" s="3">
        <v>6</v>
      </c>
      <c r="E4575" s="3">
        <v>-52.765</v>
      </c>
      <c r="F4575" s="4" t="str">
        <f>HYPERLINK("http://141.218.60.56/~jnz1568/getInfo.php?workbook=12_04.xlsx&amp;sheet=A0&amp;row=4575&amp;col=6&amp;number=0.4819&amp;sourceID=14","0.4819")</f>
        <v>0.4819</v>
      </c>
      <c r="G4575" s="4" t="str">
        <f>HYPERLINK("http://141.218.60.56/~jnz1568/getInfo.php?workbook=12_04.xlsx&amp;sheet=A0&amp;row=4575&amp;col=7&amp;number=0&amp;sourceID=14","0")</f>
        <v>0</v>
      </c>
    </row>
    <row r="4576" spans="1:7">
      <c r="A4576" s="3">
        <v>12</v>
      </c>
      <c r="B4576" s="3">
        <v>4</v>
      </c>
      <c r="C4576" s="3">
        <v>101</v>
      </c>
      <c r="D4576" s="3">
        <v>6</v>
      </c>
      <c r="E4576" s="3">
        <v>-52.446</v>
      </c>
      <c r="F4576" s="4" t="str">
        <f>HYPERLINK("http://141.218.60.56/~jnz1568/getInfo.php?workbook=12_04.xlsx&amp;sheet=A0&amp;row=4576&amp;col=6&amp;number=1525000000&amp;sourceID=14","1525000000")</f>
        <v>1525000000</v>
      </c>
      <c r="G4576" s="4" t="str">
        <f>HYPERLINK("http://141.218.60.56/~jnz1568/getInfo.php?workbook=12_04.xlsx&amp;sheet=A0&amp;row=4576&amp;col=7&amp;number=0&amp;sourceID=14","0")</f>
        <v>0</v>
      </c>
    </row>
    <row r="4577" spans="1:7">
      <c r="A4577" s="3">
        <v>12</v>
      </c>
      <c r="B4577" s="3">
        <v>4</v>
      </c>
      <c r="C4577" s="3">
        <v>104</v>
      </c>
      <c r="D4577" s="3">
        <v>6</v>
      </c>
      <c r="E4577" s="3">
        <v>52.219</v>
      </c>
      <c r="F4577" s="4" t="str">
        <f>HYPERLINK("http://141.218.60.56/~jnz1568/getInfo.php?workbook=12_04.xlsx&amp;sheet=A0&amp;row=4577&amp;col=6&amp;number=3779000&amp;sourceID=14","3779000")</f>
        <v>3779000</v>
      </c>
      <c r="G4577" s="4" t="str">
        <f>HYPERLINK("http://141.218.60.56/~jnz1568/getInfo.php?workbook=12_04.xlsx&amp;sheet=A0&amp;row=4577&amp;col=7&amp;number=0&amp;sourceID=14","0")</f>
        <v>0</v>
      </c>
    </row>
    <row r="4578" spans="1:7">
      <c r="A4578" s="3">
        <v>12</v>
      </c>
      <c r="B4578" s="3">
        <v>4</v>
      </c>
      <c r="C4578" s="3">
        <v>105</v>
      </c>
      <c r="D4578" s="3">
        <v>6</v>
      </c>
      <c r="E4578" s="3">
        <v>-52.276</v>
      </c>
      <c r="F4578" s="4" t="str">
        <f>HYPERLINK("http://141.218.60.56/~jnz1568/getInfo.php?workbook=12_04.xlsx&amp;sheet=A0&amp;row=4578&amp;col=6&amp;number=8.525e-05&amp;sourceID=14","8.525e-05")</f>
        <v>8.525e-05</v>
      </c>
      <c r="G4578" s="4" t="str">
        <f>HYPERLINK("http://141.218.60.56/~jnz1568/getInfo.php?workbook=12_04.xlsx&amp;sheet=A0&amp;row=4578&amp;col=7&amp;number=0&amp;sourceID=14","0")</f>
        <v>0</v>
      </c>
    </row>
    <row r="4579" spans="1:7">
      <c r="A4579" s="3">
        <v>12</v>
      </c>
      <c r="B4579" s="3">
        <v>4</v>
      </c>
      <c r="C4579" s="3">
        <v>106</v>
      </c>
      <c r="D4579" s="3">
        <v>6</v>
      </c>
      <c r="E4579" s="3">
        <v>52.108</v>
      </c>
      <c r="F4579" s="4" t="str">
        <f>HYPERLINK("http://141.218.60.56/~jnz1568/getInfo.php?workbook=12_04.xlsx&amp;sheet=A0&amp;row=4579&amp;col=6&amp;number=4027&amp;sourceID=14","4027")</f>
        <v>4027</v>
      </c>
      <c r="G4579" s="4" t="str">
        <f>HYPERLINK("http://141.218.60.56/~jnz1568/getInfo.php?workbook=12_04.xlsx&amp;sheet=A0&amp;row=4579&amp;col=7&amp;number=0&amp;sourceID=14","0")</f>
        <v>0</v>
      </c>
    </row>
    <row r="4580" spans="1:7">
      <c r="A4580" s="3">
        <v>12</v>
      </c>
      <c r="B4580" s="3">
        <v>4</v>
      </c>
      <c r="C4580" s="3">
        <v>108</v>
      </c>
      <c r="D4580" s="3">
        <v>6</v>
      </c>
      <c r="E4580" s="3">
        <v>52.015</v>
      </c>
      <c r="F4580" s="4" t="str">
        <f>HYPERLINK("http://141.218.60.56/~jnz1568/getInfo.php?workbook=12_04.xlsx&amp;sheet=A0&amp;row=4580&amp;col=6&amp;number=2052&amp;sourceID=14","2052")</f>
        <v>2052</v>
      </c>
      <c r="G4580" s="4" t="str">
        <f>HYPERLINK("http://141.218.60.56/~jnz1568/getInfo.php?workbook=12_04.xlsx&amp;sheet=A0&amp;row=4580&amp;col=7&amp;number=0&amp;sourceID=14","0")</f>
        <v>0</v>
      </c>
    </row>
    <row r="4581" spans="1:7">
      <c r="A4581" s="3">
        <v>12</v>
      </c>
      <c r="B4581" s="3">
        <v>4</v>
      </c>
      <c r="C4581" s="3">
        <v>99</v>
      </c>
      <c r="D4581" s="3">
        <v>7</v>
      </c>
      <c r="E4581" s="3">
        <v>-52.803</v>
      </c>
      <c r="F4581" s="4" t="str">
        <f>HYPERLINK("http://141.218.60.56/~jnz1568/getInfo.php?workbook=12_04.xlsx&amp;sheet=A0&amp;row=4581&amp;col=6&amp;number=119.3&amp;sourceID=14","119.3")</f>
        <v>119.3</v>
      </c>
      <c r="G4581" s="4" t="str">
        <f>HYPERLINK("http://141.218.60.56/~jnz1568/getInfo.php?workbook=12_04.xlsx&amp;sheet=A0&amp;row=4581&amp;col=7&amp;number=0&amp;sourceID=14","0")</f>
        <v>0</v>
      </c>
    </row>
    <row r="4582" spans="1:7">
      <c r="A4582" s="3">
        <v>12</v>
      </c>
      <c r="B4582" s="3">
        <v>4</v>
      </c>
      <c r="C4582" s="3">
        <v>100</v>
      </c>
      <c r="D4582" s="3">
        <v>7</v>
      </c>
      <c r="E4582" s="3">
        <v>-52.485</v>
      </c>
      <c r="F4582" s="4" t="str">
        <f>HYPERLINK("http://141.218.60.56/~jnz1568/getInfo.php?workbook=12_04.xlsx&amp;sheet=A0&amp;row=4582&amp;col=6&amp;number=5383000000&amp;sourceID=14","5383000000")</f>
        <v>5383000000</v>
      </c>
      <c r="G4582" s="4" t="str">
        <f>HYPERLINK("http://141.218.60.56/~jnz1568/getInfo.php?workbook=12_04.xlsx&amp;sheet=A0&amp;row=4582&amp;col=7&amp;number=0&amp;sourceID=14","0")</f>
        <v>0</v>
      </c>
    </row>
    <row r="4583" spans="1:7">
      <c r="A4583" s="3">
        <v>12</v>
      </c>
      <c r="B4583" s="3">
        <v>4</v>
      </c>
      <c r="C4583" s="3">
        <v>101</v>
      </c>
      <c r="D4583" s="3">
        <v>7</v>
      </c>
      <c r="E4583" s="3">
        <v>-52.484</v>
      </c>
      <c r="F4583" s="4" t="str">
        <f>HYPERLINK("http://141.218.60.56/~jnz1568/getInfo.php?workbook=12_04.xlsx&amp;sheet=A0&amp;row=4583&amp;col=6&amp;number=1445000000&amp;sourceID=14","1445000000")</f>
        <v>1445000000</v>
      </c>
      <c r="G4583" s="4" t="str">
        <f>HYPERLINK("http://141.218.60.56/~jnz1568/getInfo.php?workbook=12_04.xlsx&amp;sheet=A0&amp;row=4583&amp;col=7&amp;number=0&amp;sourceID=14","0")</f>
        <v>0</v>
      </c>
    </row>
    <row r="4584" spans="1:7">
      <c r="A4584" s="3">
        <v>12</v>
      </c>
      <c r="B4584" s="3">
        <v>4</v>
      </c>
      <c r="C4584" s="3">
        <v>102</v>
      </c>
      <c r="D4584" s="3">
        <v>7</v>
      </c>
      <c r="E4584" s="3">
        <v>-52.481</v>
      </c>
      <c r="F4584" s="4" t="str">
        <f>HYPERLINK("http://141.218.60.56/~jnz1568/getInfo.php?workbook=12_04.xlsx&amp;sheet=A0&amp;row=4584&amp;col=6&amp;number=941700000&amp;sourceID=14","941700000")</f>
        <v>941700000</v>
      </c>
      <c r="G4584" s="4" t="str">
        <f>HYPERLINK("http://141.218.60.56/~jnz1568/getInfo.php?workbook=12_04.xlsx&amp;sheet=A0&amp;row=4584&amp;col=7&amp;number=0&amp;sourceID=14","0")</f>
        <v>0</v>
      </c>
    </row>
    <row r="4585" spans="1:7">
      <c r="A4585" s="3">
        <v>12</v>
      </c>
      <c r="B4585" s="3">
        <v>4</v>
      </c>
      <c r="C4585" s="3">
        <v>103</v>
      </c>
      <c r="D4585" s="3">
        <v>7</v>
      </c>
      <c r="E4585" s="3">
        <v>-52.523</v>
      </c>
      <c r="F4585" s="4" t="str">
        <f>HYPERLINK("http://141.218.60.56/~jnz1568/getInfo.php?workbook=12_04.xlsx&amp;sheet=A0&amp;row=4585&amp;col=6&amp;number=21.1&amp;sourceID=14","21.1")</f>
        <v>21.1</v>
      </c>
      <c r="G4585" s="4" t="str">
        <f>HYPERLINK("http://141.218.60.56/~jnz1568/getInfo.php?workbook=12_04.xlsx&amp;sheet=A0&amp;row=4585&amp;col=7&amp;number=0&amp;sourceID=14","0")</f>
        <v>0</v>
      </c>
    </row>
    <row r="4586" spans="1:7">
      <c r="A4586" s="3">
        <v>12</v>
      </c>
      <c r="B4586" s="3">
        <v>4</v>
      </c>
      <c r="C4586" s="3">
        <v>104</v>
      </c>
      <c r="D4586" s="3">
        <v>7</v>
      </c>
      <c r="E4586" s="3">
        <v>52.255</v>
      </c>
      <c r="F4586" s="4" t="str">
        <f>HYPERLINK("http://141.218.60.56/~jnz1568/getInfo.php?workbook=12_04.xlsx&amp;sheet=A0&amp;row=4586&amp;col=6&amp;number=594200&amp;sourceID=14","594200")</f>
        <v>594200</v>
      </c>
      <c r="G4586" s="4" t="str">
        <f>HYPERLINK("http://141.218.60.56/~jnz1568/getInfo.php?workbook=12_04.xlsx&amp;sheet=A0&amp;row=4586&amp;col=7&amp;number=0&amp;sourceID=14","0")</f>
        <v>0</v>
      </c>
    </row>
    <row r="4587" spans="1:7">
      <c r="A4587" s="3">
        <v>12</v>
      </c>
      <c r="B4587" s="3">
        <v>4</v>
      </c>
      <c r="C4587" s="3">
        <v>105</v>
      </c>
      <c r="D4587" s="3">
        <v>7</v>
      </c>
      <c r="E4587" s="3">
        <v>-52.314</v>
      </c>
      <c r="F4587" s="4" t="str">
        <f>HYPERLINK("http://141.218.60.56/~jnz1568/getInfo.php?workbook=12_04.xlsx&amp;sheet=A0&amp;row=4587&amp;col=6&amp;number=11240&amp;sourceID=14","11240")</f>
        <v>11240</v>
      </c>
      <c r="G4587" s="4" t="str">
        <f>HYPERLINK("http://141.218.60.56/~jnz1568/getInfo.php?workbook=12_04.xlsx&amp;sheet=A0&amp;row=4587&amp;col=7&amp;number=0&amp;sourceID=14","0")</f>
        <v>0</v>
      </c>
    </row>
    <row r="4588" spans="1:7">
      <c r="A4588" s="3">
        <v>12</v>
      </c>
      <c r="B4588" s="3">
        <v>4</v>
      </c>
      <c r="C4588" s="3">
        <v>106</v>
      </c>
      <c r="D4588" s="3">
        <v>7</v>
      </c>
      <c r="E4588" s="3">
        <v>52.144</v>
      </c>
      <c r="F4588" s="4" t="str">
        <f>HYPERLINK("http://141.218.60.56/~jnz1568/getInfo.php?workbook=12_04.xlsx&amp;sheet=A0&amp;row=4588&amp;col=6&amp;number=1498&amp;sourceID=14","1498")</f>
        <v>1498</v>
      </c>
      <c r="G4588" s="4" t="str">
        <f>HYPERLINK("http://141.218.60.56/~jnz1568/getInfo.php?workbook=12_04.xlsx&amp;sheet=A0&amp;row=4588&amp;col=7&amp;number=0&amp;sourceID=14","0")</f>
        <v>0</v>
      </c>
    </row>
    <row r="4589" spans="1:7">
      <c r="A4589" s="3">
        <v>12</v>
      </c>
      <c r="B4589" s="3">
        <v>4</v>
      </c>
      <c r="C4589" s="3">
        <v>107</v>
      </c>
      <c r="D4589" s="3">
        <v>7</v>
      </c>
      <c r="E4589" s="3">
        <v>52.143</v>
      </c>
      <c r="F4589" s="4" t="str">
        <f>HYPERLINK("http://141.218.60.56/~jnz1568/getInfo.php?workbook=12_04.xlsx&amp;sheet=A0&amp;row=4589&amp;col=6&amp;number=3591&amp;sourceID=14","3591")</f>
        <v>3591</v>
      </c>
      <c r="G4589" s="4" t="str">
        <f>HYPERLINK("http://141.218.60.56/~jnz1568/getInfo.php?workbook=12_04.xlsx&amp;sheet=A0&amp;row=4589&amp;col=7&amp;number=0&amp;sourceID=14","0")</f>
        <v>0</v>
      </c>
    </row>
    <row r="4590" spans="1:7">
      <c r="A4590" s="3">
        <v>12</v>
      </c>
      <c r="B4590" s="3">
        <v>4</v>
      </c>
      <c r="C4590" s="3">
        <v>108</v>
      </c>
      <c r="D4590" s="3">
        <v>7</v>
      </c>
      <c r="E4590" s="3">
        <v>52.05</v>
      </c>
      <c r="F4590" s="4" t="str">
        <f>HYPERLINK("http://141.218.60.56/~jnz1568/getInfo.php?workbook=12_04.xlsx&amp;sheet=A0&amp;row=4590&amp;col=6&amp;number=0.7013&amp;sourceID=14","0.7013")</f>
        <v>0.7013</v>
      </c>
      <c r="G4590" s="4" t="str">
        <f>HYPERLINK("http://141.218.60.56/~jnz1568/getInfo.php?workbook=12_04.xlsx&amp;sheet=A0&amp;row=4590&amp;col=7&amp;number=0&amp;sourceID=14","0")</f>
        <v>0</v>
      </c>
    </row>
    <row r="4591" spans="1:7">
      <c r="A4591" s="3">
        <v>12</v>
      </c>
      <c r="B4591" s="3">
        <v>4</v>
      </c>
      <c r="C4591" s="3">
        <v>99</v>
      </c>
      <c r="D4591" s="3">
        <v>8</v>
      </c>
      <c r="E4591" s="3">
        <v>-52.873</v>
      </c>
      <c r="F4591" s="4" t="str">
        <f>HYPERLINK("http://141.218.60.56/~jnz1568/getInfo.php?workbook=12_04.xlsx&amp;sheet=A0&amp;row=4591&amp;col=6&amp;number=392.3&amp;sourceID=14","392.3")</f>
        <v>392.3</v>
      </c>
      <c r="G4591" s="4" t="str">
        <f>HYPERLINK("http://141.218.60.56/~jnz1568/getInfo.php?workbook=12_04.xlsx&amp;sheet=A0&amp;row=4591&amp;col=7&amp;number=0&amp;sourceID=14","0")</f>
        <v>0</v>
      </c>
    </row>
    <row r="4592" spans="1:7">
      <c r="A4592" s="3">
        <v>12</v>
      </c>
      <c r="B4592" s="3">
        <v>4</v>
      </c>
      <c r="C4592" s="3">
        <v>101</v>
      </c>
      <c r="D4592" s="3">
        <v>8</v>
      </c>
      <c r="E4592" s="3">
        <v>-52.553</v>
      </c>
      <c r="F4592" s="4" t="str">
        <f>HYPERLINK("http://141.218.60.56/~jnz1568/getInfo.php?workbook=12_04.xlsx&amp;sheet=A0&amp;row=4592&amp;col=6&amp;number=2173000000&amp;sourceID=14","2173000000")</f>
        <v>2173000000</v>
      </c>
      <c r="G4592" s="4" t="str">
        <f>HYPERLINK("http://141.218.60.56/~jnz1568/getInfo.php?workbook=12_04.xlsx&amp;sheet=A0&amp;row=4592&amp;col=7&amp;number=0&amp;sourceID=14","0")</f>
        <v>0</v>
      </c>
    </row>
    <row r="4593" spans="1:7">
      <c r="A4593" s="3">
        <v>12</v>
      </c>
      <c r="B4593" s="3">
        <v>4</v>
      </c>
      <c r="C4593" s="3">
        <v>102</v>
      </c>
      <c r="D4593" s="3">
        <v>8</v>
      </c>
      <c r="E4593" s="3">
        <v>-52.55</v>
      </c>
      <c r="F4593" s="4" t="str">
        <f>HYPERLINK("http://141.218.60.56/~jnz1568/getInfo.php?workbook=12_04.xlsx&amp;sheet=A0&amp;row=4593&amp;col=6&amp;number=3780000000&amp;sourceID=14","3780000000")</f>
        <v>3780000000</v>
      </c>
      <c r="G4593" s="4" t="str">
        <f>HYPERLINK("http://141.218.60.56/~jnz1568/getInfo.php?workbook=12_04.xlsx&amp;sheet=A0&amp;row=4593&amp;col=7&amp;number=0&amp;sourceID=14","0")</f>
        <v>0</v>
      </c>
    </row>
    <row r="4594" spans="1:7">
      <c r="A4594" s="3">
        <v>12</v>
      </c>
      <c r="B4594" s="3">
        <v>4</v>
      </c>
      <c r="C4594" s="3">
        <v>103</v>
      </c>
      <c r="D4594" s="3">
        <v>8</v>
      </c>
      <c r="E4594" s="3">
        <v>-52.592</v>
      </c>
      <c r="F4594" s="4" t="str">
        <f>HYPERLINK("http://141.218.60.56/~jnz1568/getInfo.php?workbook=12_04.xlsx&amp;sheet=A0&amp;row=4594&amp;col=6&amp;number=69210&amp;sourceID=14","69210")</f>
        <v>69210</v>
      </c>
      <c r="G4594" s="4" t="str">
        <f>HYPERLINK("http://141.218.60.56/~jnz1568/getInfo.php?workbook=12_04.xlsx&amp;sheet=A0&amp;row=4594&amp;col=7&amp;number=0&amp;sourceID=14","0")</f>
        <v>0</v>
      </c>
    </row>
    <row r="4595" spans="1:7">
      <c r="A4595" s="3">
        <v>12</v>
      </c>
      <c r="B4595" s="3">
        <v>4</v>
      </c>
      <c r="C4595" s="3">
        <v>104</v>
      </c>
      <c r="D4595" s="3">
        <v>8</v>
      </c>
      <c r="E4595" s="3">
        <v>52.314</v>
      </c>
      <c r="F4595" s="4" t="str">
        <f>HYPERLINK("http://141.218.60.56/~jnz1568/getInfo.php?workbook=12_04.xlsx&amp;sheet=A0&amp;row=4595&amp;col=6&amp;number=22970000&amp;sourceID=14","22970000")</f>
        <v>22970000</v>
      </c>
      <c r="G4595" s="4" t="str">
        <f>HYPERLINK("http://141.218.60.56/~jnz1568/getInfo.php?workbook=12_04.xlsx&amp;sheet=A0&amp;row=4595&amp;col=7&amp;number=0&amp;sourceID=14","0")</f>
        <v>0</v>
      </c>
    </row>
    <row r="4596" spans="1:7">
      <c r="A4596" s="3">
        <v>12</v>
      </c>
      <c r="B4596" s="3">
        <v>4</v>
      </c>
      <c r="C4596" s="3">
        <v>105</v>
      </c>
      <c r="D4596" s="3">
        <v>8</v>
      </c>
      <c r="E4596" s="3">
        <v>-52.383</v>
      </c>
      <c r="F4596" s="4" t="str">
        <f>HYPERLINK("http://141.218.60.56/~jnz1568/getInfo.php?workbook=12_04.xlsx&amp;sheet=A0&amp;row=4596&amp;col=6&amp;number=3946&amp;sourceID=14","3946")</f>
        <v>3946</v>
      </c>
      <c r="G4596" s="4" t="str">
        <f>HYPERLINK("http://141.218.60.56/~jnz1568/getInfo.php?workbook=12_04.xlsx&amp;sheet=A0&amp;row=4596&amp;col=7&amp;number=0&amp;sourceID=14","0")</f>
        <v>0</v>
      </c>
    </row>
    <row r="4597" spans="1:7">
      <c r="A4597" s="3">
        <v>12</v>
      </c>
      <c r="B4597" s="3">
        <v>4</v>
      </c>
      <c r="C4597" s="3">
        <v>106</v>
      </c>
      <c r="D4597" s="3">
        <v>8</v>
      </c>
      <c r="E4597" s="3">
        <v>52.203</v>
      </c>
      <c r="F4597" s="4" t="str">
        <f>HYPERLINK("http://141.218.60.56/~jnz1568/getInfo.php?workbook=12_04.xlsx&amp;sheet=A0&amp;row=4597&amp;col=6&amp;number=9291&amp;sourceID=14","9291")</f>
        <v>9291</v>
      </c>
      <c r="G4597" s="4" t="str">
        <f>HYPERLINK("http://141.218.60.56/~jnz1568/getInfo.php?workbook=12_04.xlsx&amp;sheet=A0&amp;row=4597&amp;col=7&amp;number=0&amp;sourceID=14","0")</f>
        <v>0</v>
      </c>
    </row>
    <row r="4598" spans="1:7">
      <c r="A4598" s="3">
        <v>12</v>
      </c>
      <c r="B4598" s="3">
        <v>4</v>
      </c>
      <c r="C4598" s="3">
        <v>107</v>
      </c>
      <c r="D4598" s="3">
        <v>8</v>
      </c>
      <c r="E4598" s="3">
        <v>52.202</v>
      </c>
      <c r="F4598" s="4" t="str">
        <f>HYPERLINK("http://141.218.60.56/~jnz1568/getInfo.php?workbook=12_04.xlsx&amp;sheet=A0&amp;row=4598&amp;col=6&amp;number=9986&amp;sourceID=14","9986")</f>
        <v>9986</v>
      </c>
      <c r="G4598" s="4" t="str">
        <f>HYPERLINK("http://141.218.60.56/~jnz1568/getInfo.php?workbook=12_04.xlsx&amp;sheet=A0&amp;row=4598&amp;col=7&amp;number=0&amp;sourceID=14","0")</f>
        <v>0</v>
      </c>
    </row>
    <row r="4599" spans="1:7">
      <c r="A4599" s="3">
        <v>12</v>
      </c>
      <c r="B4599" s="3">
        <v>4</v>
      </c>
      <c r="C4599" s="3">
        <v>108</v>
      </c>
      <c r="D4599" s="3">
        <v>8</v>
      </c>
      <c r="E4599" s="3">
        <v>52.109</v>
      </c>
      <c r="F4599" s="4" t="str">
        <f>HYPERLINK("http://141.218.60.56/~jnz1568/getInfo.php?workbook=12_04.xlsx&amp;sheet=A0&amp;row=4599&amp;col=6&amp;number=23430&amp;sourceID=14","23430")</f>
        <v>23430</v>
      </c>
      <c r="G4599" s="4" t="str">
        <f>HYPERLINK("http://141.218.60.56/~jnz1568/getInfo.php?workbook=12_04.xlsx&amp;sheet=A0&amp;row=4599&amp;col=7&amp;number=0&amp;sourceID=14","0")</f>
        <v>0</v>
      </c>
    </row>
    <row r="4600" spans="1:7">
      <c r="A4600" s="3">
        <v>12</v>
      </c>
      <c r="B4600" s="3">
        <v>4</v>
      </c>
      <c r="C4600" s="3">
        <v>99</v>
      </c>
      <c r="D4600" s="3">
        <v>9</v>
      </c>
      <c r="E4600" s="3">
        <v>-54.037</v>
      </c>
      <c r="F4600" s="4" t="str">
        <f>HYPERLINK("http://141.218.60.56/~jnz1568/getInfo.php?workbook=12_04.xlsx&amp;sheet=A0&amp;row=4600&amp;col=6&amp;number=432.6&amp;sourceID=14","432.6")</f>
        <v>432.6</v>
      </c>
      <c r="G4600" s="4" t="str">
        <f>HYPERLINK("http://141.218.60.56/~jnz1568/getInfo.php?workbook=12_04.xlsx&amp;sheet=A0&amp;row=4600&amp;col=7&amp;number=0&amp;sourceID=14","0")</f>
        <v>0</v>
      </c>
    </row>
    <row r="4601" spans="1:7">
      <c r="A4601" s="3">
        <v>12</v>
      </c>
      <c r="B4601" s="3">
        <v>4</v>
      </c>
      <c r="C4601" s="3">
        <v>101</v>
      </c>
      <c r="D4601" s="3">
        <v>9</v>
      </c>
      <c r="E4601" s="3">
        <v>-53.703</v>
      </c>
      <c r="F4601" s="4" t="str">
        <f>HYPERLINK("http://141.218.60.56/~jnz1568/getInfo.php?workbook=12_04.xlsx&amp;sheet=A0&amp;row=4601&amp;col=6&amp;number=19430000&amp;sourceID=14","19430000")</f>
        <v>19430000</v>
      </c>
      <c r="G4601" s="4" t="str">
        <f>HYPERLINK("http://141.218.60.56/~jnz1568/getInfo.php?workbook=12_04.xlsx&amp;sheet=A0&amp;row=4601&amp;col=7&amp;number=0&amp;sourceID=14","0")</f>
        <v>0</v>
      </c>
    </row>
    <row r="4602" spans="1:7">
      <c r="A4602" s="3">
        <v>12</v>
      </c>
      <c r="B4602" s="3">
        <v>4</v>
      </c>
      <c r="C4602" s="3">
        <v>102</v>
      </c>
      <c r="D4602" s="3">
        <v>9</v>
      </c>
      <c r="E4602" s="3">
        <v>-53.7</v>
      </c>
      <c r="F4602" s="4" t="str">
        <f>HYPERLINK("http://141.218.60.56/~jnz1568/getInfo.php?workbook=12_04.xlsx&amp;sheet=A0&amp;row=4602&amp;col=6&amp;number=19910000&amp;sourceID=14","19910000")</f>
        <v>19910000</v>
      </c>
      <c r="G4602" s="4" t="str">
        <f>HYPERLINK("http://141.218.60.56/~jnz1568/getInfo.php?workbook=12_04.xlsx&amp;sheet=A0&amp;row=4602&amp;col=7&amp;number=0&amp;sourceID=14","0")</f>
        <v>0</v>
      </c>
    </row>
    <row r="4603" spans="1:7">
      <c r="A4603" s="3">
        <v>12</v>
      </c>
      <c r="B4603" s="3">
        <v>4</v>
      </c>
      <c r="C4603" s="3">
        <v>103</v>
      </c>
      <c r="D4603" s="3">
        <v>9</v>
      </c>
      <c r="E4603" s="3">
        <v>-53.743</v>
      </c>
      <c r="F4603" s="4" t="str">
        <f>HYPERLINK("http://141.218.60.56/~jnz1568/getInfo.php?workbook=12_04.xlsx&amp;sheet=A0&amp;row=4603&amp;col=6&amp;number=17220000&amp;sourceID=14","17220000")</f>
        <v>17220000</v>
      </c>
      <c r="G4603" s="4" t="str">
        <f>HYPERLINK("http://141.218.60.56/~jnz1568/getInfo.php?workbook=12_04.xlsx&amp;sheet=A0&amp;row=4603&amp;col=7&amp;number=0&amp;sourceID=14","0")</f>
        <v>0</v>
      </c>
    </row>
    <row r="4604" spans="1:7">
      <c r="A4604" s="3">
        <v>12</v>
      </c>
      <c r="B4604" s="3">
        <v>4</v>
      </c>
      <c r="C4604" s="3">
        <v>104</v>
      </c>
      <c r="D4604" s="3">
        <v>9</v>
      </c>
      <c r="E4604" s="3">
        <v>53.312</v>
      </c>
      <c r="F4604" s="4" t="str">
        <f>HYPERLINK("http://141.218.60.56/~jnz1568/getInfo.php?workbook=12_04.xlsx&amp;sheet=A0&amp;row=4604&amp;col=6&amp;number=1659000000&amp;sourceID=14","1659000000")</f>
        <v>1659000000</v>
      </c>
      <c r="G4604" s="4" t="str">
        <f>HYPERLINK("http://141.218.60.56/~jnz1568/getInfo.php?workbook=12_04.xlsx&amp;sheet=A0&amp;row=4604&amp;col=7&amp;number=0&amp;sourceID=14","0")</f>
        <v>0</v>
      </c>
    </row>
    <row r="4605" spans="1:7">
      <c r="A4605" s="3">
        <v>12</v>
      </c>
      <c r="B4605" s="3">
        <v>4</v>
      </c>
      <c r="C4605" s="3">
        <v>105</v>
      </c>
      <c r="D4605" s="3">
        <v>9</v>
      </c>
      <c r="E4605" s="3">
        <v>-53.525</v>
      </c>
      <c r="F4605" s="4" t="str">
        <f>HYPERLINK("http://141.218.60.56/~jnz1568/getInfo.php?workbook=12_04.xlsx&amp;sheet=A0&amp;row=4605&amp;col=6&amp;number=24.88&amp;sourceID=14","24.88")</f>
        <v>24.88</v>
      </c>
      <c r="G4605" s="4" t="str">
        <f>HYPERLINK("http://141.218.60.56/~jnz1568/getInfo.php?workbook=12_04.xlsx&amp;sheet=A0&amp;row=4605&amp;col=7&amp;number=0&amp;sourceID=14","0")</f>
        <v>0</v>
      </c>
    </row>
    <row r="4606" spans="1:7">
      <c r="A4606" s="3">
        <v>12</v>
      </c>
      <c r="B4606" s="3">
        <v>4</v>
      </c>
      <c r="C4606" s="3">
        <v>106</v>
      </c>
      <c r="D4606" s="3">
        <v>9</v>
      </c>
      <c r="E4606" s="3">
        <v>53.196</v>
      </c>
      <c r="F4606" s="4" t="str">
        <f>HYPERLINK("http://141.218.60.56/~jnz1568/getInfo.php?workbook=12_04.xlsx&amp;sheet=A0&amp;row=4606&amp;col=6&amp;number=103.5&amp;sourceID=14","103.5")</f>
        <v>103.5</v>
      </c>
      <c r="G4606" s="4" t="str">
        <f>HYPERLINK("http://141.218.60.56/~jnz1568/getInfo.php?workbook=12_04.xlsx&amp;sheet=A0&amp;row=4606&amp;col=7&amp;number=0&amp;sourceID=14","0")</f>
        <v>0</v>
      </c>
    </row>
    <row r="4607" spans="1:7">
      <c r="A4607" s="3">
        <v>12</v>
      </c>
      <c r="B4607" s="3">
        <v>4</v>
      </c>
      <c r="C4607" s="3">
        <v>107</v>
      </c>
      <c r="D4607" s="3">
        <v>9</v>
      </c>
      <c r="E4607" s="3">
        <v>53.196</v>
      </c>
      <c r="F4607" s="4" t="str">
        <f>HYPERLINK("http://141.218.60.56/~jnz1568/getInfo.php?workbook=12_04.xlsx&amp;sheet=A0&amp;row=4607&amp;col=6&amp;number=113.6&amp;sourceID=14","113.6")</f>
        <v>113.6</v>
      </c>
      <c r="G4607" s="4" t="str">
        <f>HYPERLINK("http://141.218.60.56/~jnz1568/getInfo.php?workbook=12_04.xlsx&amp;sheet=A0&amp;row=4607&amp;col=7&amp;number=0&amp;sourceID=14","0")</f>
        <v>0</v>
      </c>
    </row>
    <row r="4608" spans="1:7">
      <c r="A4608" s="3">
        <v>12</v>
      </c>
      <c r="B4608" s="3">
        <v>4</v>
      </c>
      <c r="C4608" s="3">
        <v>108</v>
      </c>
      <c r="D4608" s="3">
        <v>9</v>
      </c>
      <c r="E4608" s="3">
        <v>53.099</v>
      </c>
      <c r="F4608" s="4" t="str">
        <f>HYPERLINK("http://141.218.60.56/~jnz1568/getInfo.php?workbook=12_04.xlsx&amp;sheet=A0&amp;row=4608&amp;col=6&amp;number=10000000&amp;sourceID=14","10000000")</f>
        <v>10000000</v>
      </c>
      <c r="G4608" s="4" t="str">
        <f>HYPERLINK("http://141.218.60.56/~jnz1568/getInfo.php?workbook=12_04.xlsx&amp;sheet=A0&amp;row=4608&amp;col=7&amp;number=0&amp;sourceID=14","0")</f>
        <v>0</v>
      </c>
    </row>
    <row r="4609" spans="1:7">
      <c r="A4609" s="3">
        <v>12</v>
      </c>
      <c r="B4609" s="3">
        <v>4</v>
      </c>
      <c r="C4609" s="3">
        <v>99</v>
      </c>
      <c r="D4609" s="3">
        <v>10</v>
      </c>
      <c r="E4609" s="3">
        <v>-57.118</v>
      </c>
      <c r="F4609" s="4" t="str">
        <f>HYPERLINK("http://141.218.60.56/~jnz1568/getInfo.php?workbook=12_04.xlsx&amp;sheet=A0&amp;row=4609&amp;col=6&amp;number=0.002935&amp;sourceID=14","0.002935")</f>
        <v>0.002935</v>
      </c>
      <c r="G4609" s="4" t="str">
        <f>HYPERLINK("http://141.218.60.56/~jnz1568/getInfo.php?workbook=12_04.xlsx&amp;sheet=A0&amp;row=4609&amp;col=7&amp;number=0&amp;sourceID=14","0")</f>
        <v>0</v>
      </c>
    </row>
    <row r="4610" spans="1:7">
      <c r="A4610" s="3">
        <v>12</v>
      </c>
      <c r="B4610" s="3">
        <v>4</v>
      </c>
      <c r="C4610" s="3">
        <v>101</v>
      </c>
      <c r="D4610" s="3">
        <v>10</v>
      </c>
      <c r="E4610" s="3">
        <v>-56.744</v>
      </c>
      <c r="F4610" s="4" t="str">
        <f>HYPERLINK("http://141.218.60.56/~jnz1568/getInfo.php?workbook=12_04.xlsx&amp;sheet=A0&amp;row=4610&amp;col=6&amp;number=14210000&amp;sourceID=14","14210000")</f>
        <v>14210000</v>
      </c>
      <c r="G4610" s="4" t="str">
        <f>HYPERLINK("http://141.218.60.56/~jnz1568/getInfo.php?workbook=12_04.xlsx&amp;sheet=A0&amp;row=4610&amp;col=7&amp;number=0&amp;sourceID=14","0")</f>
        <v>0</v>
      </c>
    </row>
    <row r="4611" spans="1:7">
      <c r="A4611" s="3">
        <v>12</v>
      </c>
      <c r="B4611" s="3">
        <v>4</v>
      </c>
      <c r="C4611" s="3">
        <v>104</v>
      </c>
      <c r="D4611" s="3">
        <v>10</v>
      </c>
      <c r="E4611" s="3">
        <v>56.141</v>
      </c>
      <c r="F4611" s="4" t="str">
        <f>HYPERLINK("http://141.218.60.56/~jnz1568/getInfo.php?workbook=12_04.xlsx&amp;sheet=A0&amp;row=4611&amp;col=6&amp;number=39720000000&amp;sourceID=14","39720000000")</f>
        <v>39720000000</v>
      </c>
      <c r="G4611" s="4" t="str">
        <f>HYPERLINK("http://141.218.60.56/~jnz1568/getInfo.php?workbook=12_04.xlsx&amp;sheet=A0&amp;row=4611&amp;col=7&amp;number=0&amp;sourceID=14","0")</f>
        <v>0</v>
      </c>
    </row>
    <row r="4612" spans="1:7">
      <c r="A4612" s="3">
        <v>12</v>
      </c>
      <c r="B4612" s="3">
        <v>4</v>
      </c>
      <c r="C4612" s="3">
        <v>105</v>
      </c>
      <c r="D4612" s="3">
        <v>10</v>
      </c>
      <c r="E4612" s="3">
        <v>-56.545</v>
      </c>
      <c r="F4612" s="4" t="str">
        <f>HYPERLINK("http://141.218.60.56/~jnz1568/getInfo.php?workbook=12_04.xlsx&amp;sheet=A0&amp;row=4612&amp;col=6&amp;number=2.857e-06&amp;sourceID=14","2.857e-06")</f>
        <v>2.857e-06</v>
      </c>
      <c r="G4612" s="4" t="str">
        <f>HYPERLINK("http://141.218.60.56/~jnz1568/getInfo.php?workbook=12_04.xlsx&amp;sheet=A0&amp;row=4612&amp;col=7&amp;number=0&amp;sourceID=14","0")</f>
        <v>0</v>
      </c>
    </row>
    <row r="4613" spans="1:7">
      <c r="A4613" s="3">
        <v>12</v>
      </c>
      <c r="B4613" s="3">
        <v>4</v>
      </c>
      <c r="C4613" s="3">
        <v>106</v>
      </c>
      <c r="D4613" s="3">
        <v>10</v>
      </c>
      <c r="E4613" s="3">
        <v>56.013</v>
      </c>
      <c r="F4613" s="4" t="str">
        <f>HYPERLINK("http://141.218.60.56/~jnz1568/getInfo.php?workbook=12_04.xlsx&amp;sheet=A0&amp;row=4613&amp;col=6&amp;number=452.8&amp;sourceID=14","452.8")</f>
        <v>452.8</v>
      </c>
      <c r="G4613" s="4" t="str">
        <f>HYPERLINK("http://141.218.60.56/~jnz1568/getInfo.php?workbook=12_04.xlsx&amp;sheet=A0&amp;row=4613&amp;col=7&amp;number=0&amp;sourceID=14","0")</f>
        <v>0</v>
      </c>
    </row>
    <row r="4614" spans="1:7">
      <c r="A4614" s="3">
        <v>12</v>
      </c>
      <c r="B4614" s="3">
        <v>4</v>
      </c>
      <c r="C4614" s="3">
        <v>108</v>
      </c>
      <c r="D4614" s="3">
        <v>10</v>
      </c>
      <c r="E4614" s="3">
        <v>55.905</v>
      </c>
      <c r="F4614" s="4" t="str">
        <f>HYPERLINK("http://141.218.60.56/~jnz1568/getInfo.php?workbook=12_04.xlsx&amp;sheet=A0&amp;row=4614&amp;col=6&amp;number=2575000&amp;sourceID=14","2575000")</f>
        <v>2575000</v>
      </c>
      <c r="G4614" s="4" t="str">
        <f>HYPERLINK("http://141.218.60.56/~jnz1568/getInfo.php?workbook=12_04.xlsx&amp;sheet=A0&amp;row=4614&amp;col=7&amp;number=0&amp;sourceID=14","0")</f>
        <v>0</v>
      </c>
    </row>
    <row r="4615" spans="1:7">
      <c r="A4615" s="3">
        <v>12</v>
      </c>
      <c r="B4615" s="3">
        <v>4</v>
      </c>
      <c r="C4615" s="3">
        <v>99</v>
      </c>
      <c r="D4615" s="3">
        <v>11</v>
      </c>
      <c r="E4615" s="3">
        <v>-136.168</v>
      </c>
      <c r="F4615" s="4" t="str">
        <f>HYPERLINK("http://141.218.60.56/~jnz1568/getInfo.php?workbook=12_04.xlsx&amp;sheet=A0&amp;row=4615&amp;col=6&amp;number=5.817e-06&amp;sourceID=14","5.817e-06")</f>
        <v>5.817e-06</v>
      </c>
      <c r="G4615" s="4" t="str">
        <f>HYPERLINK("http://141.218.60.56/~jnz1568/getInfo.php?workbook=12_04.xlsx&amp;sheet=A0&amp;row=4615&amp;col=7&amp;number=0&amp;sourceID=14","0")</f>
        <v>0</v>
      </c>
    </row>
    <row r="4616" spans="1:7">
      <c r="A4616" s="3">
        <v>12</v>
      </c>
      <c r="B4616" s="3">
        <v>4</v>
      </c>
      <c r="C4616" s="3">
        <v>100</v>
      </c>
      <c r="D4616" s="3">
        <v>11</v>
      </c>
      <c r="E4616" s="3">
        <v>-134.072</v>
      </c>
      <c r="F4616" s="4" t="str">
        <f>HYPERLINK("http://141.218.60.56/~jnz1568/getInfo.php?workbook=12_04.xlsx&amp;sheet=A0&amp;row=4616&amp;col=6&amp;number=7409000000&amp;sourceID=14","7409000000")</f>
        <v>7409000000</v>
      </c>
      <c r="G4616" s="4" t="str">
        <f>HYPERLINK("http://141.218.60.56/~jnz1568/getInfo.php?workbook=12_04.xlsx&amp;sheet=A0&amp;row=4616&amp;col=7&amp;number=0&amp;sourceID=14","0")</f>
        <v>0</v>
      </c>
    </row>
    <row r="4617" spans="1:7">
      <c r="A4617" s="3">
        <v>12</v>
      </c>
      <c r="B4617" s="3">
        <v>4</v>
      </c>
      <c r="C4617" s="3">
        <v>101</v>
      </c>
      <c r="D4617" s="3">
        <v>11</v>
      </c>
      <c r="E4617" s="3">
        <v>-134.064</v>
      </c>
      <c r="F4617" s="4" t="str">
        <f>HYPERLINK("http://141.218.60.56/~jnz1568/getInfo.php?workbook=12_04.xlsx&amp;sheet=A0&amp;row=4617&amp;col=6&amp;number=7413000000&amp;sourceID=14","7413000000")</f>
        <v>7413000000</v>
      </c>
      <c r="G4617" s="4" t="str">
        <f>HYPERLINK("http://141.218.60.56/~jnz1568/getInfo.php?workbook=12_04.xlsx&amp;sheet=A0&amp;row=4617&amp;col=7&amp;number=0&amp;sourceID=14","0")</f>
        <v>0</v>
      </c>
    </row>
    <row r="4618" spans="1:7">
      <c r="A4618" s="3">
        <v>12</v>
      </c>
      <c r="B4618" s="3">
        <v>4</v>
      </c>
      <c r="C4618" s="3">
        <v>102</v>
      </c>
      <c r="D4618" s="3">
        <v>11</v>
      </c>
      <c r="E4618" s="3">
        <v>-134.045</v>
      </c>
      <c r="F4618" s="4" t="str">
        <f>HYPERLINK("http://141.218.60.56/~jnz1568/getInfo.php?workbook=12_04.xlsx&amp;sheet=A0&amp;row=4618&amp;col=6&amp;number=7454000000&amp;sourceID=14","7454000000")</f>
        <v>7454000000</v>
      </c>
      <c r="G4618" s="4" t="str">
        <f>HYPERLINK("http://141.218.60.56/~jnz1568/getInfo.php?workbook=12_04.xlsx&amp;sheet=A0&amp;row=4618&amp;col=7&amp;number=0&amp;sourceID=14","0")</f>
        <v>0</v>
      </c>
    </row>
    <row r="4619" spans="1:7">
      <c r="A4619" s="3">
        <v>12</v>
      </c>
      <c r="B4619" s="3">
        <v>4</v>
      </c>
      <c r="C4619" s="3">
        <v>103</v>
      </c>
      <c r="D4619" s="3">
        <v>11</v>
      </c>
      <c r="E4619" s="3">
        <v>-134.317</v>
      </c>
      <c r="F4619" s="4" t="str">
        <f>HYPERLINK("http://141.218.60.56/~jnz1568/getInfo.php?workbook=12_04.xlsx&amp;sheet=A0&amp;row=4619&amp;col=6&amp;number=1.254e-07&amp;sourceID=14","1.254e-07")</f>
        <v>1.254e-07</v>
      </c>
      <c r="G4619" s="4" t="str">
        <f>HYPERLINK("http://141.218.60.56/~jnz1568/getInfo.php?workbook=12_04.xlsx&amp;sheet=A0&amp;row=4619&amp;col=7&amp;number=0&amp;sourceID=14","0")</f>
        <v>0</v>
      </c>
    </row>
    <row r="4620" spans="1:7">
      <c r="A4620" s="3">
        <v>12</v>
      </c>
      <c r="B4620" s="3">
        <v>4</v>
      </c>
      <c r="C4620" s="3">
        <v>104</v>
      </c>
      <c r="D4620" s="3">
        <v>11</v>
      </c>
      <c r="E4620" s="3">
        <v>133.616</v>
      </c>
      <c r="F4620" s="4" t="str">
        <f>HYPERLINK("http://141.218.60.56/~jnz1568/getInfo.php?workbook=12_04.xlsx&amp;sheet=A0&amp;row=4620&amp;col=6&amp;number=10180000&amp;sourceID=14","10180000")</f>
        <v>10180000</v>
      </c>
      <c r="G4620" s="4" t="str">
        <f>HYPERLINK("http://141.218.60.56/~jnz1568/getInfo.php?workbook=12_04.xlsx&amp;sheet=A0&amp;row=4620&amp;col=7&amp;number=0&amp;sourceID=14","0")</f>
        <v>0</v>
      </c>
    </row>
    <row r="4621" spans="1:7">
      <c r="A4621" s="3">
        <v>12</v>
      </c>
      <c r="B4621" s="3">
        <v>4</v>
      </c>
      <c r="C4621" s="3">
        <v>105</v>
      </c>
      <c r="D4621" s="3">
        <v>11</v>
      </c>
      <c r="E4621" s="3">
        <v>-132.959</v>
      </c>
      <c r="F4621" s="4" t="str">
        <f>HYPERLINK("http://141.218.60.56/~jnz1568/getInfo.php?workbook=12_04.xlsx&amp;sheet=A0&amp;row=4621&amp;col=6&amp;number=941600&amp;sourceID=14","941600")</f>
        <v>941600</v>
      </c>
      <c r="G4621" s="4" t="str">
        <f>HYPERLINK("http://141.218.60.56/~jnz1568/getInfo.php?workbook=12_04.xlsx&amp;sheet=A0&amp;row=4621&amp;col=7&amp;number=0&amp;sourceID=14","0")</f>
        <v>0</v>
      </c>
    </row>
    <row r="4622" spans="1:7">
      <c r="A4622" s="3">
        <v>12</v>
      </c>
      <c r="B4622" s="3">
        <v>4</v>
      </c>
      <c r="C4622" s="3">
        <v>106</v>
      </c>
      <c r="D4622" s="3">
        <v>11</v>
      </c>
      <c r="E4622" s="3">
        <v>132.893</v>
      </c>
      <c r="F4622" s="4" t="str">
        <f>HYPERLINK("http://141.218.60.56/~jnz1568/getInfo.php?workbook=12_04.xlsx&amp;sheet=A0&amp;row=4622&amp;col=6&amp;number=939900&amp;sourceID=14","939900")</f>
        <v>939900</v>
      </c>
      <c r="G4622" s="4" t="str">
        <f>HYPERLINK("http://141.218.60.56/~jnz1568/getInfo.php?workbook=12_04.xlsx&amp;sheet=A0&amp;row=4622&amp;col=7&amp;number=0&amp;sourceID=14","0")</f>
        <v>0</v>
      </c>
    </row>
    <row r="4623" spans="1:7">
      <c r="A4623" s="3">
        <v>12</v>
      </c>
      <c r="B4623" s="3">
        <v>4</v>
      </c>
      <c r="C4623" s="3">
        <v>107</v>
      </c>
      <c r="D4623" s="3">
        <v>11</v>
      </c>
      <c r="E4623" s="3">
        <v>132.89</v>
      </c>
      <c r="F4623" s="4" t="str">
        <f>HYPERLINK("http://141.218.60.56/~jnz1568/getInfo.php?workbook=12_04.xlsx&amp;sheet=A0&amp;row=4623&amp;col=6&amp;number=942200&amp;sourceID=14","942200")</f>
        <v>942200</v>
      </c>
      <c r="G4623" s="4" t="str">
        <f>HYPERLINK("http://141.218.60.56/~jnz1568/getInfo.php?workbook=12_04.xlsx&amp;sheet=A0&amp;row=4623&amp;col=7&amp;number=0&amp;sourceID=14","0")</f>
        <v>0</v>
      </c>
    </row>
    <row r="4624" spans="1:7">
      <c r="A4624" s="3">
        <v>12</v>
      </c>
      <c r="B4624" s="3">
        <v>4</v>
      </c>
      <c r="C4624" s="3">
        <v>108</v>
      </c>
      <c r="D4624" s="3">
        <v>11</v>
      </c>
      <c r="E4624" s="3">
        <v>132.287</v>
      </c>
      <c r="F4624" s="4" t="str">
        <f>HYPERLINK("http://141.218.60.56/~jnz1568/getInfo.php?workbook=12_04.xlsx&amp;sheet=A0&amp;row=4624&amp;col=6&amp;number=52.63&amp;sourceID=14","52.63")</f>
        <v>52.63</v>
      </c>
      <c r="G4624" s="4" t="str">
        <f>HYPERLINK("http://141.218.60.56/~jnz1568/getInfo.php?workbook=12_04.xlsx&amp;sheet=A0&amp;row=4624&amp;col=7&amp;number=0&amp;sourceID=14","0")</f>
        <v>0</v>
      </c>
    </row>
    <row r="4625" spans="1:7">
      <c r="A4625" s="3">
        <v>12</v>
      </c>
      <c r="B4625" s="3">
        <v>4</v>
      </c>
      <c r="C4625" s="3">
        <v>99</v>
      </c>
      <c r="D4625" s="3">
        <v>12</v>
      </c>
      <c r="E4625" s="3">
        <v>-141.184</v>
      </c>
      <c r="F4625" s="4" t="str">
        <f>HYPERLINK("http://141.218.60.56/~jnz1568/getInfo.php?workbook=12_04.xlsx&amp;sheet=A0&amp;row=4625&amp;col=6&amp;number=7.327e-06&amp;sourceID=14","7.327e-06")</f>
        <v>7.327e-06</v>
      </c>
      <c r="G4625" s="4" t="str">
        <f>HYPERLINK("http://141.218.60.56/~jnz1568/getInfo.php?workbook=12_04.xlsx&amp;sheet=A0&amp;row=4625&amp;col=7&amp;number=0&amp;sourceID=14","0")</f>
        <v>0</v>
      </c>
    </row>
    <row r="4626" spans="1:7">
      <c r="A4626" s="3">
        <v>12</v>
      </c>
      <c r="B4626" s="3">
        <v>4</v>
      </c>
      <c r="C4626" s="3">
        <v>101</v>
      </c>
      <c r="D4626" s="3">
        <v>12</v>
      </c>
      <c r="E4626" s="3">
        <v>-138.923</v>
      </c>
      <c r="F4626" s="4" t="str">
        <f>HYPERLINK("http://141.218.60.56/~jnz1568/getInfo.php?workbook=12_04.xlsx&amp;sheet=A0&amp;row=4626&amp;col=6&amp;number=14690000&amp;sourceID=14","14690000")</f>
        <v>14690000</v>
      </c>
      <c r="G4626" s="4" t="str">
        <f>HYPERLINK("http://141.218.60.56/~jnz1568/getInfo.php?workbook=12_04.xlsx&amp;sheet=A0&amp;row=4626&amp;col=7&amp;number=0&amp;sourceID=14","0")</f>
        <v>0</v>
      </c>
    </row>
    <row r="4627" spans="1:7">
      <c r="A4627" s="3">
        <v>12</v>
      </c>
      <c r="B4627" s="3">
        <v>4</v>
      </c>
      <c r="C4627" s="3">
        <v>104</v>
      </c>
      <c r="D4627" s="3">
        <v>12</v>
      </c>
      <c r="E4627" s="3">
        <v>138.354</v>
      </c>
      <c r="F4627" s="4" t="str">
        <f>HYPERLINK("http://141.218.60.56/~jnz1568/getInfo.php?workbook=12_04.xlsx&amp;sheet=A0&amp;row=4627&amp;col=6&amp;number=8079000000&amp;sourceID=14","8079000000")</f>
        <v>8079000000</v>
      </c>
      <c r="G4627" s="4" t="str">
        <f>HYPERLINK("http://141.218.60.56/~jnz1568/getInfo.php?workbook=12_04.xlsx&amp;sheet=A0&amp;row=4627&amp;col=7&amp;number=0&amp;sourceID=14","0")</f>
        <v>0</v>
      </c>
    </row>
    <row r="4628" spans="1:7">
      <c r="A4628" s="3">
        <v>12</v>
      </c>
      <c r="B4628" s="3">
        <v>4</v>
      </c>
      <c r="C4628" s="3">
        <v>105</v>
      </c>
      <c r="D4628" s="3">
        <v>12</v>
      </c>
      <c r="E4628" s="3">
        <v>-137.737</v>
      </c>
      <c r="F4628" s="4" t="str">
        <f>HYPERLINK("http://141.218.60.56/~jnz1568/getInfo.php?workbook=12_04.xlsx&amp;sheet=A0&amp;row=4628&amp;col=6&amp;number=1.119e-08&amp;sourceID=14","1.119e-08")</f>
        <v>1.119e-08</v>
      </c>
      <c r="G4628" s="4" t="str">
        <f>HYPERLINK("http://141.218.60.56/~jnz1568/getInfo.php?workbook=12_04.xlsx&amp;sheet=A0&amp;row=4628&amp;col=7&amp;number=0&amp;sourceID=14","0")</f>
        <v>0</v>
      </c>
    </row>
    <row r="4629" spans="1:7">
      <c r="A4629" s="3">
        <v>12</v>
      </c>
      <c r="B4629" s="3">
        <v>4</v>
      </c>
      <c r="C4629" s="3">
        <v>106</v>
      </c>
      <c r="D4629" s="3">
        <v>12</v>
      </c>
      <c r="E4629" s="3">
        <v>137.579</v>
      </c>
      <c r="F4629" s="4" t="str">
        <f>HYPERLINK("http://141.218.60.56/~jnz1568/getInfo.php?workbook=12_04.xlsx&amp;sheet=A0&amp;row=4629&amp;col=6&amp;number=61.07&amp;sourceID=14","61.07")</f>
        <v>61.07</v>
      </c>
      <c r="G4629" s="4" t="str">
        <f>HYPERLINK("http://141.218.60.56/~jnz1568/getInfo.php?workbook=12_04.xlsx&amp;sheet=A0&amp;row=4629&amp;col=7&amp;number=0&amp;sourceID=14","0")</f>
        <v>0</v>
      </c>
    </row>
    <row r="4630" spans="1:7">
      <c r="A4630" s="3">
        <v>12</v>
      </c>
      <c r="B4630" s="3">
        <v>4</v>
      </c>
      <c r="C4630" s="3">
        <v>108</v>
      </c>
      <c r="D4630" s="3">
        <v>12</v>
      </c>
      <c r="E4630" s="3">
        <v>136.93</v>
      </c>
      <c r="F4630" s="4" t="str">
        <f>HYPERLINK("http://141.218.60.56/~jnz1568/getInfo.php?workbook=12_04.xlsx&amp;sheet=A0&amp;row=4630&amp;col=6&amp;number=1369000&amp;sourceID=14","1369000")</f>
        <v>1369000</v>
      </c>
      <c r="G4630" s="4" t="str">
        <f>HYPERLINK("http://141.218.60.56/~jnz1568/getInfo.php?workbook=12_04.xlsx&amp;sheet=A0&amp;row=4630&amp;col=7&amp;number=0&amp;sourceID=14","0")</f>
        <v>0</v>
      </c>
    </row>
    <row r="4631" spans="1:7">
      <c r="A4631" s="3">
        <v>12</v>
      </c>
      <c r="B4631" s="3">
        <v>4</v>
      </c>
      <c r="C4631" s="3">
        <v>99</v>
      </c>
      <c r="D4631" s="3">
        <v>13</v>
      </c>
      <c r="E4631" s="3">
        <v>-148.825</v>
      </c>
      <c r="F4631" s="4" t="str">
        <f>HYPERLINK("http://141.218.60.56/~jnz1568/getInfo.php?workbook=12_04.xlsx&amp;sheet=A0&amp;row=4631&amp;col=6&amp;number=50780000&amp;sourceID=14","50780000")</f>
        <v>50780000</v>
      </c>
      <c r="G4631" s="4" t="str">
        <f>HYPERLINK("http://141.218.60.56/~jnz1568/getInfo.php?workbook=12_04.xlsx&amp;sheet=A0&amp;row=4631&amp;col=7&amp;number=0&amp;sourceID=14","0")</f>
        <v>0</v>
      </c>
    </row>
    <row r="4632" spans="1:7">
      <c r="A4632" s="3">
        <v>12</v>
      </c>
      <c r="B4632" s="3">
        <v>4</v>
      </c>
      <c r="C4632" s="3">
        <v>100</v>
      </c>
      <c r="D4632" s="3">
        <v>13</v>
      </c>
      <c r="E4632" s="3">
        <v>-146.325</v>
      </c>
      <c r="F4632" s="4" t="str">
        <f>HYPERLINK("http://141.218.60.56/~jnz1568/getInfo.php?workbook=12_04.xlsx&amp;sheet=A0&amp;row=4632&amp;col=6&amp;number=1.041&amp;sourceID=14","1.041")</f>
        <v>1.041</v>
      </c>
      <c r="G4632" s="4" t="str">
        <f>HYPERLINK("http://141.218.60.56/~jnz1568/getInfo.php?workbook=12_04.xlsx&amp;sheet=A0&amp;row=4632&amp;col=7&amp;number=0&amp;sourceID=14","0")</f>
        <v>0</v>
      </c>
    </row>
    <row r="4633" spans="1:7">
      <c r="A4633" s="3">
        <v>12</v>
      </c>
      <c r="B4633" s="3">
        <v>4</v>
      </c>
      <c r="C4633" s="3">
        <v>101</v>
      </c>
      <c r="D4633" s="3">
        <v>13</v>
      </c>
      <c r="E4633" s="3">
        <v>-146.315</v>
      </c>
      <c r="F4633" s="4" t="str">
        <f>HYPERLINK("http://141.218.60.56/~jnz1568/getInfo.php?workbook=12_04.xlsx&amp;sheet=A0&amp;row=4633&amp;col=6&amp;number=604.7&amp;sourceID=14","604.7")</f>
        <v>604.7</v>
      </c>
      <c r="G4633" s="4" t="str">
        <f>HYPERLINK("http://141.218.60.56/~jnz1568/getInfo.php?workbook=12_04.xlsx&amp;sheet=A0&amp;row=4633&amp;col=7&amp;number=0&amp;sourceID=14","0")</f>
        <v>0</v>
      </c>
    </row>
    <row r="4634" spans="1:7">
      <c r="A4634" s="3">
        <v>12</v>
      </c>
      <c r="B4634" s="3">
        <v>4</v>
      </c>
      <c r="C4634" s="3">
        <v>102</v>
      </c>
      <c r="D4634" s="3">
        <v>13</v>
      </c>
      <c r="E4634" s="3">
        <v>-146.292</v>
      </c>
      <c r="F4634" s="4" t="str">
        <f>HYPERLINK("http://141.218.60.56/~jnz1568/getInfo.php?workbook=12_04.xlsx&amp;sheet=A0&amp;row=4634&amp;col=6&amp;number=4988&amp;sourceID=14","4988")</f>
        <v>4988</v>
      </c>
      <c r="G4634" s="4" t="str">
        <f>HYPERLINK("http://141.218.60.56/~jnz1568/getInfo.php?workbook=12_04.xlsx&amp;sheet=A0&amp;row=4634&amp;col=7&amp;number=0&amp;sourceID=14","0")</f>
        <v>0</v>
      </c>
    </row>
    <row r="4635" spans="1:7">
      <c r="A4635" s="3">
        <v>12</v>
      </c>
      <c r="B4635" s="3">
        <v>4</v>
      </c>
      <c r="C4635" s="3">
        <v>103</v>
      </c>
      <c r="D4635" s="3">
        <v>13</v>
      </c>
      <c r="E4635" s="3">
        <v>-146.617</v>
      </c>
      <c r="F4635" s="4" t="str">
        <f>HYPERLINK("http://141.218.60.56/~jnz1568/getInfo.php?workbook=12_04.xlsx&amp;sheet=A0&amp;row=4635&amp;col=6&amp;number=3199000000&amp;sourceID=14","3199000000")</f>
        <v>3199000000</v>
      </c>
      <c r="G4635" s="4" t="str">
        <f>HYPERLINK("http://141.218.60.56/~jnz1568/getInfo.php?workbook=12_04.xlsx&amp;sheet=A0&amp;row=4635&amp;col=7&amp;number=0&amp;sourceID=14","0")</f>
        <v>0</v>
      </c>
    </row>
    <row r="4636" spans="1:7">
      <c r="A4636" s="3">
        <v>12</v>
      </c>
      <c r="B4636" s="3">
        <v>4</v>
      </c>
      <c r="C4636" s="3">
        <v>104</v>
      </c>
      <c r="D4636" s="3">
        <v>13</v>
      </c>
      <c r="E4636" s="3">
        <v>145.504</v>
      </c>
      <c r="F4636" s="4" t="str">
        <f>HYPERLINK("http://141.218.60.56/~jnz1568/getInfo.php?workbook=12_04.xlsx&amp;sheet=A0&amp;row=4636&amp;col=6&amp;number=410300&amp;sourceID=14","410300")</f>
        <v>410300</v>
      </c>
      <c r="G4636" s="4" t="str">
        <f>HYPERLINK("http://141.218.60.56/~jnz1568/getInfo.php?workbook=12_04.xlsx&amp;sheet=A0&amp;row=4636&amp;col=7&amp;number=0&amp;sourceID=14","0")</f>
        <v>0</v>
      </c>
    </row>
    <row r="4637" spans="1:7">
      <c r="A4637" s="3">
        <v>12</v>
      </c>
      <c r="B4637" s="3">
        <v>4</v>
      </c>
      <c r="C4637" s="3">
        <v>105</v>
      </c>
      <c r="D4637" s="3">
        <v>13</v>
      </c>
      <c r="E4637" s="3">
        <v>-145</v>
      </c>
      <c r="F4637" s="4" t="str">
        <f>HYPERLINK("http://141.218.60.56/~jnz1568/getInfo.php?workbook=12_04.xlsx&amp;sheet=A0&amp;row=4637&amp;col=6&amp;number=203700000&amp;sourceID=14","203700000")</f>
        <v>203700000</v>
      </c>
      <c r="G4637" s="4" t="str">
        <f>HYPERLINK("http://141.218.60.56/~jnz1568/getInfo.php?workbook=12_04.xlsx&amp;sheet=A0&amp;row=4637&amp;col=7&amp;number=0&amp;sourceID=14","0")</f>
        <v>0</v>
      </c>
    </row>
    <row r="4638" spans="1:7">
      <c r="A4638" s="3">
        <v>12</v>
      </c>
      <c r="B4638" s="3">
        <v>4</v>
      </c>
      <c r="C4638" s="3">
        <v>106</v>
      </c>
      <c r="D4638" s="3">
        <v>13</v>
      </c>
      <c r="E4638" s="3">
        <v>144.648</v>
      </c>
      <c r="F4638" s="4" t="str">
        <f>HYPERLINK("http://141.218.60.56/~jnz1568/getInfo.php?workbook=12_04.xlsx&amp;sheet=A0&amp;row=4638&amp;col=6&amp;number=405500000&amp;sourceID=14","405500000")</f>
        <v>405500000</v>
      </c>
      <c r="G4638" s="4" t="str">
        <f>HYPERLINK("http://141.218.60.56/~jnz1568/getInfo.php?workbook=12_04.xlsx&amp;sheet=A0&amp;row=4638&amp;col=7&amp;number=0&amp;sourceID=14","0")</f>
        <v>0</v>
      </c>
    </row>
    <row r="4639" spans="1:7">
      <c r="A4639" s="3">
        <v>12</v>
      </c>
      <c r="B4639" s="3">
        <v>4</v>
      </c>
      <c r="C4639" s="3">
        <v>108</v>
      </c>
      <c r="D4639" s="3">
        <v>13</v>
      </c>
      <c r="E4639" s="3">
        <v>143.93</v>
      </c>
      <c r="F4639" s="4" t="str">
        <f>HYPERLINK("http://141.218.60.56/~jnz1568/getInfo.php?workbook=12_04.xlsx&amp;sheet=A0&amp;row=4639&amp;col=6&amp;number=21120000000&amp;sourceID=14","21120000000")</f>
        <v>21120000000</v>
      </c>
      <c r="G4639" s="4" t="str">
        <f>HYPERLINK("http://141.218.60.56/~jnz1568/getInfo.php?workbook=12_04.xlsx&amp;sheet=A0&amp;row=4639&amp;col=7&amp;number=0&amp;sourceID=14","0")</f>
        <v>0</v>
      </c>
    </row>
    <row r="4640" spans="1:7">
      <c r="A4640" s="3">
        <v>12</v>
      </c>
      <c r="B4640" s="3">
        <v>4</v>
      </c>
      <c r="C4640" s="3">
        <v>99</v>
      </c>
      <c r="D4640" s="3">
        <v>14</v>
      </c>
      <c r="E4640" s="3">
        <v>-149.324</v>
      </c>
      <c r="F4640" s="4" t="str">
        <f>HYPERLINK("http://141.218.60.56/~jnz1568/getInfo.php?workbook=12_04.xlsx&amp;sheet=A0&amp;row=4640&amp;col=6&amp;number=829900000&amp;sourceID=14","829900000")</f>
        <v>829900000</v>
      </c>
      <c r="G4640" s="4" t="str">
        <f>HYPERLINK("http://141.218.60.56/~jnz1568/getInfo.php?workbook=12_04.xlsx&amp;sheet=A0&amp;row=4640&amp;col=7&amp;number=0&amp;sourceID=14","0")</f>
        <v>0</v>
      </c>
    </row>
    <row r="4641" spans="1:7">
      <c r="A4641" s="3">
        <v>12</v>
      </c>
      <c r="B4641" s="3">
        <v>4</v>
      </c>
      <c r="C4641" s="3">
        <v>101</v>
      </c>
      <c r="D4641" s="3">
        <v>14</v>
      </c>
      <c r="E4641" s="3">
        <v>-146.798</v>
      </c>
      <c r="F4641" s="4" t="str">
        <f>HYPERLINK("http://141.218.60.56/~jnz1568/getInfo.php?workbook=12_04.xlsx&amp;sheet=A0&amp;row=4641&amp;col=6&amp;number=0.2236&amp;sourceID=14","0.2236")</f>
        <v>0.2236</v>
      </c>
      <c r="G4641" s="4" t="str">
        <f>HYPERLINK("http://141.218.60.56/~jnz1568/getInfo.php?workbook=12_04.xlsx&amp;sheet=A0&amp;row=4641&amp;col=7&amp;number=0&amp;sourceID=14","0")</f>
        <v>0</v>
      </c>
    </row>
    <row r="4642" spans="1:7">
      <c r="A4642" s="3">
        <v>12</v>
      </c>
      <c r="B4642" s="3">
        <v>4</v>
      </c>
      <c r="C4642" s="3">
        <v>102</v>
      </c>
      <c r="D4642" s="3">
        <v>14</v>
      </c>
      <c r="E4642" s="3">
        <v>-146.775</v>
      </c>
      <c r="F4642" s="4" t="str">
        <f>HYPERLINK("http://141.218.60.56/~jnz1568/getInfo.php?workbook=12_04.xlsx&amp;sheet=A0&amp;row=4642&amp;col=6&amp;number=115700&amp;sourceID=14","115700")</f>
        <v>115700</v>
      </c>
      <c r="G4642" s="4" t="str">
        <f>HYPERLINK("http://141.218.60.56/~jnz1568/getInfo.php?workbook=12_04.xlsx&amp;sheet=A0&amp;row=4642&amp;col=7&amp;number=0&amp;sourceID=14","0")</f>
        <v>0</v>
      </c>
    </row>
    <row r="4643" spans="1:7">
      <c r="A4643" s="3">
        <v>12</v>
      </c>
      <c r="B4643" s="3">
        <v>4</v>
      </c>
      <c r="C4643" s="3">
        <v>104</v>
      </c>
      <c r="D4643" s="3">
        <v>14</v>
      </c>
      <c r="E4643" s="3">
        <v>146.335</v>
      </c>
      <c r="F4643" s="4" t="str">
        <f>HYPERLINK("http://141.218.60.56/~jnz1568/getInfo.php?workbook=12_04.xlsx&amp;sheet=A0&amp;row=4643&amp;col=6&amp;number=0.5543&amp;sourceID=14","0.5543")</f>
        <v>0.5543</v>
      </c>
      <c r="G4643" s="4" t="str">
        <f>HYPERLINK("http://141.218.60.56/~jnz1568/getInfo.php?workbook=12_04.xlsx&amp;sheet=A0&amp;row=4643&amp;col=7&amp;number=0&amp;sourceID=14","0")</f>
        <v>0</v>
      </c>
    </row>
    <row r="4644" spans="1:7">
      <c r="A4644" s="3">
        <v>12</v>
      </c>
      <c r="B4644" s="3">
        <v>4</v>
      </c>
      <c r="C4644" s="3">
        <v>105</v>
      </c>
      <c r="D4644" s="3">
        <v>14</v>
      </c>
      <c r="E4644" s="3">
        <v>-145.475</v>
      </c>
      <c r="F4644" s="4" t="str">
        <f>HYPERLINK("http://141.218.60.56/~jnz1568/getInfo.php?workbook=12_04.xlsx&amp;sheet=A0&amp;row=4644&amp;col=6&amp;number=12210000000&amp;sourceID=14","12210000000")</f>
        <v>12210000000</v>
      </c>
      <c r="G4644" s="4" t="str">
        <f>HYPERLINK("http://141.218.60.56/~jnz1568/getInfo.php?workbook=12_04.xlsx&amp;sheet=A0&amp;row=4644&amp;col=7&amp;number=0&amp;sourceID=14","0")</f>
        <v>0</v>
      </c>
    </row>
    <row r="4645" spans="1:7">
      <c r="A4645" s="3">
        <v>12</v>
      </c>
      <c r="B4645" s="3">
        <v>4</v>
      </c>
      <c r="C4645" s="3">
        <v>99</v>
      </c>
      <c r="D4645" s="3">
        <v>15</v>
      </c>
      <c r="E4645" s="3">
        <v>-149.409</v>
      </c>
      <c r="F4645" s="4" t="str">
        <f>HYPERLINK("http://141.218.60.56/~jnz1568/getInfo.php?workbook=12_04.xlsx&amp;sheet=A0&amp;row=4645&amp;col=6&amp;number=2460000000&amp;sourceID=14","2460000000")</f>
        <v>2460000000</v>
      </c>
      <c r="G4645" s="4" t="str">
        <f>HYPERLINK("http://141.218.60.56/~jnz1568/getInfo.php?workbook=12_04.xlsx&amp;sheet=A0&amp;row=4645&amp;col=7&amp;number=0&amp;sourceID=14","0")</f>
        <v>0</v>
      </c>
    </row>
    <row r="4646" spans="1:7">
      <c r="A4646" s="3">
        <v>12</v>
      </c>
      <c r="B4646" s="3">
        <v>4</v>
      </c>
      <c r="C4646" s="3">
        <v>100</v>
      </c>
      <c r="D4646" s="3">
        <v>15</v>
      </c>
      <c r="E4646" s="3">
        <v>-146.89</v>
      </c>
      <c r="F4646" s="4" t="str">
        <f>HYPERLINK("http://141.218.60.56/~jnz1568/getInfo.php?workbook=12_04.xlsx&amp;sheet=A0&amp;row=4646&amp;col=6&amp;number=1.064&amp;sourceID=14","1.064")</f>
        <v>1.064</v>
      </c>
      <c r="G4646" s="4" t="str">
        <f>HYPERLINK("http://141.218.60.56/~jnz1568/getInfo.php?workbook=12_04.xlsx&amp;sheet=A0&amp;row=4646&amp;col=7&amp;number=0&amp;sourceID=14","0")</f>
        <v>0</v>
      </c>
    </row>
    <row r="4647" spans="1:7">
      <c r="A4647" s="3">
        <v>12</v>
      </c>
      <c r="B4647" s="3">
        <v>4</v>
      </c>
      <c r="C4647" s="3">
        <v>101</v>
      </c>
      <c r="D4647" s="3">
        <v>15</v>
      </c>
      <c r="E4647" s="3">
        <v>-146.88</v>
      </c>
      <c r="F4647" s="4" t="str">
        <f>HYPERLINK("http://141.218.60.56/~jnz1568/getInfo.php?workbook=12_04.xlsx&amp;sheet=A0&amp;row=4647&amp;col=6&amp;number=145600&amp;sourceID=14","145600")</f>
        <v>145600</v>
      </c>
      <c r="G4647" s="4" t="str">
        <f>HYPERLINK("http://141.218.60.56/~jnz1568/getInfo.php?workbook=12_04.xlsx&amp;sheet=A0&amp;row=4647&amp;col=7&amp;number=0&amp;sourceID=14","0")</f>
        <v>0</v>
      </c>
    </row>
    <row r="4648" spans="1:7">
      <c r="A4648" s="3">
        <v>12</v>
      </c>
      <c r="B4648" s="3">
        <v>4</v>
      </c>
      <c r="C4648" s="3">
        <v>102</v>
      </c>
      <c r="D4648" s="3">
        <v>15</v>
      </c>
      <c r="E4648" s="3">
        <v>-146.857</v>
      </c>
      <c r="F4648" s="4" t="str">
        <f>HYPERLINK("http://141.218.60.56/~jnz1568/getInfo.php?workbook=12_04.xlsx&amp;sheet=A0&amp;row=4648&amp;col=6&amp;number=258200&amp;sourceID=14","258200")</f>
        <v>258200</v>
      </c>
      <c r="G4648" s="4" t="str">
        <f>HYPERLINK("http://141.218.60.56/~jnz1568/getInfo.php?workbook=12_04.xlsx&amp;sheet=A0&amp;row=4648&amp;col=7&amp;number=0&amp;sourceID=14","0")</f>
        <v>0</v>
      </c>
    </row>
    <row r="4649" spans="1:7">
      <c r="A4649" s="3">
        <v>12</v>
      </c>
      <c r="B4649" s="3">
        <v>4</v>
      </c>
      <c r="C4649" s="3">
        <v>103</v>
      </c>
      <c r="D4649" s="3">
        <v>15</v>
      </c>
      <c r="E4649" s="3">
        <v>-147.184</v>
      </c>
      <c r="F4649" s="4" t="str">
        <f>HYPERLINK("http://141.218.60.56/~jnz1568/getInfo.php?workbook=12_04.xlsx&amp;sheet=A0&amp;row=4649&amp;col=6&amp;number=79640000&amp;sourceID=14","79640000")</f>
        <v>79640000</v>
      </c>
      <c r="G4649" s="4" t="str">
        <f>HYPERLINK("http://141.218.60.56/~jnz1568/getInfo.php?workbook=12_04.xlsx&amp;sheet=A0&amp;row=4649&amp;col=7&amp;number=0&amp;sourceID=14","0")</f>
        <v>0</v>
      </c>
    </row>
    <row r="4650" spans="1:7">
      <c r="A4650" s="3">
        <v>12</v>
      </c>
      <c r="B4650" s="3">
        <v>4</v>
      </c>
      <c r="C4650" s="3">
        <v>104</v>
      </c>
      <c r="D4650" s="3">
        <v>15</v>
      </c>
      <c r="E4650" s="3">
        <v>146.335</v>
      </c>
      <c r="F4650" s="4" t="str">
        <f>HYPERLINK("http://141.218.60.56/~jnz1568/getInfo.php?workbook=12_04.xlsx&amp;sheet=A0&amp;row=4650&amp;col=6&amp;number=7730&amp;sourceID=14","7730")</f>
        <v>7730</v>
      </c>
      <c r="G4650" s="4" t="str">
        <f>HYPERLINK("http://141.218.60.56/~jnz1568/getInfo.php?workbook=12_04.xlsx&amp;sheet=A0&amp;row=4650&amp;col=7&amp;number=0&amp;sourceID=14","0")</f>
        <v>0</v>
      </c>
    </row>
    <row r="4651" spans="1:7">
      <c r="A4651" s="3">
        <v>12</v>
      </c>
      <c r="B4651" s="3">
        <v>4</v>
      </c>
      <c r="C4651" s="3">
        <v>105</v>
      </c>
      <c r="D4651" s="3">
        <v>15</v>
      </c>
      <c r="E4651" s="3">
        <v>-145.555</v>
      </c>
      <c r="F4651" s="4" t="str">
        <f>HYPERLINK("http://141.218.60.56/~jnz1568/getInfo.php?workbook=12_04.xlsx&amp;sheet=A0&amp;row=4651&amp;col=6&amp;number=8965000000&amp;sourceID=14","8965000000")</f>
        <v>8965000000</v>
      </c>
      <c r="G4651" s="4" t="str">
        <f>HYPERLINK("http://141.218.60.56/~jnz1568/getInfo.php?workbook=12_04.xlsx&amp;sheet=A0&amp;row=4651&amp;col=7&amp;number=0&amp;sourceID=14","0")</f>
        <v>0</v>
      </c>
    </row>
    <row r="4652" spans="1:7">
      <c r="A4652" s="3">
        <v>12</v>
      </c>
      <c r="B4652" s="3">
        <v>4</v>
      </c>
      <c r="C4652" s="3">
        <v>106</v>
      </c>
      <c r="D4652" s="3">
        <v>15</v>
      </c>
      <c r="E4652" s="3">
        <v>145.468</v>
      </c>
      <c r="F4652" s="4" t="str">
        <f>HYPERLINK("http://141.218.60.56/~jnz1568/getInfo.php?workbook=12_04.xlsx&amp;sheet=A0&amp;row=4652&amp;col=6&amp;number=16110000000&amp;sourceID=14","16110000000")</f>
        <v>16110000000</v>
      </c>
      <c r="G4652" s="4" t="str">
        <f>HYPERLINK("http://141.218.60.56/~jnz1568/getInfo.php?workbook=12_04.xlsx&amp;sheet=A0&amp;row=4652&amp;col=7&amp;number=0&amp;sourceID=14","0")</f>
        <v>0</v>
      </c>
    </row>
    <row r="4653" spans="1:7">
      <c r="A4653" s="3">
        <v>12</v>
      </c>
      <c r="B4653" s="3">
        <v>4</v>
      </c>
      <c r="C4653" s="3">
        <v>108</v>
      </c>
      <c r="D4653" s="3">
        <v>15</v>
      </c>
      <c r="E4653" s="3">
        <v>144.743</v>
      </c>
      <c r="F4653" s="4" t="str">
        <f>HYPERLINK("http://141.218.60.56/~jnz1568/getInfo.php?workbook=12_04.xlsx&amp;sheet=A0&amp;row=4653&amp;col=6&amp;number=531400000&amp;sourceID=14","531400000")</f>
        <v>531400000</v>
      </c>
      <c r="G4653" s="4" t="str">
        <f>HYPERLINK("http://141.218.60.56/~jnz1568/getInfo.php?workbook=12_04.xlsx&amp;sheet=A0&amp;row=4653&amp;col=7&amp;number=0&amp;sourceID=14","0")</f>
        <v>0</v>
      </c>
    </row>
    <row r="4654" spans="1:7">
      <c r="A4654" s="3">
        <v>12</v>
      </c>
      <c r="B4654" s="3">
        <v>4</v>
      </c>
      <c r="C4654" s="3">
        <v>99</v>
      </c>
      <c r="D4654" s="3">
        <v>16</v>
      </c>
      <c r="E4654" s="3">
        <v>-149.538</v>
      </c>
      <c r="F4654" s="4" t="str">
        <f>HYPERLINK("http://141.218.60.56/~jnz1568/getInfo.php?workbook=12_04.xlsx&amp;sheet=A0&amp;row=4654&amp;col=6&amp;number=4255000000&amp;sourceID=14","4255000000")</f>
        <v>4255000000</v>
      </c>
      <c r="G4654" s="4" t="str">
        <f>HYPERLINK("http://141.218.60.56/~jnz1568/getInfo.php?workbook=12_04.xlsx&amp;sheet=A0&amp;row=4654&amp;col=7&amp;number=0&amp;sourceID=14","0")</f>
        <v>0</v>
      </c>
    </row>
    <row r="4655" spans="1:7">
      <c r="A4655" s="3">
        <v>12</v>
      </c>
      <c r="B4655" s="3">
        <v>4</v>
      </c>
      <c r="C4655" s="3">
        <v>100</v>
      </c>
      <c r="D4655" s="3">
        <v>16</v>
      </c>
      <c r="E4655" s="3">
        <v>-147.014</v>
      </c>
      <c r="F4655" s="4" t="str">
        <f>HYPERLINK("http://141.218.60.56/~jnz1568/getInfo.php?workbook=12_04.xlsx&amp;sheet=A0&amp;row=4655&amp;col=6&amp;number=590900&amp;sourceID=14","590900")</f>
        <v>590900</v>
      </c>
      <c r="G4655" s="4" t="str">
        <f>HYPERLINK("http://141.218.60.56/~jnz1568/getInfo.php?workbook=12_04.xlsx&amp;sheet=A0&amp;row=4655&amp;col=7&amp;number=0&amp;sourceID=14","0")</f>
        <v>0</v>
      </c>
    </row>
    <row r="4656" spans="1:7">
      <c r="A4656" s="3">
        <v>12</v>
      </c>
      <c r="B4656" s="3">
        <v>4</v>
      </c>
      <c r="C4656" s="3">
        <v>101</v>
      </c>
      <c r="D4656" s="3">
        <v>16</v>
      </c>
      <c r="E4656" s="3">
        <v>-147.005</v>
      </c>
      <c r="F4656" s="4" t="str">
        <f>HYPERLINK("http://141.218.60.56/~jnz1568/getInfo.php?workbook=12_04.xlsx&amp;sheet=A0&amp;row=4656&amp;col=6&amp;number=444100&amp;sourceID=14","444100")</f>
        <v>444100</v>
      </c>
      <c r="G4656" s="4" t="str">
        <f>HYPERLINK("http://141.218.60.56/~jnz1568/getInfo.php?workbook=12_04.xlsx&amp;sheet=A0&amp;row=4656&amp;col=7&amp;number=0&amp;sourceID=14","0")</f>
        <v>0</v>
      </c>
    </row>
    <row r="4657" spans="1:7">
      <c r="A4657" s="3">
        <v>12</v>
      </c>
      <c r="B4657" s="3">
        <v>4</v>
      </c>
      <c r="C4657" s="3">
        <v>102</v>
      </c>
      <c r="D4657" s="3">
        <v>16</v>
      </c>
      <c r="E4657" s="3">
        <v>-146.982</v>
      </c>
      <c r="F4657" s="4" t="str">
        <f>HYPERLINK("http://141.218.60.56/~jnz1568/getInfo.php?workbook=12_04.xlsx&amp;sheet=A0&amp;row=4657&amp;col=6&amp;number=209100&amp;sourceID=14","209100")</f>
        <v>209100</v>
      </c>
      <c r="G4657" s="4" t="str">
        <f>HYPERLINK("http://141.218.60.56/~jnz1568/getInfo.php?workbook=12_04.xlsx&amp;sheet=A0&amp;row=4657&amp;col=7&amp;number=0&amp;sourceID=14","0")</f>
        <v>0</v>
      </c>
    </row>
    <row r="4658" spans="1:7">
      <c r="A4658" s="3">
        <v>12</v>
      </c>
      <c r="B4658" s="3">
        <v>4</v>
      </c>
      <c r="C4658" s="3">
        <v>104</v>
      </c>
      <c r="D4658" s="3">
        <v>16</v>
      </c>
      <c r="E4658" s="3">
        <v>146.335</v>
      </c>
      <c r="F4658" s="4" t="str">
        <f>HYPERLINK("http://141.218.60.56/~jnz1568/getInfo.php?workbook=12_04.xlsx&amp;sheet=A0&amp;row=4658&amp;col=6&amp;number=683.2&amp;sourceID=14","683.2")</f>
        <v>683.2</v>
      </c>
      <c r="G4658" s="4" t="str">
        <f>HYPERLINK("http://141.218.60.56/~jnz1568/getInfo.php?workbook=12_04.xlsx&amp;sheet=A0&amp;row=4658&amp;col=7&amp;number=0&amp;sourceID=14","0")</f>
        <v>0</v>
      </c>
    </row>
    <row r="4659" spans="1:7">
      <c r="A4659" s="3">
        <v>12</v>
      </c>
      <c r="B4659" s="3">
        <v>4</v>
      </c>
      <c r="C4659" s="3">
        <v>105</v>
      </c>
      <c r="D4659" s="3">
        <v>16</v>
      </c>
      <c r="E4659" s="3">
        <v>-145.678</v>
      </c>
      <c r="F4659" s="4" t="str">
        <f>HYPERLINK("http://141.218.60.56/~jnz1568/getInfo.php?workbook=12_04.xlsx&amp;sheet=A0&amp;row=4659&amp;col=6&amp;number=612900000&amp;sourceID=14","612900000")</f>
        <v>612900000</v>
      </c>
      <c r="G4659" s="4" t="str">
        <f>HYPERLINK("http://141.218.60.56/~jnz1568/getInfo.php?workbook=12_04.xlsx&amp;sheet=A0&amp;row=4659&amp;col=7&amp;number=0&amp;sourceID=14","0")</f>
        <v>0</v>
      </c>
    </row>
    <row r="4660" spans="1:7">
      <c r="A4660" s="3">
        <v>12</v>
      </c>
      <c r="B4660" s="3">
        <v>4</v>
      </c>
      <c r="C4660" s="3">
        <v>106</v>
      </c>
      <c r="D4660" s="3">
        <v>16</v>
      </c>
      <c r="E4660" s="3">
        <v>145.468</v>
      </c>
      <c r="F4660" s="4" t="str">
        <f>HYPERLINK("http://141.218.60.56/~jnz1568/getInfo.php?workbook=12_04.xlsx&amp;sheet=A0&amp;row=4660&amp;col=6&amp;number=5520000000&amp;sourceID=14","5520000000")</f>
        <v>5520000000</v>
      </c>
      <c r="G4660" s="4" t="str">
        <f>HYPERLINK("http://141.218.60.56/~jnz1568/getInfo.php?workbook=12_04.xlsx&amp;sheet=A0&amp;row=4660&amp;col=7&amp;number=0&amp;sourceID=14","0")</f>
        <v>0</v>
      </c>
    </row>
    <row r="4661" spans="1:7">
      <c r="A4661" s="3">
        <v>12</v>
      </c>
      <c r="B4661" s="3">
        <v>4</v>
      </c>
      <c r="C4661" s="3">
        <v>107</v>
      </c>
      <c r="D4661" s="3">
        <v>16</v>
      </c>
      <c r="E4661" s="3">
        <v>145.465</v>
      </c>
      <c r="F4661" s="4" t="str">
        <f>HYPERLINK("http://141.218.60.56/~jnz1568/getInfo.php?workbook=12_04.xlsx&amp;sheet=A0&amp;row=4661&amp;col=6&amp;number=22110000000&amp;sourceID=14","22110000000")</f>
        <v>22110000000</v>
      </c>
      <c r="G4661" s="4" t="str">
        <f>HYPERLINK("http://141.218.60.56/~jnz1568/getInfo.php?workbook=12_04.xlsx&amp;sheet=A0&amp;row=4661&amp;col=7&amp;number=0&amp;sourceID=14","0")</f>
        <v>0</v>
      </c>
    </row>
    <row r="4662" spans="1:7">
      <c r="A4662" s="3">
        <v>12</v>
      </c>
      <c r="B4662" s="3">
        <v>4</v>
      </c>
      <c r="C4662" s="3">
        <v>108</v>
      </c>
      <c r="D4662" s="3">
        <v>16</v>
      </c>
      <c r="E4662" s="3">
        <v>144.743</v>
      </c>
      <c r="F4662" s="4" t="str">
        <f>HYPERLINK("http://141.218.60.56/~jnz1568/getInfo.php?workbook=12_04.xlsx&amp;sheet=A0&amp;row=4662&amp;col=6&amp;number=270300&amp;sourceID=14","270300")</f>
        <v>270300</v>
      </c>
      <c r="G4662" s="4" t="str">
        <f>HYPERLINK("http://141.218.60.56/~jnz1568/getInfo.php?workbook=12_04.xlsx&amp;sheet=A0&amp;row=4662&amp;col=7&amp;number=0&amp;sourceID=14","0")</f>
        <v>0</v>
      </c>
    </row>
    <row r="4663" spans="1:7">
      <c r="A4663" s="3">
        <v>12</v>
      </c>
      <c r="B4663" s="3">
        <v>4</v>
      </c>
      <c r="C4663" s="3">
        <v>99</v>
      </c>
      <c r="D4663" s="3">
        <v>17</v>
      </c>
      <c r="E4663" s="3">
        <v>-157.512</v>
      </c>
      <c r="F4663" s="4" t="str">
        <f>HYPERLINK("http://141.218.60.56/~jnz1568/getInfo.php?workbook=12_04.xlsx&amp;sheet=A0&amp;row=4663&amp;col=6&amp;number=30660&amp;sourceID=14","30660")</f>
        <v>30660</v>
      </c>
      <c r="G4663" s="4" t="str">
        <f>HYPERLINK("http://141.218.60.56/~jnz1568/getInfo.php?workbook=12_04.xlsx&amp;sheet=A0&amp;row=4663&amp;col=7&amp;number=0&amp;sourceID=14","0")</f>
        <v>0</v>
      </c>
    </row>
    <row r="4664" spans="1:7">
      <c r="A4664" s="3">
        <v>12</v>
      </c>
      <c r="B4664" s="3">
        <v>4</v>
      </c>
      <c r="C4664" s="3">
        <v>100</v>
      </c>
      <c r="D4664" s="3">
        <v>17</v>
      </c>
      <c r="E4664" s="3">
        <v>-154.715</v>
      </c>
      <c r="F4664" s="4" t="str">
        <f>HYPERLINK("http://141.218.60.56/~jnz1568/getInfo.php?workbook=12_04.xlsx&amp;sheet=A0&amp;row=4664&amp;col=6&amp;number=702700000&amp;sourceID=14","702700000")</f>
        <v>702700000</v>
      </c>
      <c r="G4664" s="4" t="str">
        <f>HYPERLINK("http://141.218.60.56/~jnz1568/getInfo.php?workbook=12_04.xlsx&amp;sheet=A0&amp;row=4664&amp;col=7&amp;number=0&amp;sourceID=14","0")</f>
        <v>0</v>
      </c>
    </row>
    <row r="4665" spans="1:7">
      <c r="A4665" s="3">
        <v>12</v>
      </c>
      <c r="B4665" s="3">
        <v>4</v>
      </c>
      <c r="C4665" s="3">
        <v>101</v>
      </c>
      <c r="D4665" s="3">
        <v>17</v>
      </c>
      <c r="E4665" s="3">
        <v>-154.704</v>
      </c>
      <c r="F4665" s="4" t="str">
        <f>HYPERLINK("http://141.218.60.56/~jnz1568/getInfo.php?workbook=12_04.xlsx&amp;sheet=A0&amp;row=4665&amp;col=6&amp;number=176500000&amp;sourceID=14","176500000")</f>
        <v>176500000</v>
      </c>
      <c r="G4665" s="4" t="str">
        <f>HYPERLINK("http://141.218.60.56/~jnz1568/getInfo.php?workbook=12_04.xlsx&amp;sheet=A0&amp;row=4665&amp;col=7&amp;number=0&amp;sourceID=14","0")</f>
        <v>0</v>
      </c>
    </row>
    <row r="4666" spans="1:7">
      <c r="A4666" s="3">
        <v>12</v>
      </c>
      <c r="B4666" s="3">
        <v>4</v>
      </c>
      <c r="C4666" s="3">
        <v>102</v>
      </c>
      <c r="D4666" s="3">
        <v>17</v>
      </c>
      <c r="E4666" s="3">
        <v>-154.678</v>
      </c>
      <c r="F4666" s="4" t="str">
        <f>HYPERLINK("http://141.218.60.56/~jnz1568/getInfo.php?workbook=12_04.xlsx&amp;sheet=A0&amp;row=4666&amp;col=6&amp;number=7150000&amp;sourceID=14","7150000")</f>
        <v>7150000</v>
      </c>
      <c r="G4666" s="4" t="str">
        <f>HYPERLINK("http://141.218.60.56/~jnz1568/getInfo.php?workbook=12_04.xlsx&amp;sheet=A0&amp;row=4666&amp;col=7&amp;number=0&amp;sourceID=14","0")</f>
        <v>0</v>
      </c>
    </row>
    <row r="4667" spans="1:7">
      <c r="A4667" s="3">
        <v>12</v>
      </c>
      <c r="B4667" s="3">
        <v>4</v>
      </c>
      <c r="C4667" s="3">
        <v>103</v>
      </c>
      <c r="D4667" s="3">
        <v>17</v>
      </c>
      <c r="E4667" s="3">
        <v>-155.041</v>
      </c>
      <c r="F4667" s="4" t="str">
        <f>HYPERLINK("http://141.218.60.56/~jnz1568/getInfo.php?workbook=12_04.xlsx&amp;sheet=A0&amp;row=4667&amp;col=6&amp;number=2.067e-08&amp;sourceID=14","2.067e-08")</f>
        <v>2.067e-08</v>
      </c>
      <c r="G4667" s="4" t="str">
        <f>HYPERLINK("http://141.218.60.56/~jnz1568/getInfo.php?workbook=12_04.xlsx&amp;sheet=A0&amp;row=4667&amp;col=7&amp;number=0&amp;sourceID=14","0")</f>
        <v>0</v>
      </c>
    </row>
    <row r="4668" spans="1:7">
      <c r="A4668" s="3">
        <v>12</v>
      </c>
      <c r="B4668" s="3">
        <v>4</v>
      </c>
      <c r="C4668" s="3">
        <v>104</v>
      </c>
      <c r="D4668" s="3">
        <v>17</v>
      </c>
      <c r="E4668" s="3">
        <v>153.888</v>
      </c>
      <c r="F4668" s="4" t="str">
        <f>HYPERLINK("http://141.218.60.56/~jnz1568/getInfo.php?workbook=12_04.xlsx&amp;sheet=A0&amp;row=4668&amp;col=6&amp;number=170700&amp;sourceID=14","170700")</f>
        <v>170700</v>
      </c>
      <c r="G4668" s="4" t="str">
        <f>HYPERLINK("http://141.218.60.56/~jnz1568/getInfo.php?workbook=12_04.xlsx&amp;sheet=A0&amp;row=4668&amp;col=7&amp;number=0&amp;sourceID=14","0")</f>
        <v>0</v>
      </c>
    </row>
    <row r="4669" spans="1:7">
      <c r="A4669" s="3">
        <v>12</v>
      </c>
      <c r="B4669" s="3">
        <v>4</v>
      </c>
      <c r="C4669" s="3">
        <v>105</v>
      </c>
      <c r="D4669" s="3">
        <v>17</v>
      </c>
      <c r="E4669" s="3">
        <v>-153.235</v>
      </c>
      <c r="F4669" s="4" t="str">
        <f>HYPERLINK("http://141.218.60.56/~jnz1568/getInfo.php?workbook=12_04.xlsx&amp;sheet=A0&amp;row=4669&amp;col=6&amp;number=72090&amp;sourceID=14","72090")</f>
        <v>72090</v>
      </c>
      <c r="G4669" s="4" t="str">
        <f>HYPERLINK("http://141.218.60.56/~jnz1568/getInfo.php?workbook=12_04.xlsx&amp;sheet=A0&amp;row=4669&amp;col=7&amp;number=0&amp;sourceID=14","0")</f>
        <v>0</v>
      </c>
    </row>
    <row r="4670" spans="1:7">
      <c r="A4670" s="3">
        <v>12</v>
      </c>
      <c r="B4670" s="3">
        <v>4</v>
      </c>
      <c r="C4670" s="3">
        <v>106</v>
      </c>
      <c r="D4670" s="3">
        <v>17</v>
      </c>
      <c r="E4670" s="3">
        <v>152.93</v>
      </c>
      <c r="F4670" s="4" t="str">
        <f>HYPERLINK("http://141.218.60.56/~jnz1568/getInfo.php?workbook=12_04.xlsx&amp;sheet=A0&amp;row=4670&amp;col=6&amp;number=72380&amp;sourceID=14","72380")</f>
        <v>72380</v>
      </c>
      <c r="G4670" s="4" t="str">
        <f>HYPERLINK("http://141.218.60.56/~jnz1568/getInfo.php?workbook=12_04.xlsx&amp;sheet=A0&amp;row=4670&amp;col=7&amp;number=0&amp;sourceID=14","0")</f>
        <v>0</v>
      </c>
    </row>
    <row r="4671" spans="1:7">
      <c r="A4671" s="3">
        <v>12</v>
      </c>
      <c r="B4671" s="3">
        <v>4</v>
      </c>
      <c r="C4671" s="3">
        <v>107</v>
      </c>
      <c r="D4671" s="3">
        <v>17</v>
      </c>
      <c r="E4671" s="3">
        <v>152.926</v>
      </c>
      <c r="F4671" s="4" t="str">
        <f>HYPERLINK("http://141.218.60.56/~jnz1568/getInfo.php?workbook=12_04.xlsx&amp;sheet=A0&amp;row=4671&amp;col=6&amp;number=5930&amp;sourceID=14","5930")</f>
        <v>5930</v>
      </c>
      <c r="G4671" s="4" t="str">
        <f>HYPERLINK("http://141.218.60.56/~jnz1568/getInfo.php?workbook=12_04.xlsx&amp;sheet=A0&amp;row=4671&amp;col=7&amp;number=0&amp;sourceID=14","0")</f>
        <v>0</v>
      </c>
    </row>
    <row r="4672" spans="1:7">
      <c r="A4672" s="3">
        <v>12</v>
      </c>
      <c r="B4672" s="3">
        <v>4</v>
      </c>
      <c r="C4672" s="3">
        <v>108</v>
      </c>
      <c r="D4672" s="3">
        <v>17</v>
      </c>
      <c r="E4672" s="3">
        <v>152.128</v>
      </c>
      <c r="F4672" s="4" t="str">
        <f>HYPERLINK("http://141.218.60.56/~jnz1568/getInfo.php?workbook=12_04.xlsx&amp;sheet=A0&amp;row=4672&amp;col=6&amp;number=4.263&amp;sourceID=14","4.263")</f>
        <v>4.263</v>
      </c>
      <c r="G4672" s="4" t="str">
        <f>HYPERLINK("http://141.218.60.56/~jnz1568/getInfo.php?workbook=12_04.xlsx&amp;sheet=A0&amp;row=4672&amp;col=7&amp;number=0&amp;sourceID=14","0")</f>
        <v>0</v>
      </c>
    </row>
    <row r="4673" spans="1:7">
      <c r="A4673" s="3">
        <v>12</v>
      </c>
      <c r="B4673" s="3">
        <v>4</v>
      </c>
      <c r="C4673" s="3">
        <v>99</v>
      </c>
      <c r="D4673" s="3">
        <v>18</v>
      </c>
      <c r="E4673" s="3">
        <v>-157.547</v>
      </c>
      <c r="F4673" s="4" t="str">
        <f>HYPERLINK("http://141.218.60.56/~jnz1568/getInfo.php?workbook=12_04.xlsx&amp;sheet=A0&amp;row=4673&amp;col=6&amp;number=51410&amp;sourceID=14","51410")</f>
        <v>51410</v>
      </c>
      <c r="G4673" s="4" t="str">
        <f>HYPERLINK("http://141.218.60.56/~jnz1568/getInfo.php?workbook=12_04.xlsx&amp;sheet=A0&amp;row=4673&amp;col=7&amp;number=0&amp;sourceID=14","0")</f>
        <v>0</v>
      </c>
    </row>
    <row r="4674" spans="1:7">
      <c r="A4674" s="3">
        <v>12</v>
      </c>
      <c r="B4674" s="3">
        <v>4</v>
      </c>
      <c r="C4674" s="3">
        <v>101</v>
      </c>
      <c r="D4674" s="3">
        <v>18</v>
      </c>
      <c r="E4674" s="3">
        <v>-154.738</v>
      </c>
      <c r="F4674" s="4" t="str">
        <f>HYPERLINK("http://141.218.60.56/~jnz1568/getInfo.php?workbook=12_04.xlsx&amp;sheet=A0&amp;row=4674&amp;col=6&amp;number=531900000&amp;sourceID=14","531900000")</f>
        <v>531900000</v>
      </c>
      <c r="G4674" s="4" t="str">
        <f>HYPERLINK("http://141.218.60.56/~jnz1568/getInfo.php?workbook=12_04.xlsx&amp;sheet=A0&amp;row=4674&amp;col=7&amp;number=0&amp;sourceID=14","0")</f>
        <v>0</v>
      </c>
    </row>
    <row r="4675" spans="1:7">
      <c r="A4675" s="3">
        <v>12</v>
      </c>
      <c r="B4675" s="3">
        <v>4</v>
      </c>
      <c r="C4675" s="3">
        <v>102</v>
      </c>
      <c r="D4675" s="3">
        <v>18</v>
      </c>
      <c r="E4675" s="3">
        <v>-154.712</v>
      </c>
      <c r="F4675" s="4" t="str">
        <f>HYPERLINK("http://141.218.60.56/~jnz1568/getInfo.php?workbook=12_04.xlsx&amp;sheet=A0&amp;row=4675&amp;col=6&amp;number=107600000&amp;sourceID=14","107600000")</f>
        <v>107600000</v>
      </c>
      <c r="G4675" s="4" t="str">
        <f>HYPERLINK("http://141.218.60.56/~jnz1568/getInfo.php?workbook=12_04.xlsx&amp;sheet=A0&amp;row=4675&amp;col=7&amp;number=0&amp;sourceID=14","0")</f>
        <v>0</v>
      </c>
    </row>
    <row r="4676" spans="1:7">
      <c r="A4676" s="3">
        <v>12</v>
      </c>
      <c r="B4676" s="3">
        <v>4</v>
      </c>
      <c r="C4676" s="3">
        <v>103</v>
      </c>
      <c r="D4676" s="3">
        <v>18</v>
      </c>
      <c r="E4676" s="3">
        <v>-155.075</v>
      </c>
      <c r="F4676" s="4" t="str">
        <f>HYPERLINK("http://141.218.60.56/~jnz1568/getInfo.php?workbook=12_04.xlsx&amp;sheet=A0&amp;row=4676&amp;col=6&amp;number=2.989&amp;sourceID=14","2.989")</f>
        <v>2.989</v>
      </c>
      <c r="G4676" s="4" t="str">
        <f>HYPERLINK("http://141.218.60.56/~jnz1568/getInfo.php?workbook=12_04.xlsx&amp;sheet=A0&amp;row=4676&amp;col=7&amp;number=0&amp;sourceID=14","0")</f>
        <v>0</v>
      </c>
    </row>
    <row r="4677" spans="1:7">
      <c r="A4677" s="3">
        <v>12</v>
      </c>
      <c r="B4677" s="3">
        <v>4</v>
      </c>
      <c r="C4677" s="3">
        <v>104</v>
      </c>
      <c r="D4677" s="3">
        <v>18</v>
      </c>
      <c r="E4677" s="3">
        <v>153.918</v>
      </c>
      <c r="F4677" s="4" t="str">
        <f>HYPERLINK("http://141.218.60.56/~jnz1568/getInfo.php?workbook=12_04.xlsx&amp;sheet=A0&amp;row=4677&amp;col=6&amp;number=463100&amp;sourceID=14","463100")</f>
        <v>463100</v>
      </c>
      <c r="G4677" s="4" t="str">
        <f>HYPERLINK("http://141.218.60.56/~jnz1568/getInfo.php?workbook=12_04.xlsx&amp;sheet=A0&amp;row=4677&amp;col=7&amp;number=0&amp;sourceID=14","0")</f>
        <v>0</v>
      </c>
    </row>
    <row r="4678" spans="1:7">
      <c r="A4678" s="3">
        <v>12</v>
      </c>
      <c r="B4678" s="3">
        <v>4</v>
      </c>
      <c r="C4678" s="3">
        <v>105</v>
      </c>
      <c r="D4678" s="3">
        <v>18</v>
      </c>
      <c r="E4678" s="3">
        <v>-153.268</v>
      </c>
      <c r="F4678" s="4" t="str">
        <f>HYPERLINK("http://141.218.60.56/~jnz1568/getInfo.php?workbook=12_04.xlsx&amp;sheet=A0&amp;row=4678&amp;col=6&amp;number=120600&amp;sourceID=14","120600")</f>
        <v>120600</v>
      </c>
      <c r="G4678" s="4" t="str">
        <f>HYPERLINK("http://141.218.60.56/~jnz1568/getInfo.php?workbook=12_04.xlsx&amp;sheet=A0&amp;row=4678&amp;col=7&amp;number=0&amp;sourceID=14","0")</f>
        <v>0</v>
      </c>
    </row>
    <row r="4679" spans="1:7">
      <c r="A4679" s="3">
        <v>12</v>
      </c>
      <c r="B4679" s="3">
        <v>4</v>
      </c>
      <c r="C4679" s="3">
        <v>106</v>
      </c>
      <c r="D4679" s="3">
        <v>18</v>
      </c>
      <c r="E4679" s="3">
        <v>152.96</v>
      </c>
      <c r="F4679" s="4" t="str">
        <f>HYPERLINK("http://141.218.60.56/~jnz1568/getInfo.php?workbook=12_04.xlsx&amp;sheet=A0&amp;row=4679&amp;col=6&amp;number=51800&amp;sourceID=14","51800")</f>
        <v>51800</v>
      </c>
      <c r="G4679" s="4" t="str">
        <f>HYPERLINK("http://141.218.60.56/~jnz1568/getInfo.php?workbook=12_04.xlsx&amp;sheet=A0&amp;row=4679&amp;col=7&amp;number=0&amp;sourceID=14","0")</f>
        <v>0</v>
      </c>
    </row>
    <row r="4680" spans="1:7">
      <c r="A4680" s="3">
        <v>12</v>
      </c>
      <c r="B4680" s="3">
        <v>4</v>
      </c>
      <c r="C4680" s="3">
        <v>107</v>
      </c>
      <c r="D4680" s="3">
        <v>18</v>
      </c>
      <c r="E4680" s="3">
        <v>152.956</v>
      </c>
      <c r="F4680" s="4" t="str">
        <f>HYPERLINK("http://141.218.60.56/~jnz1568/getInfo.php?workbook=12_04.xlsx&amp;sheet=A0&amp;row=4680&amp;col=6&amp;number=59450&amp;sourceID=14","59450")</f>
        <v>59450</v>
      </c>
      <c r="G4680" s="4" t="str">
        <f>HYPERLINK("http://141.218.60.56/~jnz1568/getInfo.php?workbook=12_04.xlsx&amp;sheet=A0&amp;row=4680&amp;col=7&amp;number=0&amp;sourceID=14","0")</f>
        <v>0</v>
      </c>
    </row>
    <row r="4681" spans="1:7">
      <c r="A4681" s="3">
        <v>12</v>
      </c>
      <c r="B4681" s="3">
        <v>4</v>
      </c>
      <c r="C4681" s="3">
        <v>108</v>
      </c>
      <c r="D4681" s="3">
        <v>18</v>
      </c>
      <c r="E4681" s="3">
        <v>152.158</v>
      </c>
      <c r="F4681" s="4" t="str">
        <f>HYPERLINK("http://141.218.60.56/~jnz1568/getInfo.php?workbook=12_04.xlsx&amp;sheet=A0&amp;row=4681&amp;col=6&amp;number=0.1689&amp;sourceID=14","0.1689")</f>
        <v>0.1689</v>
      </c>
      <c r="G4681" s="4" t="str">
        <f>HYPERLINK("http://141.218.60.56/~jnz1568/getInfo.php?workbook=12_04.xlsx&amp;sheet=A0&amp;row=4681&amp;col=7&amp;number=0&amp;sourceID=14","0")</f>
        <v>0</v>
      </c>
    </row>
    <row r="4682" spans="1:7">
      <c r="A4682" s="3">
        <v>12</v>
      </c>
      <c r="B4682" s="3">
        <v>4</v>
      </c>
      <c r="C4682" s="3">
        <v>99</v>
      </c>
      <c r="D4682" s="3">
        <v>19</v>
      </c>
      <c r="E4682" s="3">
        <v>-157.6</v>
      </c>
      <c r="F4682" s="4" t="str">
        <f>HYPERLINK("http://141.218.60.56/~jnz1568/getInfo.php?workbook=12_04.xlsx&amp;sheet=A0&amp;row=4682&amp;col=6&amp;number=72640&amp;sourceID=14","72640")</f>
        <v>72640</v>
      </c>
      <c r="G4682" s="4" t="str">
        <f>HYPERLINK("http://141.218.60.56/~jnz1568/getInfo.php?workbook=12_04.xlsx&amp;sheet=A0&amp;row=4682&amp;col=7&amp;number=0&amp;sourceID=14","0")</f>
        <v>0</v>
      </c>
    </row>
    <row r="4683" spans="1:7">
      <c r="A4683" s="3">
        <v>12</v>
      </c>
      <c r="B4683" s="3">
        <v>4</v>
      </c>
      <c r="C4683" s="3">
        <v>102</v>
      </c>
      <c r="D4683" s="3">
        <v>19</v>
      </c>
      <c r="E4683" s="3">
        <v>-154.763</v>
      </c>
      <c r="F4683" s="4" t="str">
        <f>HYPERLINK("http://141.218.60.56/~jnz1568/getInfo.php?workbook=12_04.xlsx&amp;sheet=A0&amp;row=4683&amp;col=6&amp;number=606900000&amp;sourceID=14","606900000")</f>
        <v>606900000</v>
      </c>
      <c r="G4683" s="4" t="str">
        <f>HYPERLINK("http://141.218.60.56/~jnz1568/getInfo.php?workbook=12_04.xlsx&amp;sheet=A0&amp;row=4683&amp;col=7&amp;number=0&amp;sourceID=14","0")</f>
        <v>0</v>
      </c>
    </row>
    <row r="4684" spans="1:7">
      <c r="A4684" s="3">
        <v>12</v>
      </c>
      <c r="B4684" s="3">
        <v>4</v>
      </c>
      <c r="C4684" s="3">
        <v>105</v>
      </c>
      <c r="D4684" s="3">
        <v>19</v>
      </c>
      <c r="E4684" s="3">
        <v>-153.318</v>
      </c>
      <c r="F4684" s="4" t="str">
        <f>HYPERLINK("http://141.218.60.56/~jnz1568/getInfo.php?workbook=12_04.xlsx&amp;sheet=A0&amp;row=4684&amp;col=6&amp;number=13870&amp;sourceID=14","13870")</f>
        <v>13870</v>
      </c>
      <c r="G4684" s="4" t="str">
        <f>HYPERLINK("http://141.218.60.56/~jnz1568/getInfo.php?workbook=12_04.xlsx&amp;sheet=A0&amp;row=4684&amp;col=7&amp;number=0&amp;sourceID=14","0")</f>
        <v>0</v>
      </c>
    </row>
    <row r="4685" spans="1:7">
      <c r="A4685" s="3">
        <v>12</v>
      </c>
      <c r="B4685" s="3">
        <v>4</v>
      </c>
      <c r="C4685" s="3">
        <v>106</v>
      </c>
      <c r="D4685" s="3">
        <v>19</v>
      </c>
      <c r="E4685" s="3">
        <v>152.995</v>
      </c>
      <c r="F4685" s="4" t="str">
        <f>HYPERLINK("http://141.218.60.56/~jnz1568/getInfo.php?workbook=12_04.xlsx&amp;sheet=A0&amp;row=4685&amp;col=6&amp;number=83490&amp;sourceID=14","83490")</f>
        <v>83490</v>
      </c>
      <c r="G4685" s="4" t="str">
        <f>HYPERLINK("http://141.218.60.56/~jnz1568/getInfo.php?workbook=12_04.xlsx&amp;sheet=A0&amp;row=4685&amp;col=7&amp;number=0&amp;sourceID=14","0")</f>
        <v>0</v>
      </c>
    </row>
    <row r="4686" spans="1:7">
      <c r="A4686" s="3">
        <v>12</v>
      </c>
      <c r="B4686" s="3">
        <v>4</v>
      </c>
      <c r="C4686" s="3">
        <v>107</v>
      </c>
      <c r="D4686" s="3">
        <v>19</v>
      </c>
      <c r="E4686" s="3">
        <v>152.991</v>
      </c>
      <c r="F4686" s="4" t="str">
        <f>HYPERLINK("http://141.218.60.56/~jnz1568/getInfo.php?workbook=12_04.xlsx&amp;sheet=A0&amp;row=4686&amp;col=6&amp;number=143300&amp;sourceID=14","143300")</f>
        <v>143300</v>
      </c>
      <c r="G4686" s="4" t="str">
        <f>HYPERLINK("http://141.218.60.56/~jnz1568/getInfo.php?workbook=12_04.xlsx&amp;sheet=A0&amp;row=4686&amp;col=7&amp;number=0&amp;sourceID=14","0")</f>
        <v>0</v>
      </c>
    </row>
    <row r="4687" spans="1:7">
      <c r="A4687" s="3">
        <v>12</v>
      </c>
      <c r="B4687" s="3">
        <v>4</v>
      </c>
      <c r="C4687" s="3">
        <v>108</v>
      </c>
      <c r="D4687" s="3">
        <v>19</v>
      </c>
      <c r="E4687" s="3">
        <v>152.193</v>
      </c>
      <c r="F4687" s="4" t="str">
        <f>HYPERLINK("http://141.218.60.56/~jnz1568/getInfo.php?workbook=12_04.xlsx&amp;sheet=A0&amp;row=4687&amp;col=6&amp;number=4.836&amp;sourceID=14","4.836")</f>
        <v>4.836</v>
      </c>
      <c r="G4687" s="4" t="str">
        <f>HYPERLINK("http://141.218.60.56/~jnz1568/getInfo.php?workbook=12_04.xlsx&amp;sheet=A0&amp;row=4687&amp;col=7&amp;number=0&amp;sourceID=14","0")</f>
        <v>0</v>
      </c>
    </row>
    <row r="4688" spans="1:7">
      <c r="A4688" s="3">
        <v>12</v>
      </c>
      <c r="B4688" s="3">
        <v>4</v>
      </c>
      <c r="C4688" s="3">
        <v>99</v>
      </c>
      <c r="D4688" s="3">
        <v>20</v>
      </c>
      <c r="E4688" s="3">
        <v>-164.352</v>
      </c>
      <c r="F4688" s="4" t="str">
        <f>HYPERLINK("http://141.218.60.56/~jnz1568/getInfo.php?workbook=12_04.xlsx&amp;sheet=A0&amp;row=4688&amp;col=6&amp;number=8.249&amp;sourceID=14","8.249")</f>
        <v>8.249</v>
      </c>
      <c r="G4688" s="4" t="str">
        <f>HYPERLINK("http://141.218.60.56/~jnz1568/getInfo.php?workbook=12_04.xlsx&amp;sheet=A0&amp;row=4688&amp;col=7&amp;number=0&amp;sourceID=14","0")</f>
        <v>0</v>
      </c>
    </row>
    <row r="4689" spans="1:7">
      <c r="A4689" s="3">
        <v>12</v>
      </c>
      <c r="B4689" s="3">
        <v>4</v>
      </c>
      <c r="C4689" s="3">
        <v>101</v>
      </c>
      <c r="D4689" s="3">
        <v>20</v>
      </c>
      <c r="E4689" s="3">
        <v>-161.297</v>
      </c>
      <c r="F4689" s="4" t="str">
        <f>HYPERLINK("http://141.218.60.56/~jnz1568/getInfo.php?workbook=12_04.xlsx&amp;sheet=A0&amp;row=4689&amp;col=6&amp;number=3335000&amp;sourceID=14","3335000")</f>
        <v>3335000</v>
      </c>
      <c r="G4689" s="4" t="str">
        <f>HYPERLINK("http://141.218.60.56/~jnz1568/getInfo.php?workbook=12_04.xlsx&amp;sheet=A0&amp;row=4689&amp;col=7&amp;number=0&amp;sourceID=14","0")</f>
        <v>0</v>
      </c>
    </row>
    <row r="4690" spans="1:7">
      <c r="A4690" s="3">
        <v>12</v>
      </c>
      <c r="B4690" s="3">
        <v>4</v>
      </c>
      <c r="C4690" s="3">
        <v>102</v>
      </c>
      <c r="D4690" s="3">
        <v>20</v>
      </c>
      <c r="E4690" s="3">
        <v>-161.269</v>
      </c>
      <c r="F4690" s="4" t="str">
        <f>HYPERLINK("http://141.218.60.56/~jnz1568/getInfo.php?workbook=12_04.xlsx&amp;sheet=A0&amp;row=4690&amp;col=6&amp;number=27930&amp;sourceID=14","27930")</f>
        <v>27930</v>
      </c>
      <c r="G4690" s="4" t="str">
        <f>HYPERLINK("http://141.218.60.56/~jnz1568/getInfo.php?workbook=12_04.xlsx&amp;sheet=A0&amp;row=4690&amp;col=7&amp;number=0&amp;sourceID=14","0")</f>
        <v>0</v>
      </c>
    </row>
    <row r="4691" spans="1:7">
      <c r="A4691" s="3">
        <v>12</v>
      </c>
      <c r="B4691" s="3">
        <v>4</v>
      </c>
      <c r="C4691" s="3">
        <v>103</v>
      </c>
      <c r="D4691" s="3">
        <v>20</v>
      </c>
      <c r="E4691" s="3">
        <v>-161.664</v>
      </c>
      <c r="F4691" s="4" t="str">
        <f>HYPERLINK("http://141.218.60.56/~jnz1568/getInfo.php?workbook=12_04.xlsx&amp;sheet=A0&amp;row=4691&amp;col=6&amp;number=613200&amp;sourceID=14","613200")</f>
        <v>613200</v>
      </c>
      <c r="G4691" s="4" t="str">
        <f>HYPERLINK("http://141.218.60.56/~jnz1568/getInfo.php?workbook=12_04.xlsx&amp;sheet=A0&amp;row=4691&amp;col=7&amp;number=0&amp;sourceID=14","0")</f>
        <v>0</v>
      </c>
    </row>
    <row r="4692" spans="1:7">
      <c r="A4692" s="3">
        <v>12</v>
      </c>
      <c r="B4692" s="3">
        <v>4</v>
      </c>
      <c r="C4692" s="3">
        <v>104</v>
      </c>
      <c r="D4692" s="3">
        <v>20</v>
      </c>
      <c r="E4692" s="3">
        <v>159.672</v>
      </c>
      <c r="F4692" s="4" t="str">
        <f>HYPERLINK("http://141.218.60.56/~jnz1568/getInfo.php?workbook=12_04.xlsx&amp;sheet=A0&amp;row=4692&amp;col=6&amp;number=2004000000&amp;sourceID=14","2004000000")</f>
        <v>2004000000</v>
      </c>
      <c r="G4692" s="4" t="str">
        <f>HYPERLINK("http://141.218.60.56/~jnz1568/getInfo.php?workbook=12_04.xlsx&amp;sheet=A0&amp;row=4692&amp;col=7&amp;number=0&amp;sourceID=14","0")</f>
        <v>0</v>
      </c>
    </row>
    <row r="4693" spans="1:7">
      <c r="A4693" s="3">
        <v>12</v>
      </c>
      <c r="B4693" s="3">
        <v>4</v>
      </c>
      <c r="C4693" s="3">
        <v>105</v>
      </c>
      <c r="D4693" s="3">
        <v>20</v>
      </c>
      <c r="E4693" s="3">
        <v>-159.701</v>
      </c>
      <c r="F4693" s="4" t="str">
        <f>HYPERLINK("http://141.218.60.56/~jnz1568/getInfo.php?workbook=12_04.xlsx&amp;sheet=A0&amp;row=4693&amp;col=6&amp;number=6.05&amp;sourceID=14","6.05")</f>
        <v>6.05</v>
      </c>
      <c r="G4693" s="4" t="str">
        <f>HYPERLINK("http://141.218.60.56/~jnz1568/getInfo.php?workbook=12_04.xlsx&amp;sheet=A0&amp;row=4693&amp;col=7&amp;number=0&amp;sourceID=14","0")</f>
        <v>0</v>
      </c>
    </row>
    <row r="4694" spans="1:7">
      <c r="A4694" s="3">
        <v>12</v>
      </c>
      <c r="B4694" s="3">
        <v>4</v>
      </c>
      <c r="C4694" s="3">
        <v>106</v>
      </c>
      <c r="D4694" s="3">
        <v>20</v>
      </c>
      <c r="E4694" s="3">
        <v>158.641</v>
      </c>
      <c r="F4694" s="4" t="str">
        <f>HYPERLINK("http://141.218.60.56/~jnz1568/getInfo.php?workbook=12_04.xlsx&amp;sheet=A0&amp;row=4694&amp;col=6&amp;number=7.825&amp;sourceID=14","7.825")</f>
        <v>7.825</v>
      </c>
      <c r="G4694" s="4" t="str">
        <f>HYPERLINK("http://141.218.60.56/~jnz1568/getInfo.php?workbook=12_04.xlsx&amp;sheet=A0&amp;row=4694&amp;col=7&amp;number=0&amp;sourceID=14","0")</f>
        <v>0</v>
      </c>
    </row>
    <row r="4695" spans="1:7">
      <c r="A4695" s="3">
        <v>12</v>
      </c>
      <c r="B4695" s="3">
        <v>4</v>
      </c>
      <c r="C4695" s="3">
        <v>107</v>
      </c>
      <c r="D4695" s="3">
        <v>20</v>
      </c>
      <c r="E4695" s="3">
        <v>158.637</v>
      </c>
      <c r="F4695" s="4" t="str">
        <f>HYPERLINK("http://141.218.60.56/~jnz1568/getInfo.php?workbook=12_04.xlsx&amp;sheet=A0&amp;row=4695&amp;col=6&amp;number=3.331&amp;sourceID=14","3.331")</f>
        <v>3.331</v>
      </c>
      <c r="G4695" s="4" t="str">
        <f>HYPERLINK("http://141.218.60.56/~jnz1568/getInfo.php?workbook=12_04.xlsx&amp;sheet=A0&amp;row=4695&amp;col=7&amp;number=0&amp;sourceID=14","0")</f>
        <v>0</v>
      </c>
    </row>
    <row r="4696" spans="1:7">
      <c r="A4696" s="3">
        <v>12</v>
      </c>
      <c r="B4696" s="3">
        <v>4</v>
      </c>
      <c r="C4696" s="3">
        <v>108</v>
      </c>
      <c r="D4696" s="3">
        <v>20</v>
      </c>
      <c r="E4696" s="3">
        <v>157.778</v>
      </c>
      <c r="F4696" s="4" t="str">
        <f>HYPERLINK("http://141.218.60.56/~jnz1568/getInfo.php?workbook=12_04.xlsx&amp;sheet=A0&amp;row=4696&amp;col=6&amp;number=481700&amp;sourceID=14","481700")</f>
        <v>481700</v>
      </c>
      <c r="G4696" s="4" t="str">
        <f>HYPERLINK("http://141.218.60.56/~jnz1568/getInfo.php?workbook=12_04.xlsx&amp;sheet=A0&amp;row=4696&amp;col=7&amp;number=0&amp;sourceID=14","0")</f>
        <v>0</v>
      </c>
    </row>
    <row r="4697" spans="1:7">
      <c r="A4697" s="3">
        <v>12</v>
      </c>
      <c r="B4697" s="3">
        <v>4</v>
      </c>
      <c r="C4697" s="3">
        <v>99</v>
      </c>
      <c r="D4697" s="3">
        <v>21</v>
      </c>
      <c r="E4697" s="3">
        <v>-180.095</v>
      </c>
      <c r="F4697" s="4" t="str">
        <f>HYPERLINK("http://141.218.60.56/~jnz1568/getInfo.php?workbook=12_04.xlsx&amp;sheet=A0&amp;row=4697&amp;col=6&amp;number=31200000&amp;sourceID=14","31200000")</f>
        <v>31200000</v>
      </c>
      <c r="G4697" s="4" t="str">
        <f>HYPERLINK("http://141.218.60.56/~jnz1568/getInfo.php?workbook=12_04.xlsx&amp;sheet=A0&amp;row=4697&amp;col=7&amp;number=0&amp;sourceID=14","0")</f>
        <v>0</v>
      </c>
    </row>
    <row r="4698" spans="1:7">
      <c r="A4698" s="3">
        <v>12</v>
      </c>
      <c r="B4698" s="3">
        <v>4</v>
      </c>
      <c r="C4698" s="3">
        <v>101</v>
      </c>
      <c r="D4698" s="3">
        <v>21</v>
      </c>
      <c r="E4698" s="3">
        <v>-176.433</v>
      </c>
      <c r="F4698" s="4" t="str">
        <f>HYPERLINK("http://141.218.60.56/~jnz1568/getInfo.php?workbook=12_04.xlsx&amp;sheet=A0&amp;row=4698&amp;col=6&amp;number=0.0004354&amp;sourceID=14","0.0004354")</f>
        <v>0.0004354</v>
      </c>
      <c r="G4698" s="4" t="str">
        <f>HYPERLINK("http://141.218.60.56/~jnz1568/getInfo.php?workbook=12_04.xlsx&amp;sheet=A0&amp;row=4698&amp;col=7&amp;number=0&amp;sourceID=14","0")</f>
        <v>0</v>
      </c>
    </row>
    <row r="4699" spans="1:7">
      <c r="A4699" s="3">
        <v>12</v>
      </c>
      <c r="B4699" s="3">
        <v>4</v>
      </c>
      <c r="C4699" s="3">
        <v>102</v>
      </c>
      <c r="D4699" s="3">
        <v>21</v>
      </c>
      <c r="E4699" s="3">
        <v>-176.4</v>
      </c>
      <c r="F4699" s="4" t="str">
        <f>HYPERLINK("http://141.218.60.56/~jnz1568/getInfo.php?workbook=12_04.xlsx&amp;sheet=A0&amp;row=4699&amp;col=6&amp;number=8343&amp;sourceID=14","8343")</f>
        <v>8343</v>
      </c>
      <c r="G4699" s="4" t="str">
        <f>HYPERLINK("http://141.218.60.56/~jnz1568/getInfo.php?workbook=12_04.xlsx&amp;sheet=A0&amp;row=4699&amp;col=7&amp;number=0&amp;sourceID=14","0")</f>
        <v>0</v>
      </c>
    </row>
    <row r="4700" spans="1:7">
      <c r="A4700" s="3">
        <v>12</v>
      </c>
      <c r="B4700" s="3">
        <v>4</v>
      </c>
      <c r="C4700" s="3">
        <v>104</v>
      </c>
      <c r="D4700" s="3">
        <v>21</v>
      </c>
      <c r="E4700" s="3">
        <v>175.216</v>
      </c>
      <c r="F4700" s="4" t="str">
        <f>HYPERLINK("http://141.218.60.56/~jnz1568/getInfo.php?workbook=12_04.xlsx&amp;sheet=A0&amp;row=4700&amp;col=6&amp;number=0.008099&amp;sourceID=14","0.008099")</f>
        <v>0.008099</v>
      </c>
      <c r="G4700" s="4" t="str">
        <f>HYPERLINK("http://141.218.60.56/~jnz1568/getInfo.php?workbook=12_04.xlsx&amp;sheet=A0&amp;row=4700&amp;col=7&amp;number=0&amp;sourceID=14","0")</f>
        <v>0</v>
      </c>
    </row>
    <row r="4701" spans="1:7">
      <c r="A4701" s="3">
        <v>12</v>
      </c>
      <c r="B4701" s="3">
        <v>4</v>
      </c>
      <c r="C4701" s="3">
        <v>105</v>
      </c>
      <c r="D4701" s="3">
        <v>21</v>
      </c>
      <c r="E4701" s="3">
        <v>-174.525</v>
      </c>
      <c r="F4701" s="4" t="str">
        <f>HYPERLINK("http://141.218.60.56/~jnz1568/getInfo.php?workbook=12_04.xlsx&amp;sheet=A0&amp;row=4701&amp;col=6&amp;number=15990000&amp;sourceID=14","15990000")</f>
        <v>15990000</v>
      </c>
      <c r="G4701" s="4" t="str">
        <f>HYPERLINK("http://141.218.60.56/~jnz1568/getInfo.php?workbook=12_04.xlsx&amp;sheet=A0&amp;row=4701&amp;col=7&amp;number=0&amp;sourceID=14","0")</f>
        <v>0</v>
      </c>
    </row>
    <row r="4702" spans="1:7">
      <c r="A4702" s="3">
        <v>12</v>
      </c>
      <c r="B4702" s="3">
        <v>4</v>
      </c>
      <c r="C4702" s="3">
        <v>99</v>
      </c>
      <c r="D4702" s="3">
        <v>22</v>
      </c>
      <c r="E4702" s="3">
        <v>-180.481</v>
      </c>
      <c r="F4702" s="4" t="str">
        <f>HYPERLINK("http://141.218.60.56/~jnz1568/getInfo.php?workbook=12_04.xlsx&amp;sheet=A0&amp;row=4702&amp;col=6&amp;number=103500000&amp;sourceID=14","103500000")</f>
        <v>103500000</v>
      </c>
      <c r="G4702" s="4" t="str">
        <f>HYPERLINK("http://141.218.60.56/~jnz1568/getInfo.php?workbook=12_04.xlsx&amp;sheet=A0&amp;row=4702&amp;col=7&amp;number=0&amp;sourceID=14","0")</f>
        <v>0</v>
      </c>
    </row>
    <row r="4703" spans="1:7">
      <c r="A4703" s="3">
        <v>12</v>
      </c>
      <c r="B4703" s="3">
        <v>4</v>
      </c>
      <c r="C4703" s="3">
        <v>100</v>
      </c>
      <c r="D4703" s="3">
        <v>22</v>
      </c>
      <c r="E4703" s="3">
        <v>-176.817</v>
      </c>
      <c r="F4703" s="4" t="str">
        <f>HYPERLINK("http://141.218.60.56/~jnz1568/getInfo.php?workbook=12_04.xlsx&amp;sheet=A0&amp;row=4703&amp;col=6&amp;number=0.003555&amp;sourceID=14","0.003555")</f>
        <v>0.003555</v>
      </c>
      <c r="G4703" s="4" t="str">
        <f>HYPERLINK("http://141.218.60.56/~jnz1568/getInfo.php?workbook=12_04.xlsx&amp;sheet=A0&amp;row=4703&amp;col=7&amp;number=0&amp;sourceID=14","0")</f>
        <v>0</v>
      </c>
    </row>
    <row r="4704" spans="1:7">
      <c r="A4704" s="3">
        <v>12</v>
      </c>
      <c r="B4704" s="3">
        <v>4</v>
      </c>
      <c r="C4704" s="3">
        <v>101</v>
      </c>
      <c r="D4704" s="3">
        <v>22</v>
      </c>
      <c r="E4704" s="3">
        <v>-176.803</v>
      </c>
      <c r="F4704" s="4" t="str">
        <f>HYPERLINK("http://141.218.60.56/~jnz1568/getInfo.php?workbook=12_04.xlsx&amp;sheet=A0&amp;row=4704&amp;col=6&amp;number=11730&amp;sourceID=14","11730")</f>
        <v>11730</v>
      </c>
      <c r="G4704" s="4" t="str">
        <f>HYPERLINK("http://141.218.60.56/~jnz1568/getInfo.php?workbook=12_04.xlsx&amp;sheet=A0&amp;row=4704&amp;col=7&amp;number=0&amp;sourceID=14","0")</f>
        <v>0</v>
      </c>
    </row>
    <row r="4705" spans="1:7">
      <c r="A4705" s="3">
        <v>12</v>
      </c>
      <c r="B4705" s="3">
        <v>4</v>
      </c>
      <c r="C4705" s="3">
        <v>102</v>
      </c>
      <c r="D4705" s="3">
        <v>22</v>
      </c>
      <c r="E4705" s="3">
        <v>-176.77</v>
      </c>
      <c r="F4705" s="4" t="str">
        <f>HYPERLINK("http://141.218.60.56/~jnz1568/getInfo.php?workbook=12_04.xlsx&amp;sheet=A0&amp;row=4705&amp;col=6&amp;number=20740&amp;sourceID=14","20740")</f>
        <v>20740</v>
      </c>
      <c r="G4705" s="4" t="str">
        <f>HYPERLINK("http://141.218.60.56/~jnz1568/getInfo.php?workbook=12_04.xlsx&amp;sheet=A0&amp;row=4705&amp;col=7&amp;number=0&amp;sourceID=14","0")</f>
        <v>0</v>
      </c>
    </row>
    <row r="4706" spans="1:7">
      <c r="A4706" s="3">
        <v>12</v>
      </c>
      <c r="B4706" s="3">
        <v>4</v>
      </c>
      <c r="C4706" s="3">
        <v>103</v>
      </c>
      <c r="D4706" s="3">
        <v>22</v>
      </c>
      <c r="E4706" s="3">
        <v>-177.244</v>
      </c>
      <c r="F4706" s="4" t="str">
        <f>HYPERLINK("http://141.218.60.56/~jnz1568/getInfo.php?workbook=12_04.xlsx&amp;sheet=A0&amp;row=4706&amp;col=6&amp;number=3717000&amp;sourceID=14","3717000")</f>
        <v>3717000</v>
      </c>
      <c r="G4706" s="4" t="str">
        <f>HYPERLINK("http://141.218.60.56/~jnz1568/getInfo.php?workbook=12_04.xlsx&amp;sheet=A0&amp;row=4706&amp;col=7&amp;number=0&amp;sourceID=14","0")</f>
        <v>0</v>
      </c>
    </row>
    <row r="4707" spans="1:7">
      <c r="A4707" s="3">
        <v>12</v>
      </c>
      <c r="B4707" s="3">
        <v>4</v>
      </c>
      <c r="C4707" s="3">
        <v>104</v>
      </c>
      <c r="D4707" s="3">
        <v>22</v>
      </c>
      <c r="E4707" s="3">
        <v>175.557</v>
      </c>
      <c r="F4707" s="4" t="str">
        <f>HYPERLINK("http://141.218.60.56/~jnz1568/getInfo.php?workbook=12_04.xlsx&amp;sheet=A0&amp;row=4707&amp;col=6&amp;number=525.3&amp;sourceID=14","525.3")</f>
        <v>525.3</v>
      </c>
      <c r="G4707" s="4" t="str">
        <f>HYPERLINK("http://141.218.60.56/~jnz1568/getInfo.php?workbook=12_04.xlsx&amp;sheet=A0&amp;row=4707&amp;col=7&amp;number=0&amp;sourceID=14","0")</f>
        <v>0</v>
      </c>
    </row>
    <row r="4708" spans="1:7">
      <c r="A4708" s="3">
        <v>12</v>
      </c>
      <c r="B4708" s="3">
        <v>4</v>
      </c>
      <c r="C4708" s="3">
        <v>105</v>
      </c>
      <c r="D4708" s="3">
        <v>22</v>
      </c>
      <c r="E4708" s="3">
        <v>-174.887</v>
      </c>
      <c r="F4708" s="4" t="str">
        <f>HYPERLINK("http://141.218.60.56/~jnz1568/getInfo.php?workbook=12_04.xlsx&amp;sheet=A0&amp;row=4708&amp;col=6&amp;number=11840000&amp;sourceID=14","11840000")</f>
        <v>11840000</v>
      </c>
      <c r="G4708" s="4" t="str">
        <f>HYPERLINK("http://141.218.60.56/~jnz1568/getInfo.php?workbook=12_04.xlsx&amp;sheet=A0&amp;row=4708&amp;col=7&amp;number=0&amp;sourceID=14","0")</f>
        <v>0</v>
      </c>
    </row>
    <row r="4709" spans="1:7">
      <c r="A4709" s="3">
        <v>12</v>
      </c>
      <c r="B4709" s="3">
        <v>4</v>
      </c>
      <c r="C4709" s="3">
        <v>106</v>
      </c>
      <c r="D4709" s="3">
        <v>22</v>
      </c>
      <c r="E4709" s="3">
        <v>174.311</v>
      </c>
      <c r="F4709" s="4" t="str">
        <f>HYPERLINK("http://141.218.60.56/~jnz1568/getInfo.php?workbook=12_04.xlsx&amp;sheet=A0&amp;row=4709&amp;col=6&amp;number=21430000&amp;sourceID=14","21430000")</f>
        <v>21430000</v>
      </c>
      <c r="G4709" s="4" t="str">
        <f>HYPERLINK("http://141.218.60.56/~jnz1568/getInfo.php?workbook=12_04.xlsx&amp;sheet=A0&amp;row=4709&amp;col=7&amp;number=0&amp;sourceID=14","0")</f>
        <v>0</v>
      </c>
    </row>
    <row r="4710" spans="1:7">
      <c r="A4710" s="3">
        <v>12</v>
      </c>
      <c r="B4710" s="3">
        <v>4</v>
      </c>
      <c r="C4710" s="3">
        <v>108</v>
      </c>
      <c r="D4710" s="3">
        <v>22</v>
      </c>
      <c r="E4710" s="3">
        <v>173.271</v>
      </c>
      <c r="F4710" s="4" t="str">
        <f>HYPERLINK("http://141.218.60.56/~jnz1568/getInfo.php?workbook=12_04.xlsx&amp;sheet=A0&amp;row=4710&amp;col=6&amp;number=13380000&amp;sourceID=14","13380000")</f>
        <v>13380000</v>
      </c>
      <c r="G4710" s="4" t="str">
        <f>HYPERLINK("http://141.218.60.56/~jnz1568/getInfo.php?workbook=12_04.xlsx&amp;sheet=A0&amp;row=4710&amp;col=7&amp;number=0&amp;sourceID=14","0")</f>
        <v>0</v>
      </c>
    </row>
    <row r="4711" spans="1:7">
      <c r="A4711" s="3">
        <v>12</v>
      </c>
      <c r="B4711" s="3">
        <v>4</v>
      </c>
      <c r="C4711" s="3">
        <v>99</v>
      </c>
      <c r="D4711" s="3">
        <v>23</v>
      </c>
      <c r="E4711" s="3">
        <v>-181.358</v>
      </c>
      <c r="F4711" s="4" t="str">
        <f>HYPERLINK("http://141.218.60.56/~jnz1568/getInfo.php?workbook=12_04.xlsx&amp;sheet=A0&amp;row=4711&amp;col=6&amp;number=213300000&amp;sourceID=14","213300000")</f>
        <v>213300000</v>
      </c>
      <c r="G4711" s="4" t="str">
        <f>HYPERLINK("http://141.218.60.56/~jnz1568/getInfo.php?workbook=12_04.xlsx&amp;sheet=A0&amp;row=4711&amp;col=7&amp;number=0&amp;sourceID=14","0")</f>
        <v>0</v>
      </c>
    </row>
    <row r="4712" spans="1:7">
      <c r="A4712" s="3">
        <v>12</v>
      </c>
      <c r="B4712" s="3">
        <v>4</v>
      </c>
      <c r="C4712" s="3">
        <v>100</v>
      </c>
      <c r="D4712" s="3">
        <v>23</v>
      </c>
      <c r="E4712" s="3">
        <v>-177.66</v>
      </c>
      <c r="F4712" s="4" t="str">
        <f>HYPERLINK("http://141.218.60.56/~jnz1568/getInfo.php?workbook=12_04.xlsx&amp;sheet=A0&amp;row=4712&amp;col=6&amp;number=57040&amp;sourceID=14","57040")</f>
        <v>57040</v>
      </c>
      <c r="G4712" s="4" t="str">
        <f>HYPERLINK("http://141.218.60.56/~jnz1568/getInfo.php?workbook=12_04.xlsx&amp;sheet=A0&amp;row=4712&amp;col=7&amp;number=0&amp;sourceID=14","0")</f>
        <v>0</v>
      </c>
    </row>
    <row r="4713" spans="1:7">
      <c r="A4713" s="3">
        <v>12</v>
      </c>
      <c r="B4713" s="3">
        <v>4</v>
      </c>
      <c r="C4713" s="3">
        <v>101</v>
      </c>
      <c r="D4713" s="3">
        <v>23</v>
      </c>
      <c r="E4713" s="3">
        <v>-177.645</v>
      </c>
      <c r="F4713" s="4" t="str">
        <f>HYPERLINK("http://141.218.60.56/~jnz1568/getInfo.php?workbook=12_04.xlsx&amp;sheet=A0&amp;row=4713&amp;col=6&amp;number=42730&amp;sourceID=14","42730")</f>
        <v>42730</v>
      </c>
      <c r="G4713" s="4" t="str">
        <f>HYPERLINK("http://141.218.60.56/~jnz1568/getInfo.php?workbook=12_04.xlsx&amp;sheet=A0&amp;row=4713&amp;col=7&amp;number=0&amp;sourceID=14","0")</f>
        <v>0</v>
      </c>
    </row>
    <row r="4714" spans="1:7">
      <c r="A4714" s="3">
        <v>12</v>
      </c>
      <c r="B4714" s="3">
        <v>4</v>
      </c>
      <c r="C4714" s="3">
        <v>102</v>
      </c>
      <c r="D4714" s="3">
        <v>23</v>
      </c>
      <c r="E4714" s="3">
        <v>-177.612</v>
      </c>
      <c r="F4714" s="4" t="str">
        <f>HYPERLINK("http://141.218.60.56/~jnz1568/getInfo.php?workbook=12_04.xlsx&amp;sheet=A0&amp;row=4714&amp;col=6&amp;number=19950&amp;sourceID=14","19950")</f>
        <v>19950</v>
      </c>
      <c r="G4714" s="4" t="str">
        <f>HYPERLINK("http://141.218.60.56/~jnz1568/getInfo.php?workbook=12_04.xlsx&amp;sheet=A0&amp;row=4714&amp;col=7&amp;number=0&amp;sourceID=14","0")</f>
        <v>0</v>
      </c>
    </row>
    <row r="4715" spans="1:7">
      <c r="A4715" s="3">
        <v>12</v>
      </c>
      <c r="B4715" s="3">
        <v>4</v>
      </c>
      <c r="C4715" s="3">
        <v>104</v>
      </c>
      <c r="D4715" s="3">
        <v>23</v>
      </c>
      <c r="E4715" s="3">
        <v>176.378</v>
      </c>
      <c r="F4715" s="4" t="str">
        <f>HYPERLINK("http://141.218.60.56/~jnz1568/getInfo.php?workbook=12_04.xlsx&amp;sheet=A0&amp;row=4715&amp;col=6&amp;number=51.37&amp;sourceID=14","51.37")</f>
        <v>51.37</v>
      </c>
      <c r="G4715" s="4" t="str">
        <f>HYPERLINK("http://141.218.60.56/~jnz1568/getInfo.php?workbook=12_04.xlsx&amp;sheet=A0&amp;row=4715&amp;col=7&amp;number=0&amp;sourceID=14","0")</f>
        <v>0</v>
      </c>
    </row>
    <row r="4716" spans="1:7">
      <c r="A4716" s="3">
        <v>12</v>
      </c>
      <c r="B4716" s="3">
        <v>4</v>
      </c>
      <c r="C4716" s="3">
        <v>105</v>
      </c>
      <c r="D4716" s="3">
        <v>23</v>
      </c>
      <c r="E4716" s="3">
        <v>-175.711</v>
      </c>
      <c r="F4716" s="4" t="str">
        <f>HYPERLINK("http://141.218.60.56/~jnz1568/getInfo.php?workbook=12_04.xlsx&amp;sheet=A0&amp;row=4716&amp;col=6&amp;number=760400&amp;sourceID=14","760400")</f>
        <v>760400</v>
      </c>
      <c r="G4716" s="4" t="str">
        <f>HYPERLINK("http://141.218.60.56/~jnz1568/getInfo.php?workbook=12_04.xlsx&amp;sheet=A0&amp;row=4716&amp;col=7&amp;number=0&amp;sourceID=14","0")</f>
        <v>0</v>
      </c>
    </row>
    <row r="4717" spans="1:7">
      <c r="A4717" s="3">
        <v>12</v>
      </c>
      <c r="B4717" s="3">
        <v>4</v>
      </c>
      <c r="C4717" s="3">
        <v>106</v>
      </c>
      <c r="D4717" s="3">
        <v>23</v>
      </c>
      <c r="E4717" s="3">
        <v>175.12</v>
      </c>
      <c r="F4717" s="4" t="str">
        <f>HYPERLINK("http://141.218.60.56/~jnz1568/getInfo.php?workbook=12_04.xlsx&amp;sheet=A0&amp;row=4717&amp;col=6&amp;number=6965000&amp;sourceID=14","6965000")</f>
        <v>6965000</v>
      </c>
      <c r="G4717" s="4" t="str">
        <f>HYPERLINK("http://141.218.60.56/~jnz1568/getInfo.php?workbook=12_04.xlsx&amp;sheet=A0&amp;row=4717&amp;col=7&amp;number=0&amp;sourceID=14","0")</f>
        <v>0</v>
      </c>
    </row>
    <row r="4718" spans="1:7">
      <c r="A4718" s="3">
        <v>12</v>
      </c>
      <c r="B4718" s="3">
        <v>4</v>
      </c>
      <c r="C4718" s="3">
        <v>107</v>
      </c>
      <c r="D4718" s="3">
        <v>23</v>
      </c>
      <c r="E4718" s="3">
        <v>175.115</v>
      </c>
      <c r="F4718" s="4" t="str">
        <f>HYPERLINK("http://141.218.60.56/~jnz1568/getInfo.php?workbook=12_04.xlsx&amp;sheet=A0&amp;row=4718&amp;col=6&amp;number=28290000&amp;sourceID=14","28290000")</f>
        <v>28290000</v>
      </c>
      <c r="G4718" s="4" t="str">
        <f>HYPERLINK("http://141.218.60.56/~jnz1568/getInfo.php?workbook=12_04.xlsx&amp;sheet=A0&amp;row=4718&amp;col=7&amp;number=0&amp;sourceID=14","0")</f>
        <v>0</v>
      </c>
    </row>
    <row r="4719" spans="1:7">
      <c r="A4719" s="3">
        <v>12</v>
      </c>
      <c r="B4719" s="3">
        <v>4</v>
      </c>
      <c r="C4719" s="3">
        <v>108</v>
      </c>
      <c r="D4719" s="3">
        <v>23</v>
      </c>
      <c r="E4719" s="3">
        <v>174.07</v>
      </c>
      <c r="F4719" s="4" t="str">
        <f>HYPERLINK("http://141.218.60.56/~jnz1568/getInfo.php?workbook=12_04.xlsx&amp;sheet=A0&amp;row=4719&amp;col=6&amp;number=179.9&amp;sourceID=14","179.9")</f>
        <v>179.9</v>
      </c>
      <c r="G4719" s="4" t="str">
        <f>HYPERLINK("http://141.218.60.56/~jnz1568/getInfo.php?workbook=12_04.xlsx&amp;sheet=A0&amp;row=4719&amp;col=7&amp;number=0&amp;sourceID=14","0")</f>
        <v>0</v>
      </c>
    </row>
    <row r="4720" spans="1:7">
      <c r="A4720" s="3">
        <v>12</v>
      </c>
      <c r="B4720" s="3">
        <v>4</v>
      </c>
      <c r="C4720" s="3">
        <v>99</v>
      </c>
      <c r="D4720" s="3">
        <v>24</v>
      </c>
      <c r="E4720" s="3">
        <v>-190.33</v>
      </c>
      <c r="F4720" s="4" t="str">
        <f>HYPERLINK("http://141.218.60.56/~jnz1568/getInfo.php?workbook=12_04.xlsx&amp;sheet=A0&amp;row=4720&amp;col=6&amp;number=1485000&amp;sourceID=14","1485000")</f>
        <v>1485000</v>
      </c>
      <c r="G4720" s="4" t="str">
        <f>HYPERLINK("http://141.218.60.56/~jnz1568/getInfo.php?workbook=12_04.xlsx&amp;sheet=A0&amp;row=4720&amp;col=7&amp;number=0&amp;sourceID=14","0")</f>
        <v>0</v>
      </c>
    </row>
    <row r="4721" spans="1:7">
      <c r="A4721" s="3">
        <v>12</v>
      </c>
      <c r="B4721" s="3">
        <v>4</v>
      </c>
      <c r="C4721" s="3">
        <v>100</v>
      </c>
      <c r="D4721" s="3">
        <v>24</v>
      </c>
      <c r="E4721" s="3">
        <v>-186.26</v>
      </c>
      <c r="F4721" s="4" t="str">
        <f>HYPERLINK("http://141.218.60.56/~jnz1568/getInfo.php?workbook=12_04.xlsx&amp;sheet=A0&amp;row=4721&amp;col=6&amp;number=0.147&amp;sourceID=14","0.147")</f>
        <v>0.147</v>
      </c>
      <c r="G4721" s="4" t="str">
        <f>HYPERLINK("http://141.218.60.56/~jnz1568/getInfo.php?workbook=12_04.xlsx&amp;sheet=A0&amp;row=4721&amp;col=7&amp;number=0&amp;sourceID=14","0")</f>
        <v>0</v>
      </c>
    </row>
    <row r="4722" spans="1:7">
      <c r="A4722" s="3">
        <v>12</v>
      </c>
      <c r="B4722" s="3">
        <v>4</v>
      </c>
      <c r="C4722" s="3">
        <v>101</v>
      </c>
      <c r="D4722" s="3">
        <v>24</v>
      </c>
      <c r="E4722" s="3">
        <v>-186.244</v>
      </c>
      <c r="F4722" s="4" t="str">
        <f>HYPERLINK("http://141.218.60.56/~jnz1568/getInfo.php?workbook=12_04.xlsx&amp;sheet=A0&amp;row=4722&amp;col=6&amp;number=117.2&amp;sourceID=14","117.2")</f>
        <v>117.2</v>
      </c>
      <c r="G4722" s="4" t="str">
        <f>HYPERLINK("http://141.218.60.56/~jnz1568/getInfo.php?workbook=12_04.xlsx&amp;sheet=A0&amp;row=4722&amp;col=7&amp;number=0&amp;sourceID=14","0")</f>
        <v>0</v>
      </c>
    </row>
    <row r="4723" spans="1:7">
      <c r="A4723" s="3">
        <v>12</v>
      </c>
      <c r="B4723" s="3">
        <v>4</v>
      </c>
      <c r="C4723" s="3">
        <v>102</v>
      </c>
      <c r="D4723" s="3">
        <v>24</v>
      </c>
      <c r="E4723" s="3">
        <v>-186.208</v>
      </c>
      <c r="F4723" s="4" t="str">
        <f>HYPERLINK("http://141.218.60.56/~jnz1568/getInfo.php?workbook=12_04.xlsx&amp;sheet=A0&amp;row=4723&amp;col=6&amp;number=257.5&amp;sourceID=14","257.5")</f>
        <v>257.5</v>
      </c>
      <c r="G4723" s="4" t="str">
        <f>HYPERLINK("http://141.218.60.56/~jnz1568/getInfo.php?workbook=12_04.xlsx&amp;sheet=A0&amp;row=4723&amp;col=7&amp;number=0&amp;sourceID=14","0")</f>
        <v>0</v>
      </c>
    </row>
    <row r="4724" spans="1:7">
      <c r="A4724" s="3">
        <v>12</v>
      </c>
      <c r="B4724" s="3">
        <v>4</v>
      </c>
      <c r="C4724" s="3">
        <v>103</v>
      </c>
      <c r="D4724" s="3">
        <v>24</v>
      </c>
      <c r="E4724" s="3">
        <v>-186.733</v>
      </c>
      <c r="F4724" s="4" t="str">
        <f>HYPERLINK("http://141.218.60.56/~jnz1568/getInfo.php?workbook=12_04.xlsx&amp;sheet=A0&amp;row=4724&amp;col=6&amp;number=5702000000&amp;sourceID=14","5702000000")</f>
        <v>5702000000</v>
      </c>
      <c r="G4724" s="4" t="str">
        <f>HYPERLINK("http://141.218.60.56/~jnz1568/getInfo.php?workbook=12_04.xlsx&amp;sheet=A0&amp;row=4724&amp;col=7&amp;number=0&amp;sourceID=14","0")</f>
        <v>0</v>
      </c>
    </row>
    <row r="4725" spans="1:7">
      <c r="A4725" s="3">
        <v>12</v>
      </c>
      <c r="B4725" s="3">
        <v>4</v>
      </c>
      <c r="C4725" s="3">
        <v>104</v>
      </c>
      <c r="D4725" s="3">
        <v>24</v>
      </c>
      <c r="E4725" s="3">
        <v>185.934</v>
      </c>
      <c r="F4725" s="4" t="str">
        <f>HYPERLINK("http://141.218.60.56/~jnz1568/getInfo.php?workbook=12_04.xlsx&amp;sheet=A0&amp;row=4725&amp;col=6&amp;number=473200&amp;sourceID=14","473200")</f>
        <v>473200</v>
      </c>
      <c r="G4725" s="4" t="str">
        <f>HYPERLINK("http://141.218.60.56/~jnz1568/getInfo.php?workbook=12_04.xlsx&amp;sheet=A0&amp;row=4725&amp;col=7&amp;number=0&amp;sourceID=14","0")</f>
        <v>0</v>
      </c>
    </row>
    <row r="4726" spans="1:7">
      <c r="A4726" s="3">
        <v>12</v>
      </c>
      <c r="B4726" s="3">
        <v>4</v>
      </c>
      <c r="C4726" s="3">
        <v>105</v>
      </c>
      <c r="D4726" s="3">
        <v>24</v>
      </c>
      <c r="E4726" s="3">
        <v>-184.119</v>
      </c>
      <c r="F4726" s="4" t="str">
        <f>HYPERLINK("http://141.218.60.56/~jnz1568/getInfo.php?workbook=12_04.xlsx&amp;sheet=A0&amp;row=4726&amp;col=6&amp;number=4028&amp;sourceID=14","4028")</f>
        <v>4028</v>
      </c>
      <c r="G4726" s="4" t="str">
        <f>HYPERLINK("http://141.218.60.56/~jnz1568/getInfo.php?workbook=12_04.xlsx&amp;sheet=A0&amp;row=4726&amp;col=7&amp;number=0&amp;sourceID=14","0")</f>
        <v>0</v>
      </c>
    </row>
    <row r="4727" spans="1:7">
      <c r="A4727" s="3">
        <v>12</v>
      </c>
      <c r="B4727" s="3">
        <v>4</v>
      </c>
      <c r="C4727" s="3">
        <v>106</v>
      </c>
      <c r="D4727" s="3">
        <v>24</v>
      </c>
      <c r="E4727" s="3">
        <v>184.537</v>
      </c>
      <c r="F4727" s="4" t="str">
        <f>HYPERLINK("http://141.218.60.56/~jnz1568/getInfo.php?workbook=12_04.xlsx&amp;sheet=A0&amp;row=4727&amp;col=6&amp;number=169200&amp;sourceID=14","169200")</f>
        <v>169200</v>
      </c>
      <c r="G4727" s="4" t="str">
        <f>HYPERLINK("http://141.218.60.56/~jnz1568/getInfo.php?workbook=12_04.xlsx&amp;sheet=A0&amp;row=4727&amp;col=7&amp;number=0&amp;sourceID=14","0")</f>
        <v>0</v>
      </c>
    </row>
    <row r="4728" spans="1:7">
      <c r="A4728" s="3">
        <v>12</v>
      </c>
      <c r="B4728" s="3">
        <v>4</v>
      </c>
      <c r="C4728" s="3">
        <v>108</v>
      </c>
      <c r="D4728" s="3">
        <v>24</v>
      </c>
      <c r="E4728" s="3">
        <v>183.371</v>
      </c>
      <c r="F4728" s="4" t="str">
        <f>HYPERLINK("http://141.218.60.56/~jnz1568/getInfo.php?workbook=12_04.xlsx&amp;sheet=A0&amp;row=4728&amp;col=6&amp;number=2183000000&amp;sourceID=14","2183000000")</f>
        <v>2183000000</v>
      </c>
      <c r="G4728" s="4" t="str">
        <f>HYPERLINK("http://141.218.60.56/~jnz1568/getInfo.php?workbook=12_04.xlsx&amp;sheet=A0&amp;row=4728&amp;col=7&amp;number=0&amp;sourceID=14","0")</f>
        <v>0</v>
      </c>
    </row>
    <row r="4729" spans="1:7">
      <c r="A4729" s="3">
        <v>12</v>
      </c>
      <c r="B4729" s="3">
        <v>4</v>
      </c>
      <c r="C4729" s="3">
        <v>99</v>
      </c>
      <c r="D4729" s="3">
        <v>25</v>
      </c>
      <c r="E4729" s="3">
        <v>-193.32</v>
      </c>
      <c r="F4729" s="4" t="str">
        <f>HYPERLINK("http://141.218.60.56/~jnz1568/getInfo.php?workbook=12_04.xlsx&amp;sheet=A0&amp;row=4729&amp;col=6&amp;number=108.1&amp;sourceID=14","108.1")</f>
        <v>108.1</v>
      </c>
      <c r="G4729" s="4" t="str">
        <f>HYPERLINK("http://141.218.60.56/~jnz1568/getInfo.php?workbook=12_04.xlsx&amp;sheet=A0&amp;row=4729&amp;col=7&amp;number=0&amp;sourceID=14","0")</f>
        <v>0</v>
      </c>
    </row>
    <row r="4730" spans="1:7">
      <c r="A4730" s="3">
        <v>12</v>
      </c>
      <c r="B4730" s="3">
        <v>4</v>
      </c>
      <c r="C4730" s="3">
        <v>100</v>
      </c>
      <c r="D4730" s="3">
        <v>25</v>
      </c>
      <c r="E4730" s="3">
        <v>-189.123</v>
      </c>
      <c r="F4730" s="4" t="str">
        <f>HYPERLINK("http://141.218.60.56/~jnz1568/getInfo.php?workbook=12_04.xlsx&amp;sheet=A0&amp;row=4730&amp;col=6&amp;number=1739000&amp;sourceID=14","1739000")</f>
        <v>1739000</v>
      </c>
      <c r="G4730" s="4" t="str">
        <f>HYPERLINK("http://141.218.60.56/~jnz1568/getInfo.php?workbook=12_04.xlsx&amp;sheet=A0&amp;row=4730&amp;col=7&amp;number=0&amp;sourceID=14","0")</f>
        <v>0</v>
      </c>
    </row>
    <row r="4731" spans="1:7">
      <c r="A4731" s="3">
        <v>12</v>
      </c>
      <c r="B4731" s="3">
        <v>4</v>
      </c>
      <c r="C4731" s="3">
        <v>101</v>
      </c>
      <c r="D4731" s="3">
        <v>25</v>
      </c>
      <c r="E4731" s="3">
        <v>-189.106</v>
      </c>
      <c r="F4731" s="4" t="str">
        <f>HYPERLINK("http://141.218.60.56/~jnz1568/getInfo.php?workbook=12_04.xlsx&amp;sheet=A0&amp;row=4731&amp;col=6&amp;number=4830000&amp;sourceID=14","4830000")</f>
        <v>4830000</v>
      </c>
      <c r="G4731" s="4" t="str">
        <f>HYPERLINK("http://141.218.60.56/~jnz1568/getInfo.php?workbook=12_04.xlsx&amp;sheet=A0&amp;row=4731&amp;col=7&amp;number=0&amp;sourceID=14","0")</f>
        <v>0</v>
      </c>
    </row>
    <row r="4732" spans="1:7">
      <c r="A4732" s="3">
        <v>12</v>
      </c>
      <c r="B4732" s="3">
        <v>4</v>
      </c>
      <c r="C4732" s="3">
        <v>102</v>
      </c>
      <c r="D4732" s="3">
        <v>25</v>
      </c>
      <c r="E4732" s="3">
        <v>-189.068</v>
      </c>
      <c r="F4732" s="4" t="str">
        <f>HYPERLINK("http://141.218.60.56/~jnz1568/getInfo.php?workbook=12_04.xlsx&amp;sheet=A0&amp;row=4732&amp;col=6&amp;number=2282000&amp;sourceID=14","2282000")</f>
        <v>2282000</v>
      </c>
      <c r="G4732" s="4" t="str">
        <f>HYPERLINK("http://141.218.60.56/~jnz1568/getInfo.php?workbook=12_04.xlsx&amp;sheet=A0&amp;row=4732&amp;col=7&amp;number=0&amp;sourceID=14","0")</f>
        <v>0</v>
      </c>
    </row>
    <row r="4733" spans="1:7">
      <c r="A4733" s="3">
        <v>12</v>
      </c>
      <c r="B4733" s="3">
        <v>4</v>
      </c>
      <c r="C4733" s="3">
        <v>103</v>
      </c>
      <c r="D4733" s="3">
        <v>25</v>
      </c>
      <c r="E4733" s="3">
        <v>-189.611</v>
      </c>
      <c r="F4733" s="4" t="str">
        <f>HYPERLINK("http://141.218.60.56/~jnz1568/getInfo.php?workbook=12_04.xlsx&amp;sheet=A0&amp;row=4733&amp;col=6&amp;number=0.0002839&amp;sourceID=14","0.0002839")</f>
        <v>0.0002839</v>
      </c>
      <c r="G4733" s="4" t="str">
        <f>HYPERLINK("http://141.218.60.56/~jnz1568/getInfo.php?workbook=12_04.xlsx&amp;sheet=A0&amp;row=4733&amp;col=7&amp;number=0&amp;sourceID=14","0")</f>
        <v>0</v>
      </c>
    </row>
    <row r="4734" spans="1:7">
      <c r="A4734" s="3">
        <v>12</v>
      </c>
      <c r="B4734" s="3">
        <v>4</v>
      </c>
      <c r="C4734" s="3">
        <v>104</v>
      </c>
      <c r="D4734" s="3">
        <v>25</v>
      </c>
      <c r="E4734" s="3">
        <v>187.707</v>
      </c>
      <c r="F4734" s="4" t="str">
        <f>HYPERLINK("http://141.218.60.56/~jnz1568/getInfo.php?workbook=12_04.xlsx&amp;sheet=A0&amp;row=4734&amp;col=6&amp;number=345500000&amp;sourceID=14","345500000")</f>
        <v>345500000</v>
      </c>
      <c r="G4734" s="4" t="str">
        <f>HYPERLINK("http://141.218.60.56/~jnz1568/getInfo.php?workbook=12_04.xlsx&amp;sheet=A0&amp;row=4734&amp;col=7&amp;number=0&amp;sourceID=14","0")</f>
        <v>0</v>
      </c>
    </row>
    <row r="4735" spans="1:7">
      <c r="A4735" s="3">
        <v>12</v>
      </c>
      <c r="B4735" s="3">
        <v>4</v>
      </c>
      <c r="C4735" s="3">
        <v>105</v>
      </c>
      <c r="D4735" s="3">
        <v>25</v>
      </c>
      <c r="E4735" s="3">
        <v>-186.916</v>
      </c>
      <c r="F4735" s="4" t="str">
        <f>HYPERLINK("http://141.218.60.56/~jnz1568/getInfo.php?workbook=12_04.xlsx&amp;sheet=A0&amp;row=4735&amp;col=6&amp;number=58.71&amp;sourceID=14","58.71")</f>
        <v>58.71</v>
      </c>
      <c r="G4735" s="4" t="str">
        <f>HYPERLINK("http://141.218.60.56/~jnz1568/getInfo.php?workbook=12_04.xlsx&amp;sheet=A0&amp;row=4735&amp;col=7&amp;number=0&amp;sourceID=14","0")</f>
        <v>0</v>
      </c>
    </row>
    <row r="4736" spans="1:7">
      <c r="A4736" s="3">
        <v>12</v>
      </c>
      <c r="B4736" s="3">
        <v>4</v>
      </c>
      <c r="C4736" s="3">
        <v>106</v>
      </c>
      <c r="D4736" s="3">
        <v>25</v>
      </c>
      <c r="E4736" s="3">
        <v>186.284</v>
      </c>
      <c r="F4736" s="4" t="str">
        <f>HYPERLINK("http://141.218.60.56/~jnz1568/getInfo.php?workbook=12_04.xlsx&amp;sheet=A0&amp;row=4736&amp;col=6&amp;number=91.09&amp;sourceID=14","91.09")</f>
        <v>91.09</v>
      </c>
      <c r="G4736" s="4" t="str">
        <f>HYPERLINK("http://141.218.60.56/~jnz1568/getInfo.php?workbook=12_04.xlsx&amp;sheet=A0&amp;row=4736&amp;col=7&amp;number=0&amp;sourceID=14","0")</f>
        <v>0</v>
      </c>
    </row>
    <row r="4737" spans="1:7">
      <c r="A4737" s="3">
        <v>12</v>
      </c>
      <c r="B4737" s="3">
        <v>4</v>
      </c>
      <c r="C4737" s="3">
        <v>107</v>
      </c>
      <c r="D4737" s="3">
        <v>25</v>
      </c>
      <c r="E4737" s="3">
        <v>186.278</v>
      </c>
      <c r="F4737" s="4" t="str">
        <f>HYPERLINK("http://141.218.60.56/~jnz1568/getInfo.php?workbook=12_04.xlsx&amp;sheet=A0&amp;row=4737&amp;col=6&amp;number=72.11&amp;sourceID=14","72.11")</f>
        <v>72.11</v>
      </c>
      <c r="G4737" s="4" t="str">
        <f>HYPERLINK("http://141.218.60.56/~jnz1568/getInfo.php?workbook=12_04.xlsx&amp;sheet=A0&amp;row=4737&amp;col=7&amp;number=0&amp;sourceID=14","0")</f>
        <v>0</v>
      </c>
    </row>
    <row r="4738" spans="1:7">
      <c r="A4738" s="3">
        <v>12</v>
      </c>
      <c r="B4738" s="3">
        <v>4</v>
      </c>
      <c r="C4738" s="3">
        <v>108</v>
      </c>
      <c r="D4738" s="3">
        <v>25</v>
      </c>
      <c r="E4738" s="3">
        <v>185.095</v>
      </c>
      <c r="F4738" s="4" t="str">
        <f>HYPERLINK("http://141.218.60.56/~jnz1568/getInfo.php?workbook=12_04.xlsx&amp;sheet=A0&amp;row=4738&amp;col=6&amp;number=5998&amp;sourceID=14","5998")</f>
        <v>5998</v>
      </c>
      <c r="G4738" s="4" t="str">
        <f>HYPERLINK("http://141.218.60.56/~jnz1568/getInfo.php?workbook=12_04.xlsx&amp;sheet=A0&amp;row=4738&amp;col=7&amp;number=0&amp;sourceID=14","0")</f>
        <v>0</v>
      </c>
    </row>
    <row r="4739" spans="1:7">
      <c r="A4739" s="3">
        <v>12</v>
      </c>
      <c r="B4739" s="3">
        <v>4</v>
      </c>
      <c r="C4739" s="3">
        <v>99</v>
      </c>
      <c r="D4739" s="3">
        <v>26</v>
      </c>
      <c r="E4739" s="3">
        <v>-196.152</v>
      </c>
      <c r="F4739" s="4" t="str">
        <f>HYPERLINK("http://141.218.60.56/~jnz1568/getInfo.php?workbook=12_04.xlsx&amp;sheet=A0&amp;row=4739&amp;col=6&amp;number=4646&amp;sourceID=14","4646")</f>
        <v>4646</v>
      </c>
      <c r="G4739" s="4" t="str">
        <f>HYPERLINK("http://141.218.60.56/~jnz1568/getInfo.php?workbook=12_04.xlsx&amp;sheet=A0&amp;row=4739&amp;col=7&amp;number=0&amp;sourceID=14","0")</f>
        <v>0</v>
      </c>
    </row>
    <row r="4740" spans="1:7">
      <c r="A4740" s="3">
        <v>12</v>
      </c>
      <c r="B4740" s="3">
        <v>4</v>
      </c>
      <c r="C4740" s="3">
        <v>100</v>
      </c>
      <c r="D4740" s="3">
        <v>26</v>
      </c>
      <c r="E4740" s="3">
        <v>-191.833</v>
      </c>
      <c r="F4740" s="4" t="str">
        <f>HYPERLINK("http://141.218.60.56/~jnz1568/getInfo.php?workbook=12_04.xlsx&amp;sheet=A0&amp;row=4740&amp;col=6&amp;number=11780000&amp;sourceID=14","11780000")</f>
        <v>11780000</v>
      </c>
      <c r="G4740" s="4" t="str">
        <f>HYPERLINK("http://141.218.60.56/~jnz1568/getInfo.php?workbook=12_04.xlsx&amp;sheet=A0&amp;row=4740&amp;col=7&amp;number=0&amp;sourceID=14","0")</f>
        <v>0</v>
      </c>
    </row>
    <row r="4741" spans="1:7">
      <c r="A4741" s="3">
        <v>12</v>
      </c>
      <c r="B4741" s="3">
        <v>4</v>
      </c>
      <c r="C4741" s="3">
        <v>101</v>
      </c>
      <c r="D4741" s="3">
        <v>26</v>
      </c>
      <c r="E4741" s="3">
        <v>-191.816</v>
      </c>
      <c r="F4741" s="4" t="str">
        <f>HYPERLINK("http://141.218.60.56/~jnz1568/getInfo.php?workbook=12_04.xlsx&amp;sheet=A0&amp;row=4741&amp;col=6&amp;number=419100&amp;sourceID=14","419100")</f>
        <v>419100</v>
      </c>
      <c r="G4741" s="4" t="str">
        <f>HYPERLINK("http://141.218.60.56/~jnz1568/getInfo.php?workbook=12_04.xlsx&amp;sheet=A0&amp;row=4741&amp;col=7&amp;number=0&amp;sourceID=14","0")</f>
        <v>0</v>
      </c>
    </row>
    <row r="4742" spans="1:7">
      <c r="A4742" s="3">
        <v>12</v>
      </c>
      <c r="B4742" s="3">
        <v>4</v>
      </c>
      <c r="C4742" s="3">
        <v>102</v>
      </c>
      <c r="D4742" s="3">
        <v>26</v>
      </c>
      <c r="E4742" s="3">
        <v>-191.777</v>
      </c>
      <c r="F4742" s="4" t="str">
        <f>HYPERLINK("http://141.218.60.56/~jnz1568/getInfo.php?workbook=12_04.xlsx&amp;sheet=A0&amp;row=4742&amp;col=6&amp;number=729600&amp;sourceID=14","729600")</f>
        <v>729600</v>
      </c>
      <c r="G4742" s="4" t="str">
        <f>HYPERLINK("http://141.218.60.56/~jnz1568/getInfo.php?workbook=12_04.xlsx&amp;sheet=A0&amp;row=4742&amp;col=7&amp;number=0&amp;sourceID=14","0")</f>
        <v>0</v>
      </c>
    </row>
    <row r="4743" spans="1:7">
      <c r="A4743" s="3">
        <v>12</v>
      </c>
      <c r="B4743" s="3">
        <v>4</v>
      </c>
      <c r="C4743" s="3">
        <v>103</v>
      </c>
      <c r="D4743" s="3">
        <v>26</v>
      </c>
      <c r="E4743" s="3">
        <v>-192.335</v>
      </c>
      <c r="F4743" s="4" t="str">
        <f>HYPERLINK("http://141.218.60.56/~jnz1568/getInfo.php?workbook=12_04.xlsx&amp;sheet=A0&amp;row=4743&amp;col=6&amp;number=0.001027&amp;sourceID=14","0.001027")</f>
        <v>0.001027</v>
      </c>
      <c r="G4743" s="4" t="str">
        <f>HYPERLINK("http://141.218.60.56/~jnz1568/getInfo.php?workbook=12_04.xlsx&amp;sheet=A0&amp;row=4743&amp;col=7&amp;number=0&amp;sourceID=14","0")</f>
        <v>0</v>
      </c>
    </row>
    <row r="4744" spans="1:7">
      <c r="A4744" s="3">
        <v>12</v>
      </c>
      <c r="B4744" s="3">
        <v>4</v>
      </c>
      <c r="C4744" s="3">
        <v>104</v>
      </c>
      <c r="D4744" s="3">
        <v>26</v>
      </c>
      <c r="E4744" s="3">
        <v>190.333</v>
      </c>
      <c r="F4744" s="4" t="str">
        <f>HYPERLINK("http://141.218.60.56/~jnz1568/getInfo.php?workbook=12_04.xlsx&amp;sheet=A0&amp;row=4744&amp;col=6&amp;number=22270000&amp;sourceID=14","22270000")</f>
        <v>22270000</v>
      </c>
      <c r="G4744" s="4" t="str">
        <f>HYPERLINK("http://141.218.60.56/~jnz1568/getInfo.php?workbook=12_04.xlsx&amp;sheet=A0&amp;row=4744&amp;col=7&amp;number=0&amp;sourceID=14","0")</f>
        <v>0</v>
      </c>
    </row>
    <row r="4745" spans="1:7">
      <c r="A4745" s="3">
        <v>12</v>
      </c>
      <c r="B4745" s="3">
        <v>4</v>
      </c>
      <c r="C4745" s="3">
        <v>105</v>
      </c>
      <c r="D4745" s="3">
        <v>26</v>
      </c>
      <c r="E4745" s="3">
        <v>-189.563</v>
      </c>
      <c r="F4745" s="4" t="str">
        <f>HYPERLINK("http://141.218.60.56/~jnz1568/getInfo.php?workbook=12_04.xlsx&amp;sheet=A0&amp;row=4745&amp;col=6&amp;number=164&amp;sourceID=14","164")</f>
        <v>164</v>
      </c>
      <c r="G4745" s="4" t="str">
        <f>HYPERLINK("http://141.218.60.56/~jnz1568/getInfo.php?workbook=12_04.xlsx&amp;sheet=A0&amp;row=4745&amp;col=7&amp;number=0&amp;sourceID=14","0")</f>
        <v>0</v>
      </c>
    </row>
    <row r="4746" spans="1:7">
      <c r="A4746" s="3">
        <v>12</v>
      </c>
      <c r="B4746" s="3">
        <v>4</v>
      </c>
      <c r="C4746" s="3">
        <v>106</v>
      </c>
      <c r="D4746" s="3">
        <v>26</v>
      </c>
      <c r="E4746" s="3">
        <v>188.869</v>
      </c>
      <c r="F4746" s="4" t="str">
        <f>HYPERLINK("http://141.218.60.56/~jnz1568/getInfo.php?workbook=12_04.xlsx&amp;sheet=A0&amp;row=4746&amp;col=6&amp;number=46.09&amp;sourceID=14","46.09")</f>
        <v>46.09</v>
      </c>
      <c r="G4746" s="4" t="str">
        <f>HYPERLINK("http://141.218.60.56/~jnz1568/getInfo.php?workbook=12_04.xlsx&amp;sheet=A0&amp;row=4746&amp;col=7&amp;number=0&amp;sourceID=14","0")</f>
        <v>0</v>
      </c>
    </row>
    <row r="4747" spans="1:7">
      <c r="A4747" s="3">
        <v>12</v>
      </c>
      <c r="B4747" s="3">
        <v>4</v>
      </c>
      <c r="C4747" s="3">
        <v>107</v>
      </c>
      <c r="D4747" s="3">
        <v>26</v>
      </c>
      <c r="E4747" s="3">
        <v>188.864</v>
      </c>
      <c r="F4747" s="4" t="str">
        <f>HYPERLINK("http://141.218.60.56/~jnz1568/getInfo.php?workbook=12_04.xlsx&amp;sheet=A0&amp;row=4747&amp;col=6&amp;number=34.32&amp;sourceID=14","34.32")</f>
        <v>34.32</v>
      </c>
      <c r="G4747" s="4" t="str">
        <f>HYPERLINK("http://141.218.60.56/~jnz1568/getInfo.php?workbook=12_04.xlsx&amp;sheet=A0&amp;row=4747&amp;col=7&amp;number=0&amp;sourceID=14","0")</f>
        <v>0</v>
      </c>
    </row>
    <row r="4748" spans="1:7">
      <c r="A4748" s="3">
        <v>12</v>
      </c>
      <c r="B4748" s="3">
        <v>4</v>
      </c>
      <c r="C4748" s="3">
        <v>108</v>
      </c>
      <c r="D4748" s="3">
        <v>26</v>
      </c>
      <c r="E4748" s="3">
        <v>187.648</v>
      </c>
      <c r="F4748" s="4" t="str">
        <f>HYPERLINK("http://141.218.60.56/~jnz1568/getInfo.php?workbook=12_04.xlsx&amp;sheet=A0&amp;row=4748&amp;col=6&amp;number=307.8&amp;sourceID=14","307.8")</f>
        <v>307.8</v>
      </c>
      <c r="G4748" s="4" t="str">
        <f>HYPERLINK("http://141.218.60.56/~jnz1568/getInfo.php?workbook=12_04.xlsx&amp;sheet=A0&amp;row=4748&amp;col=7&amp;number=0&amp;sourceID=14","0")</f>
        <v>0</v>
      </c>
    </row>
    <row r="4749" spans="1:7">
      <c r="A4749" s="3">
        <v>12</v>
      </c>
      <c r="B4749" s="3">
        <v>4</v>
      </c>
      <c r="C4749" s="3">
        <v>99</v>
      </c>
      <c r="D4749" s="3">
        <v>27</v>
      </c>
      <c r="E4749" s="3">
        <v>-196.639</v>
      </c>
      <c r="F4749" s="4" t="str">
        <f>HYPERLINK("http://141.218.60.56/~jnz1568/getInfo.php?workbook=12_04.xlsx&amp;sheet=A0&amp;row=4749&amp;col=6&amp;number=8925&amp;sourceID=14","8925")</f>
        <v>8925</v>
      </c>
      <c r="G4749" s="4" t="str">
        <f>HYPERLINK("http://141.218.60.56/~jnz1568/getInfo.php?workbook=12_04.xlsx&amp;sheet=A0&amp;row=4749&amp;col=7&amp;number=0&amp;sourceID=14","0")</f>
        <v>0</v>
      </c>
    </row>
    <row r="4750" spans="1:7">
      <c r="A4750" s="3">
        <v>12</v>
      </c>
      <c r="B4750" s="3">
        <v>4</v>
      </c>
      <c r="C4750" s="3">
        <v>101</v>
      </c>
      <c r="D4750" s="3">
        <v>27</v>
      </c>
      <c r="E4750" s="3">
        <v>-192.281</v>
      </c>
      <c r="F4750" s="4" t="str">
        <f>HYPERLINK("http://141.218.60.56/~jnz1568/getInfo.php?workbook=12_04.xlsx&amp;sheet=A0&amp;row=4750&amp;col=6&amp;number=7272000&amp;sourceID=14","7272000")</f>
        <v>7272000</v>
      </c>
      <c r="G4750" s="4" t="str">
        <f>HYPERLINK("http://141.218.60.56/~jnz1568/getInfo.php?workbook=12_04.xlsx&amp;sheet=A0&amp;row=4750&amp;col=7&amp;number=0&amp;sourceID=14","0")</f>
        <v>0</v>
      </c>
    </row>
    <row r="4751" spans="1:7">
      <c r="A4751" s="3">
        <v>12</v>
      </c>
      <c r="B4751" s="3">
        <v>4</v>
      </c>
      <c r="C4751" s="3">
        <v>102</v>
      </c>
      <c r="D4751" s="3">
        <v>27</v>
      </c>
      <c r="E4751" s="3">
        <v>-192.242</v>
      </c>
      <c r="F4751" s="4" t="str">
        <f>HYPERLINK("http://141.218.60.56/~jnz1568/getInfo.php?workbook=12_04.xlsx&amp;sheet=A0&amp;row=4751&amp;col=6&amp;number=1280000&amp;sourceID=14","1280000")</f>
        <v>1280000</v>
      </c>
      <c r="G4751" s="4" t="str">
        <f>HYPERLINK("http://141.218.60.56/~jnz1568/getInfo.php?workbook=12_04.xlsx&amp;sheet=A0&amp;row=4751&amp;col=7&amp;number=0&amp;sourceID=14","0")</f>
        <v>0</v>
      </c>
    </row>
    <row r="4752" spans="1:7">
      <c r="A4752" s="3">
        <v>12</v>
      </c>
      <c r="B4752" s="3">
        <v>4</v>
      </c>
      <c r="C4752" s="3">
        <v>103</v>
      </c>
      <c r="D4752" s="3">
        <v>27</v>
      </c>
      <c r="E4752" s="3">
        <v>-192.803</v>
      </c>
      <c r="F4752" s="4" t="str">
        <f>HYPERLINK("http://141.218.60.56/~jnz1568/getInfo.php?workbook=12_04.xlsx&amp;sheet=A0&amp;row=4752&amp;col=6&amp;number=223.5&amp;sourceID=14","223.5")</f>
        <v>223.5</v>
      </c>
      <c r="G4752" s="4" t="str">
        <f>HYPERLINK("http://141.218.60.56/~jnz1568/getInfo.php?workbook=12_04.xlsx&amp;sheet=A0&amp;row=4752&amp;col=7&amp;number=0&amp;sourceID=14","0")</f>
        <v>0</v>
      </c>
    </row>
    <row r="4753" spans="1:7">
      <c r="A4753" s="3">
        <v>12</v>
      </c>
      <c r="B4753" s="3">
        <v>4</v>
      </c>
      <c r="C4753" s="3">
        <v>104</v>
      </c>
      <c r="D4753" s="3">
        <v>27</v>
      </c>
      <c r="E4753" s="3">
        <v>190.696</v>
      </c>
      <c r="F4753" s="4" t="str">
        <f>HYPERLINK("http://141.218.60.56/~jnz1568/getInfo.php?workbook=12_04.xlsx&amp;sheet=A0&amp;row=4753&amp;col=6&amp;number=144300&amp;sourceID=14","144300")</f>
        <v>144300</v>
      </c>
      <c r="G4753" s="4" t="str">
        <f>HYPERLINK("http://141.218.60.56/~jnz1568/getInfo.php?workbook=12_04.xlsx&amp;sheet=A0&amp;row=4753&amp;col=7&amp;number=0&amp;sourceID=14","0")</f>
        <v>0</v>
      </c>
    </row>
    <row r="4754" spans="1:7">
      <c r="A4754" s="3">
        <v>12</v>
      </c>
      <c r="B4754" s="3">
        <v>4</v>
      </c>
      <c r="C4754" s="3">
        <v>105</v>
      </c>
      <c r="D4754" s="3">
        <v>27</v>
      </c>
      <c r="E4754" s="3">
        <v>-190.017</v>
      </c>
      <c r="F4754" s="4" t="str">
        <f>HYPERLINK("http://141.218.60.56/~jnz1568/getInfo.php?workbook=12_04.xlsx&amp;sheet=A0&amp;row=4754&amp;col=6&amp;number=175.7&amp;sourceID=14","175.7")</f>
        <v>175.7</v>
      </c>
      <c r="G4754" s="4" t="str">
        <f>HYPERLINK("http://141.218.60.56/~jnz1568/getInfo.php?workbook=12_04.xlsx&amp;sheet=A0&amp;row=4754&amp;col=7&amp;number=0&amp;sourceID=14","0")</f>
        <v>0</v>
      </c>
    </row>
    <row r="4755" spans="1:7">
      <c r="A4755" s="3">
        <v>12</v>
      </c>
      <c r="B4755" s="3">
        <v>4</v>
      </c>
      <c r="C4755" s="3">
        <v>106</v>
      </c>
      <c r="D4755" s="3">
        <v>27</v>
      </c>
      <c r="E4755" s="3">
        <v>189.227</v>
      </c>
      <c r="F4755" s="4" t="str">
        <f>HYPERLINK("http://141.218.60.56/~jnz1568/getInfo.php?workbook=12_04.xlsx&amp;sheet=A0&amp;row=4755&amp;col=6&amp;number=74.01&amp;sourceID=14","74.01")</f>
        <v>74.01</v>
      </c>
      <c r="G4755" s="4" t="str">
        <f>HYPERLINK("http://141.218.60.56/~jnz1568/getInfo.php?workbook=12_04.xlsx&amp;sheet=A0&amp;row=4755&amp;col=7&amp;number=0&amp;sourceID=14","0")</f>
        <v>0</v>
      </c>
    </row>
    <row r="4756" spans="1:7">
      <c r="A4756" s="3">
        <v>12</v>
      </c>
      <c r="B4756" s="3">
        <v>4</v>
      </c>
      <c r="C4756" s="3">
        <v>107</v>
      </c>
      <c r="D4756" s="3">
        <v>27</v>
      </c>
      <c r="E4756" s="3">
        <v>189.221</v>
      </c>
      <c r="F4756" s="4" t="str">
        <f>HYPERLINK("http://141.218.60.56/~jnz1568/getInfo.php?workbook=12_04.xlsx&amp;sheet=A0&amp;row=4756&amp;col=6&amp;number=84.79&amp;sourceID=14","84.79")</f>
        <v>84.79</v>
      </c>
      <c r="G4756" s="4" t="str">
        <f>HYPERLINK("http://141.218.60.56/~jnz1568/getInfo.php?workbook=12_04.xlsx&amp;sheet=A0&amp;row=4756&amp;col=7&amp;number=0&amp;sourceID=14","0")</f>
        <v>0</v>
      </c>
    </row>
    <row r="4757" spans="1:7">
      <c r="A4757" s="3">
        <v>12</v>
      </c>
      <c r="B4757" s="3">
        <v>4</v>
      </c>
      <c r="C4757" s="3">
        <v>108</v>
      </c>
      <c r="D4757" s="3">
        <v>27</v>
      </c>
      <c r="E4757" s="3">
        <v>188.001</v>
      </c>
      <c r="F4757" s="4" t="str">
        <f>HYPERLINK("http://141.218.60.56/~jnz1568/getInfo.php?workbook=12_04.xlsx&amp;sheet=A0&amp;row=4757&amp;col=6&amp;number=1.007&amp;sourceID=14","1.007")</f>
        <v>1.007</v>
      </c>
      <c r="G4757" s="4" t="str">
        <f>HYPERLINK("http://141.218.60.56/~jnz1568/getInfo.php?workbook=12_04.xlsx&amp;sheet=A0&amp;row=4757&amp;col=7&amp;number=0&amp;sourceID=14","0")</f>
        <v>0</v>
      </c>
    </row>
    <row r="4758" spans="1:7">
      <c r="A4758" s="3">
        <v>12</v>
      </c>
      <c r="B4758" s="3">
        <v>4</v>
      </c>
      <c r="C4758" s="3">
        <v>99</v>
      </c>
      <c r="D4758" s="3">
        <v>28</v>
      </c>
      <c r="E4758" s="3">
        <v>-197.597</v>
      </c>
      <c r="F4758" s="4" t="str">
        <f>HYPERLINK("http://141.218.60.56/~jnz1568/getInfo.php?workbook=12_04.xlsx&amp;sheet=A0&amp;row=4758&amp;col=6&amp;number=15080&amp;sourceID=14","15080")</f>
        <v>15080</v>
      </c>
      <c r="G4758" s="4" t="str">
        <f>HYPERLINK("http://141.218.60.56/~jnz1568/getInfo.php?workbook=12_04.xlsx&amp;sheet=A0&amp;row=4758&amp;col=7&amp;number=0&amp;sourceID=14","0")</f>
        <v>0</v>
      </c>
    </row>
    <row r="4759" spans="1:7">
      <c r="A4759" s="3">
        <v>12</v>
      </c>
      <c r="B4759" s="3">
        <v>4</v>
      </c>
      <c r="C4759" s="3">
        <v>102</v>
      </c>
      <c r="D4759" s="3">
        <v>28</v>
      </c>
      <c r="E4759" s="3">
        <v>-193.158</v>
      </c>
      <c r="F4759" s="4" t="str">
        <f>HYPERLINK("http://141.218.60.56/~jnz1568/getInfo.php?workbook=12_04.xlsx&amp;sheet=A0&amp;row=4759&amp;col=6&amp;number=10320000&amp;sourceID=14","10320000")</f>
        <v>10320000</v>
      </c>
      <c r="G4759" s="4" t="str">
        <f>HYPERLINK("http://141.218.60.56/~jnz1568/getInfo.php?workbook=12_04.xlsx&amp;sheet=A0&amp;row=4759&amp;col=7&amp;number=0&amp;sourceID=14","0")</f>
        <v>0</v>
      </c>
    </row>
    <row r="4760" spans="1:7">
      <c r="A4760" s="3">
        <v>12</v>
      </c>
      <c r="B4760" s="3">
        <v>4</v>
      </c>
      <c r="C4760" s="3">
        <v>105</v>
      </c>
      <c r="D4760" s="3">
        <v>28</v>
      </c>
      <c r="E4760" s="3">
        <v>-190.912</v>
      </c>
      <c r="F4760" s="4" t="str">
        <f>HYPERLINK("http://141.218.60.56/~jnz1568/getInfo.php?workbook=12_04.xlsx&amp;sheet=A0&amp;row=4760&amp;col=6&amp;number=23.61&amp;sourceID=14","23.61")</f>
        <v>23.61</v>
      </c>
      <c r="G4760" s="4" t="str">
        <f>HYPERLINK("http://141.218.60.56/~jnz1568/getInfo.php?workbook=12_04.xlsx&amp;sheet=A0&amp;row=4760&amp;col=7&amp;number=0&amp;sourceID=14","0")</f>
        <v>0</v>
      </c>
    </row>
    <row r="4761" spans="1:7">
      <c r="A4761" s="3">
        <v>12</v>
      </c>
      <c r="B4761" s="3">
        <v>4</v>
      </c>
      <c r="C4761" s="3">
        <v>106</v>
      </c>
      <c r="D4761" s="3">
        <v>28</v>
      </c>
      <c r="E4761" s="3">
        <v>190.126</v>
      </c>
      <c r="F4761" s="4" t="str">
        <f>HYPERLINK("http://141.218.60.56/~jnz1568/getInfo.php?workbook=12_04.xlsx&amp;sheet=A0&amp;row=4761&amp;col=6&amp;number=140.7&amp;sourceID=14","140.7")</f>
        <v>140.7</v>
      </c>
      <c r="G4761" s="4" t="str">
        <f>HYPERLINK("http://141.218.60.56/~jnz1568/getInfo.php?workbook=12_04.xlsx&amp;sheet=A0&amp;row=4761&amp;col=7&amp;number=0&amp;sourceID=14","0")</f>
        <v>0</v>
      </c>
    </row>
    <row r="4762" spans="1:7">
      <c r="A4762" s="3">
        <v>12</v>
      </c>
      <c r="B4762" s="3">
        <v>4</v>
      </c>
      <c r="C4762" s="3">
        <v>107</v>
      </c>
      <c r="D4762" s="3">
        <v>28</v>
      </c>
      <c r="E4762" s="3">
        <v>190.121</v>
      </c>
      <c r="F4762" s="4" t="str">
        <f>HYPERLINK("http://141.218.60.56/~jnz1568/getInfo.php?workbook=12_04.xlsx&amp;sheet=A0&amp;row=4762&amp;col=6&amp;number=234.3&amp;sourceID=14","234.3")</f>
        <v>234.3</v>
      </c>
      <c r="G4762" s="4" t="str">
        <f>HYPERLINK("http://141.218.60.56/~jnz1568/getInfo.php?workbook=12_04.xlsx&amp;sheet=A0&amp;row=4762&amp;col=7&amp;number=0&amp;sourceID=14","0")</f>
        <v>0</v>
      </c>
    </row>
    <row r="4763" spans="1:7">
      <c r="A4763" s="3">
        <v>12</v>
      </c>
      <c r="B4763" s="3">
        <v>4</v>
      </c>
      <c r="C4763" s="3">
        <v>108</v>
      </c>
      <c r="D4763" s="3">
        <v>28</v>
      </c>
      <c r="E4763" s="3">
        <v>188.889</v>
      </c>
      <c r="F4763" s="4" t="str">
        <f>HYPERLINK("http://141.218.60.56/~jnz1568/getInfo.php?workbook=12_04.xlsx&amp;sheet=A0&amp;row=4763&amp;col=6&amp;number=0.002993&amp;sourceID=14","0.002993")</f>
        <v>0.002993</v>
      </c>
      <c r="G4763" s="4" t="str">
        <f>HYPERLINK("http://141.218.60.56/~jnz1568/getInfo.php?workbook=12_04.xlsx&amp;sheet=A0&amp;row=4763&amp;col=7&amp;number=0&amp;sourceID=14","0")</f>
        <v>0</v>
      </c>
    </row>
    <row r="4764" spans="1:7">
      <c r="A4764" s="3">
        <v>12</v>
      </c>
      <c r="B4764" s="3">
        <v>4</v>
      </c>
      <c r="C4764" s="3">
        <v>99</v>
      </c>
      <c r="D4764" s="3">
        <v>29</v>
      </c>
      <c r="E4764" s="3">
        <v>-202.177</v>
      </c>
      <c r="F4764" s="4" t="str">
        <f>HYPERLINK("http://141.218.60.56/~jnz1568/getInfo.php?workbook=12_04.xlsx&amp;sheet=A0&amp;row=4764&amp;col=6&amp;number=1.911&amp;sourceID=14","1.911")</f>
        <v>1.911</v>
      </c>
      <c r="G4764" s="4" t="str">
        <f>HYPERLINK("http://141.218.60.56/~jnz1568/getInfo.php?workbook=12_04.xlsx&amp;sheet=A0&amp;row=4764&amp;col=7&amp;number=0&amp;sourceID=14","0")</f>
        <v>0</v>
      </c>
    </row>
    <row r="4765" spans="1:7">
      <c r="A4765" s="3">
        <v>12</v>
      </c>
      <c r="B4765" s="3">
        <v>4</v>
      </c>
      <c r="C4765" s="3">
        <v>100</v>
      </c>
      <c r="D4765" s="3">
        <v>29</v>
      </c>
      <c r="E4765" s="3">
        <v>-197.591</v>
      </c>
      <c r="F4765" s="4" t="str">
        <f>HYPERLINK("http://141.218.60.56/~jnz1568/getInfo.php?workbook=12_04.xlsx&amp;sheet=A0&amp;row=4765&amp;col=6&amp;number=1394000000&amp;sourceID=14","1394000000")</f>
        <v>1394000000</v>
      </c>
      <c r="G4765" s="4" t="str">
        <f>HYPERLINK("http://141.218.60.56/~jnz1568/getInfo.php?workbook=12_04.xlsx&amp;sheet=A0&amp;row=4765&amp;col=7&amp;number=0&amp;sourceID=14","0")</f>
        <v>0</v>
      </c>
    </row>
    <row r="4766" spans="1:7">
      <c r="A4766" s="3">
        <v>12</v>
      </c>
      <c r="B4766" s="3">
        <v>4</v>
      </c>
      <c r="C4766" s="3">
        <v>101</v>
      </c>
      <c r="D4766" s="3">
        <v>29</v>
      </c>
      <c r="E4766" s="3">
        <v>-197.573</v>
      </c>
      <c r="F4766" s="4" t="str">
        <f>HYPERLINK("http://141.218.60.56/~jnz1568/getInfo.php?workbook=12_04.xlsx&amp;sheet=A0&amp;row=4766&amp;col=6&amp;number=1448000000&amp;sourceID=14","1448000000")</f>
        <v>1448000000</v>
      </c>
      <c r="G4766" s="4" t="str">
        <f>HYPERLINK("http://141.218.60.56/~jnz1568/getInfo.php?workbook=12_04.xlsx&amp;sheet=A0&amp;row=4766&amp;col=7&amp;number=0&amp;sourceID=14","0")</f>
        <v>0</v>
      </c>
    </row>
    <row r="4767" spans="1:7">
      <c r="A4767" s="3">
        <v>12</v>
      </c>
      <c r="B4767" s="3">
        <v>4</v>
      </c>
      <c r="C4767" s="3">
        <v>102</v>
      </c>
      <c r="D4767" s="3">
        <v>29</v>
      </c>
      <c r="E4767" s="3">
        <v>-197.532</v>
      </c>
      <c r="F4767" s="4" t="str">
        <f>HYPERLINK("http://141.218.60.56/~jnz1568/getInfo.php?workbook=12_04.xlsx&amp;sheet=A0&amp;row=4767&amp;col=6&amp;number=1556000000&amp;sourceID=14","1556000000")</f>
        <v>1556000000</v>
      </c>
      <c r="G4767" s="4" t="str">
        <f>HYPERLINK("http://141.218.60.56/~jnz1568/getInfo.php?workbook=12_04.xlsx&amp;sheet=A0&amp;row=4767&amp;col=7&amp;number=0&amp;sourceID=14","0")</f>
        <v>0</v>
      </c>
    </row>
    <row r="4768" spans="1:7">
      <c r="A4768" s="3">
        <v>12</v>
      </c>
      <c r="B4768" s="3">
        <v>4</v>
      </c>
      <c r="C4768" s="3">
        <v>103</v>
      </c>
      <c r="D4768" s="3">
        <v>29</v>
      </c>
      <c r="E4768" s="3">
        <v>-198.124</v>
      </c>
      <c r="F4768" s="4" t="str">
        <f>HYPERLINK("http://141.218.60.56/~jnz1568/getInfo.php?workbook=12_04.xlsx&amp;sheet=A0&amp;row=4768&amp;col=6&amp;number=0.02491&amp;sourceID=14","0.02491")</f>
        <v>0.02491</v>
      </c>
      <c r="G4768" s="4" t="str">
        <f>HYPERLINK("http://141.218.60.56/~jnz1568/getInfo.php?workbook=12_04.xlsx&amp;sheet=A0&amp;row=4768&amp;col=7&amp;number=0&amp;sourceID=14","0")</f>
        <v>0</v>
      </c>
    </row>
    <row r="4769" spans="1:7">
      <c r="A4769" s="3">
        <v>12</v>
      </c>
      <c r="B4769" s="3">
        <v>4</v>
      </c>
      <c r="C4769" s="3">
        <v>104</v>
      </c>
      <c r="D4769" s="3">
        <v>29</v>
      </c>
      <c r="E4769" s="3">
        <v>195.892</v>
      </c>
      <c r="F4769" s="4" t="str">
        <f>HYPERLINK("http://141.218.60.56/~jnz1568/getInfo.php?workbook=12_04.xlsx&amp;sheet=A0&amp;row=4769&amp;col=6&amp;number=12390000&amp;sourceID=14","12390000")</f>
        <v>12390000</v>
      </c>
      <c r="G4769" s="4" t="str">
        <f>HYPERLINK("http://141.218.60.56/~jnz1568/getInfo.php?workbook=12_04.xlsx&amp;sheet=A0&amp;row=4769&amp;col=7&amp;number=0&amp;sourceID=14","0")</f>
        <v>0</v>
      </c>
    </row>
    <row r="4770" spans="1:7">
      <c r="A4770" s="3">
        <v>12</v>
      </c>
      <c r="B4770" s="3">
        <v>4</v>
      </c>
      <c r="C4770" s="3">
        <v>105</v>
      </c>
      <c r="D4770" s="3">
        <v>29</v>
      </c>
      <c r="E4770" s="3">
        <v>-195.184</v>
      </c>
      <c r="F4770" s="4" t="str">
        <f>HYPERLINK("http://141.218.60.56/~jnz1568/getInfo.php?workbook=12_04.xlsx&amp;sheet=A0&amp;row=4770&amp;col=6&amp;number=25930&amp;sourceID=14","25930")</f>
        <v>25930</v>
      </c>
      <c r="G4770" s="4" t="str">
        <f>HYPERLINK("http://141.218.60.56/~jnz1568/getInfo.php?workbook=12_04.xlsx&amp;sheet=A0&amp;row=4770&amp;col=7&amp;number=0&amp;sourceID=14","0")</f>
        <v>0</v>
      </c>
    </row>
    <row r="4771" spans="1:7">
      <c r="A4771" s="3">
        <v>12</v>
      </c>
      <c r="B4771" s="3">
        <v>4</v>
      </c>
      <c r="C4771" s="3">
        <v>106</v>
      </c>
      <c r="D4771" s="3">
        <v>29</v>
      </c>
      <c r="E4771" s="3">
        <v>194.342</v>
      </c>
      <c r="F4771" s="4" t="str">
        <f>HYPERLINK("http://141.218.60.56/~jnz1568/getInfo.php?workbook=12_04.xlsx&amp;sheet=A0&amp;row=4771&amp;col=6&amp;number=26880&amp;sourceID=14","26880")</f>
        <v>26880</v>
      </c>
      <c r="G4771" s="4" t="str">
        <f>HYPERLINK("http://141.218.60.56/~jnz1568/getInfo.php?workbook=12_04.xlsx&amp;sheet=A0&amp;row=4771&amp;col=7&amp;number=0&amp;sourceID=14","0")</f>
        <v>0</v>
      </c>
    </row>
    <row r="4772" spans="1:7">
      <c r="A4772" s="3">
        <v>12</v>
      </c>
      <c r="B4772" s="3">
        <v>4</v>
      </c>
      <c r="C4772" s="3">
        <v>107</v>
      </c>
      <c r="D4772" s="3">
        <v>29</v>
      </c>
      <c r="E4772" s="3">
        <v>194.336</v>
      </c>
      <c r="F4772" s="4" t="str">
        <f>HYPERLINK("http://141.218.60.56/~jnz1568/getInfo.php?workbook=12_04.xlsx&amp;sheet=A0&amp;row=4772&amp;col=6&amp;number=27440&amp;sourceID=14","27440")</f>
        <v>27440</v>
      </c>
      <c r="G4772" s="4" t="str">
        <f>HYPERLINK("http://141.218.60.56/~jnz1568/getInfo.php?workbook=12_04.xlsx&amp;sheet=A0&amp;row=4772&amp;col=7&amp;number=0&amp;sourceID=14","0")</f>
        <v>0</v>
      </c>
    </row>
    <row r="4773" spans="1:7">
      <c r="A4773" s="3">
        <v>12</v>
      </c>
      <c r="B4773" s="3">
        <v>4</v>
      </c>
      <c r="C4773" s="3">
        <v>108</v>
      </c>
      <c r="D4773" s="3">
        <v>29</v>
      </c>
      <c r="E4773" s="3">
        <v>193.049</v>
      </c>
      <c r="F4773" s="4" t="str">
        <f>HYPERLINK("http://141.218.60.56/~jnz1568/getInfo.php?workbook=12_04.xlsx&amp;sheet=A0&amp;row=4773&amp;col=6&amp;number=34.3&amp;sourceID=14","34.3")</f>
        <v>34.3</v>
      </c>
      <c r="G4773" s="4" t="str">
        <f>HYPERLINK("http://141.218.60.56/~jnz1568/getInfo.php?workbook=12_04.xlsx&amp;sheet=A0&amp;row=4773&amp;col=7&amp;number=0&amp;sourceID=14","0")</f>
        <v>0</v>
      </c>
    </row>
    <row r="4774" spans="1:7">
      <c r="A4774" s="3">
        <v>12</v>
      </c>
      <c r="B4774" s="3">
        <v>4</v>
      </c>
      <c r="C4774" s="3">
        <v>99</v>
      </c>
      <c r="D4774" s="3">
        <v>30</v>
      </c>
      <c r="E4774" s="3">
        <v>-205.213</v>
      </c>
      <c r="F4774" s="4" t="str">
        <f>HYPERLINK("http://141.218.60.56/~jnz1568/getInfo.php?workbook=12_04.xlsx&amp;sheet=A0&amp;row=4774&amp;col=6&amp;number=0.008393&amp;sourceID=14","0.008393")</f>
        <v>0.008393</v>
      </c>
      <c r="G4774" s="4" t="str">
        <f>HYPERLINK("http://141.218.60.56/~jnz1568/getInfo.php?workbook=12_04.xlsx&amp;sheet=A0&amp;row=4774&amp;col=7&amp;number=0&amp;sourceID=14","0")</f>
        <v>0</v>
      </c>
    </row>
    <row r="4775" spans="1:7">
      <c r="A4775" s="3">
        <v>12</v>
      </c>
      <c r="B4775" s="3">
        <v>4</v>
      </c>
      <c r="C4775" s="3">
        <v>101</v>
      </c>
      <c r="D4775" s="3">
        <v>30</v>
      </c>
      <c r="E4775" s="3">
        <v>-200.471</v>
      </c>
      <c r="F4775" s="4" t="str">
        <f>HYPERLINK("http://141.218.60.56/~jnz1568/getInfo.php?workbook=12_04.xlsx&amp;sheet=A0&amp;row=4775&amp;col=6&amp;number=112100000&amp;sourceID=14","112100000")</f>
        <v>112100000</v>
      </c>
      <c r="G4775" s="4" t="str">
        <f>HYPERLINK("http://141.218.60.56/~jnz1568/getInfo.php?workbook=12_04.xlsx&amp;sheet=A0&amp;row=4775&amp;col=7&amp;number=0&amp;sourceID=14","0")</f>
        <v>0</v>
      </c>
    </row>
    <row r="4776" spans="1:7">
      <c r="A4776" s="3">
        <v>12</v>
      </c>
      <c r="B4776" s="3">
        <v>4</v>
      </c>
      <c r="C4776" s="3">
        <v>104</v>
      </c>
      <c r="D4776" s="3">
        <v>30</v>
      </c>
      <c r="E4776" s="3">
        <v>-199.249</v>
      </c>
      <c r="F4776" s="4" t="str">
        <f>HYPERLINK("http://141.218.60.56/~jnz1568/getInfo.php?workbook=12_04.xlsx&amp;sheet=A0&amp;row=4776&amp;col=6&amp;number=164300&amp;sourceID=14","164300")</f>
        <v>164300</v>
      </c>
      <c r="G4776" s="4" t="str">
        <f>HYPERLINK("http://141.218.60.56/~jnz1568/getInfo.php?workbook=12_04.xlsx&amp;sheet=A0&amp;row=4776&amp;col=7&amp;number=0&amp;sourceID=14","0")</f>
        <v>0</v>
      </c>
    </row>
    <row r="4777" spans="1:7">
      <c r="A4777" s="3">
        <v>12</v>
      </c>
      <c r="B4777" s="3">
        <v>4</v>
      </c>
      <c r="C4777" s="3">
        <v>105</v>
      </c>
      <c r="D4777" s="3">
        <v>30</v>
      </c>
      <c r="E4777" s="3">
        <v>-198.012</v>
      </c>
      <c r="F4777" s="4" t="str">
        <f>HYPERLINK("http://141.218.60.56/~jnz1568/getInfo.php?workbook=12_04.xlsx&amp;sheet=A0&amp;row=4777&amp;col=6&amp;number=0.0001247&amp;sourceID=14","0.0001247")</f>
        <v>0.0001247</v>
      </c>
      <c r="G4777" s="4" t="str">
        <f>HYPERLINK("http://141.218.60.56/~jnz1568/getInfo.php?workbook=12_04.xlsx&amp;sheet=A0&amp;row=4777&amp;col=7&amp;number=0&amp;sourceID=14","0")</f>
        <v>0</v>
      </c>
    </row>
    <row r="4778" spans="1:7">
      <c r="A4778" s="3">
        <v>12</v>
      </c>
      <c r="B4778" s="3">
        <v>4</v>
      </c>
      <c r="C4778" s="3">
        <v>106</v>
      </c>
      <c r="D4778" s="3">
        <v>30</v>
      </c>
      <c r="E4778" s="3">
        <v>-198.002</v>
      </c>
      <c r="F4778" s="4" t="str">
        <f>HYPERLINK("http://141.218.60.56/~jnz1568/getInfo.php?workbook=12_04.xlsx&amp;sheet=A0&amp;row=4778&amp;col=6&amp;number=408.8&amp;sourceID=14","408.8")</f>
        <v>408.8</v>
      </c>
      <c r="G4778" s="4" t="str">
        <f>HYPERLINK("http://141.218.60.56/~jnz1568/getInfo.php?workbook=12_04.xlsx&amp;sheet=A0&amp;row=4778&amp;col=7&amp;number=0&amp;sourceID=14","0")</f>
        <v>0</v>
      </c>
    </row>
    <row r="4779" spans="1:7">
      <c r="A4779" s="3">
        <v>12</v>
      </c>
      <c r="B4779" s="3">
        <v>4</v>
      </c>
      <c r="C4779" s="3">
        <v>108</v>
      </c>
      <c r="D4779" s="3">
        <v>30</v>
      </c>
      <c r="E4779" s="3">
        <v>-196.404</v>
      </c>
      <c r="F4779" s="4" t="str">
        <f>HYPERLINK("http://141.218.60.56/~jnz1568/getInfo.php?workbook=12_04.xlsx&amp;sheet=A0&amp;row=4779&amp;col=6&amp;number=86.23&amp;sourceID=14","86.23")</f>
        <v>86.23</v>
      </c>
      <c r="G4779" s="4" t="str">
        <f>HYPERLINK("http://141.218.60.56/~jnz1568/getInfo.php?workbook=12_04.xlsx&amp;sheet=A0&amp;row=4779&amp;col=7&amp;number=0&amp;sourceID=14","0")</f>
        <v>0</v>
      </c>
    </row>
    <row r="4780" spans="1:7">
      <c r="A4780" s="3">
        <v>12</v>
      </c>
      <c r="B4780" s="3">
        <v>4</v>
      </c>
      <c r="C4780" s="3">
        <v>99</v>
      </c>
      <c r="D4780" s="3">
        <v>31</v>
      </c>
      <c r="E4780" s="3">
        <v>-205.679</v>
      </c>
      <c r="F4780" s="4" t="str">
        <f>HYPERLINK("http://141.218.60.56/~jnz1568/getInfo.php?workbook=12_04.xlsx&amp;sheet=A0&amp;row=4780&amp;col=6&amp;number=23.17&amp;sourceID=14","23.17")</f>
        <v>23.17</v>
      </c>
      <c r="G4780" s="4" t="str">
        <f>HYPERLINK("http://141.218.60.56/~jnz1568/getInfo.php?workbook=12_04.xlsx&amp;sheet=A0&amp;row=4780&amp;col=7&amp;number=0&amp;sourceID=14","0")</f>
        <v>0</v>
      </c>
    </row>
    <row r="4781" spans="1:7">
      <c r="A4781" s="3">
        <v>12</v>
      </c>
      <c r="B4781" s="3">
        <v>4</v>
      </c>
      <c r="C4781" s="3">
        <v>100</v>
      </c>
      <c r="D4781" s="3">
        <v>31</v>
      </c>
      <c r="E4781" s="3">
        <v>-200.935</v>
      </c>
      <c r="F4781" s="4" t="str">
        <f>HYPERLINK("http://141.218.60.56/~jnz1568/getInfo.php?workbook=12_04.xlsx&amp;sheet=A0&amp;row=4781&amp;col=6&amp;number=636000000&amp;sourceID=14","636000000")</f>
        <v>636000000</v>
      </c>
      <c r="G4781" s="4" t="str">
        <f>HYPERLINK("http://141.218.60.56/~jnz1568/getInfo.php?workbook=12_04.xlsx&amp;sheet=A0&amp;row=4781&amp;col=7&amp;number=0&amp;sourceID=14","0")</f>
        <v>0</v>
      </c>
    </row>
    <row r="4782" spans="1:7">
      <c r="A4782" s="3">
        <v>12</v>
      </c>
      <c r="B4782" s="3">
        <v>4</v>
      </c>
      <c r="C4782" s="3">
        <v>101</v>
      </c>
      <c r="D4782" s="3">
        <v>31</v>
      </c>
      <c r="E4782" s="3">
        <v>-200.916</v>
      </c>
      <c r="F4782" s="4" t="str">
        <f>HYPERLINK("http://141.218.60.56/~jnz1568/getInfo.php?workbook=12_04.xlsx&amp;sheet=A0&amp;row=4782&amp;col=6&amp;number=237500000&amp;sourceID=14","237500000")</f>
        <v>237500000</v>
      </c>
      <c r="G4782" s="4" t="str">
        <f>HYPERLINK("http://141.218.60.56/~jnz1568/getInfo.php?workbook=12_04.xlsx&amp;sheet=A0&amp;row=4782&amp;col=7&amp;number=0&amp;sourceID=14","0")</f>
        <v>0</v>
      </c>
    </row>
    <row r="4783" spans="1:7">
      <c r="A4783" s="3">
        <v>12</v>
      </c>
      <c r="B4783" s="3">
        <v>4</v>
      </c>
      <c r="C4783" s="3">
        <v>102</v>
      </c>
      <c r="D4783" s="3">
        <v>31</v>
      </c>
      <c r="E4783" s="3">
        <v>-200.874</v>
      </c>
      <c r="F4783" s="4" t="str">
        <f>HYPERLINK("http://141.218.60.56/~jnz1568/getInfo.php?workbook=12_04.xlsx&amp;sheet=A0&amp;row=4783&amp;col=6&amp;number=10400000&amp;sourceID=14","10400000")</f>
        <v>10400000</v>
      </c>
      <c r="G4783" s="4" t="str">
        <f>HYPERLINK("http://141.218.60.56/~jnz1568/getInfo.php?workbook=12_04.xlsx&amp;sheet=A0&amp;row=4783&amp;col=7&amp;number=0&amp;sourceID=14","0")</f>
        <v>0</v>
      </c>
    </row>
    <row r="4784" spans="1:7">
      <c r="A4784" s="3">
        <v>12</v>
      </c>
      <c r="B4784" s="3">
        <v>4</v>
      </c>
      <c r="C4784" s="3">
        <v>103</v>
      </c>
      <c r="D4784" s="3">
        <v>31</v>
      </c>
      <c r="E4784" s="3">
        <v>-201.486</v>
      </c>
      <c r="F4784" s="4" t="str">
        <f>HYPERLINK("http://141.218.60.56/~jnz1568/getInfo.php?workbook=12_04.xlsx&amp;sheet=A0&amp;row=4784&amp;col=6&amp;number=2.105&amp;sourceID=14","2.105")</f>
        <v>2.105</v>
      </c>
      <c r="G4784" s="4" t="str">
        <f>HYPERLINK("http://141.218.60.56/~jnz1568/getInfo.php?workbook=12_04.xlsx&amp;sheet=A0&amp;row=4784&amp;col=7&amp;number=0&amp;sourceID=14","0")</f>
        <v>0</v>
      </c>
    </row>
    <row r="4785" spans="1:7">
      <c r="A4785" s="3">
        <v>12</v>
      </c>
      <c r="B4785" s="3">
        <v>4</v>
      </c>
      <c r="C4785" s="3">
        <v>104</v>
      </c>
      <c r="D4785" s="3">
        <v>31</v>
      </c>
      <c r="E4785" s="3">
        <v>199.134</v>
      </c>
      <c r="F4785" s="4" t="str">
        <f>HYPERLINK("http://141.218.60.56/~jnz1568/getInfo.php?workbook=12_04.xlsx&amp;sheet=A0&amp;row=4785&amp;col=6&amp;number=154500&amp;sourceID=14","154500")</f>
        <v>154500</v>
      </c>
      <c r="G4785" s="4" t="str">
        <f>HYPERLINK("http://141.218.60.56/~jnz1568/getInfo.php?workbook=12_04.xlsx&amp;sheet=A0&amp;row=4785&amp;col=7&amp;number=0&amp;sourceID=14","0")</f>
        <v>0</v>
      </c>
    </row>
    <row r="4786" spans="1:7">
      <c r="A4786" s="3">
        <v>12</v>
      </c>
      <c r="B4786" s="3">
        <v>4</v>
      </c>
      <c r="C4786" s="3">
        <v>105</v>
      </c>
      <c r="D4786" s="3">
        <v>31</v>
      </c>
      <c r="E4786" s="3">
        <v>-198.446</v>
      </c>
      <c r="F4786" s="4" t="str">
        <f>HYPERLINK("http://141.218.60.56/~jnz1568/getInfo.php?workbook=12_04.xlsx&amp;sheet=A0&amp;row=4786&amp;col=6&amp;number=2933&amp;sourceID=14","2933")</f>
        <v>2933</v>
      </c>
      <c r="G4786" s="4" t="str">
        <f>HYPERLINK("http://141.218.60.56/~jnz1568/getInfo.php?workbook=12_04.xlsx&amp;sheet=A0&amp;row=4786&amp;col=7&amp;number=0&amp;sourceID=14","0")</f>
        <v>0</v>
      </c>
    </row>
    <row r="4787" spans="1:7">
      <c r="A4787" s="3">
        <v>12</v>
      </c>
      <c r="B4787" s="3">
        <v>4</v>
      </c>
      <c r="C4787" s="3">
        <v>106</v>
      </c>
      <c r="D4787" s="3">
        <v>31</v>
      </c>
      <c r="E4787" s="3">
        <v>197.532</v>
      </c>
      <c r="F4787" s="4" t="str">
        <f>HYPERLINK("http://141.218.60.56/~jnz1568/getInfo.php?workbook=12_04.xlsx&amp;sheet=A0&amp;row=4787&amp;col=6&amp;number=1040&amp;sourceID=14","1040")</f>
        <v>1040</v>
      </c>
      <c r="G4787" s="4" t="str">
        <f>HYPERLINK("http://141.218.60.56/~jnz1568/getInfo.php?workbook=12_04.xlsx&amp;sheet=A0&amp;row=4787&amp;col=7&amp;number=0&amp;sourceID=14","0")</f>
        <v>0</v>
      </c>
    </row>
    <row r="4788" spans="1:7">
      <c r="A4788" s="3">
        <v>12</v>
      </c>
      <c r="B4788" s="3">
        <v>4</v>
      </c>
      <c r="C4788" s="3">
        <v>107</v>
      </c>
      <c r="D4788" s="3">
        <v>31</v>
      </c>
      <c r="E4788" s="3">
        <v>197.526</v>
      </c>
      <c r="F4788" s="4" t="str">
        <f>HYPERLINK("http://141.218.60.56/~jnz1568/getInfo.php?workbook=12_04.xlsx&amp;sheet=A0&amp;row=4788&amp;col=6&amp;number=5.099&amp;sourceID=14","5.099")</f>
        <v>5.099</v>
      </c>
      <c r="G4788" s="4" t="str">
        <f>HYPERLINK("http://141.218.60.56/~jnz1568/getInfo.php?workbook=12_04.xlsx&amp;sheet=A0&amp;row=4788&amp;col=7&amp;number=0&amp;sourceID=14","0")</f>
        <v>0</v>
      </c>
    </row>
    <row r="4789" spans="1:7">
      <c r="A4789" s="3">
        <v>12</v>
      </c>
      <c r="B4789" s="3">
        <v>4</v>
      </c>
      <c r="C4789" s="3">
        <v>108</v>
      </c>
      <c r="D4789" s="3">
        <v>31</v>
      </c>
      <c r="E4789" s="3">
        <v>196.197</v>
      </c>
      <c r="F4789" s="4" t="str">
        <f>HYPERLINK("http://141.218.60.56/~jnz1568/getInfo.php?workbook=12_04.xlsx&amp;sheet=A0&amp;row=4789&amp;col=6&amp;number=7.6&amp;sourceID=14","7.6")</f>
        <v>7.6</v>
      </c>
      <c r="G4789" s="4" t="str">
        <f>HYPERLINK("http://141.218.60.56/~jnz1568/getInfo.php?workbook=12_04.xlsx&amp;sheet=A0&amp;row=4789&amp;col=7&amp;number=0&amp;sourceID=14","0")</f>
        <v>0</v>
      </c>
    </row>
    <row r="4790" spans="1:7">
      <c r="A4790" s="3">
        <v>12</v>
      </c>
      <c r="B4790" s="3">
        <v>4</v>
      </c>
      <c r="C4790" s="3">
        <v>99</v>
      </c>
      <c r="D4790" s="3">
        <v>32</v>
      </c>
      <c r="E4790" s="3">
        <v>-206.29</v>
      </c>
      <c r="F4790" s="4" t="str">
        <f>HYPERLINK("http://141.218.60.56/~jnz1568/getInfo.php?workbook=12_04.xlsx&amp;sheet=A0&amp;row=4790&amp;col=6&amp;number=80.87&amp;sourceID=14","80.87")</f>
        <v>80.87</v>
      </c>
      <c r="G4790" s="4" t="str">
        <f>HYPERLINK("http://141.218.60.56/~jnz1568/getInfo.php?workbook=12_04.xlsx&amp;sheet=A0&amp;row=4790&amp;col=7&amp;number=0&amp;sourceID=14","0")</f>
        <v>0</v>
      </c>
    </row>
    <row r="4791" spans="1:7">
      <c r="A4791" s="3">
        <v>12</v>
      </c>
      <c r="B4791" s="3">
        <v>4</v>
      </c>
      <c r="C4791" s="3">
        <v>101</v>
      </c>
      <c r="D4791" s="3">
        <v>32</v>
      </c>
      <c r="E4791" s="3">
        <v>-201.499</v>
      </c>
      <c r="F4791" s="4" t="str">
        <f>HYPERLINK("http://141.218.60.56/~jnz1568/getInfo.php?workbook=12_04.xlsx&amp;sheet=A0&amp;row=4791&amp;col=6&amp;number=169500000&amp;sourceID=14","169500000")</f>
        <v>169500000</v>
      </c>
      <c r="G4791" s="4" t="str">
        <f>HYPERLINK("http://141.218.60.56/~jnz1568/getInfo.php?workbook=12_04.xlsx&amp;sheet=A0&amp;row=4791&amp;col=7&amp;number=0&amp;sourceID=14","0")</f>
        <v>0</v>
      </c>
    </row>
    <row r="4792" spans="1:7">
      <c r="A4792" s="3">
        <v>12</v>
      </c>
      <c r="B4792" s="3">
        <v>4</v>
      </c>
      <c r="C4792" s="3">
        <v>102</v>
      </c>
      <c r="D4792" s="3">
        <v>32</v>
      </c>
      <c r="E4792" s="3">
        <v>-201.456</v>
      </c>
      <c r="F4792" s="4" t="str">
        <f>HYPERLINK("http://141.218.60.56/~jnz1568/getInfo.php?workbook=12_04.xlsx&amp;sheet=A0&amp;row=4792&amp;col=6&amp;number=283300000&amp;sourceID=14","283300000")</f>
        <v>283300000</v>
      </c>
      <c r="G4792" s="4" t="str">
        <f>HYPERLINK("http://141.218.60.56/~jnz1568/getInfo.php?workbook=12_04.xlsx&amp;sheet=A0&amp;row=4792&amp;col=7&amp;number=0&amp;sourceID=14","0")</f>
        <v>0</v>
      </c>
    </row>
    <row r="4793" spans="1:7">
      <c r="A4793" s="3">
        <v>12</v>
      </c>
      <c r="B4793" s="3">
        <v>4</v>
      </c>
      <c r="C4793" s="3">
        <v>103</v>
      </c>
      <c r="D4793" s="3">
        <v>32</v>
      </c>
      <c r="E4793" s="3">
        <v>-202.072</v>
      </c>
      <c r="F4793" s="4" t="str">
        <f>HYPERLINK("http://141.218.60.56/~jnz1568/getInfo.php?workbook=12_04.xlsx&amp;sheet=A0&amp;row=4793&amp;col=6&amp;number=197.8&amp;sourceID=14","197.8")</f>
        <v>197.8</v>
      </c>
      <c r="G4793" s="4" t="str">
        <f>HYPERLINK("http://141.218.60.56/~jnz1568/getInfo.php?workbook=12_04.xlsx&amp;sheet=A0&amp;row=4793&amp;col=7&amp;number=0&amp;sourceID=14","0")</f>
        <v>0</v>
      </c>
    </row>
    <row r="4794" spans="1:7">
      <c r="A4794" s="3">
        <v>12</v>
      </c>
      <c r="B4794" s="3">
        <v>4</v>
      </c>
      <c r="C4794" s="3">
        <v>104</v>
      </c>
      <c r="D4794" s="3">
        <v>32</v>
      </c>
      <c r="E4794" s="3">
        <v>199.651</v>
      </c>
      <c r="F4794" s="4" t="str">
        <f>HYPERLINK("http://141.218.60.56/~jnz1568/getInfo.php?workbook=12_04.xlsx&amp;sheet=A0&amp;row=4794&amp;col=6&amp;number=99550&amp;sourceID=14","99550")</f>
        <v>99550</v>
      </c>
      <c r="G4794" s="4" t="str">
        <f>HYPERLINK("http://141.218.60.56/~jnz1568/getInfo.php?workbook=12_04.xlsx&amp;sheet=A0&amp;row=4794&amp;col=7&amp;number=0&amp;sourceID=14","0")</f>
        <v>0</v>
      </c>
    </row>
    <row r="4795" spans="1:7">
      <c r="A4795" s="3">
        <v>12</v>
      </c>
      <c r="B4795" s="3">
        <v>4</v>
      </c>
      <c r="C4795" s="3">
        <v>105</v>
      </c>
      <c r="D4795" s="3">
        <v>32</v>
      </c>
      <c r="E4795" s="3">
        <v>-199.014</v>
      </c>
      <c r="F4795" s="4" t="str">
        <f>HYPERLINK("http://141.218.60.56/~jnz1568/getInfo.php?workbook=12_04.xlsx&amp;sheet=A0&amp;row=4795&amp;col=6&amp;number=390.2&amp;sourceID=14","390.2")</f>
        <v>390.2</v>
      </c>
      <c r="G4795" s="4" t="str">
        <f>HYPERLINK("http://141.218.60.56/~jnz1568/getInfo.php?workbook=12_04.xlsx&amp;sheet=A0&amp;row=4795&amp;col=7&amp;number=0&amp;sourceID=14","0")</f>
        <v>0</v>
      </c>
    </row>
    <row r="4796" spans="1:7">
      <c r="A4796" s="3">
        <v>12</v>
      </c>
      <c r="B4796" s="3">
        <v>4</v>
      </c>
      <c r="C4796" s="3">
        <v>106</v>
      </c>
      <c r="D4796" s="3">
        <v>32</v>
      </c>
      <c r="E4796" s="3">
        <v>198.041</v>
      </c>
      <c r="F4796" s="4" t="str">
        <f>HYPERLINK("http://141.218.60.56/~jnz1568/getInfo.php?workbook=12_04.xlsx&amp;sheet=A0&amp;row=4796&amp;col=6&amp;number=848.9&amp;sourceID=14","848.9")</f>
        <v>848.9</v>
      </c>
      <c r="G4796" s="4" t="str">
        <f>HYPERLINK("http://141.218.60.56/~jnz1568/getInfo.php?workbook=12_04.xlsx&amp;sheet=A0&amp;row=4796&amp;col=7&amp;number=0&amp;sourceID=14","0")</f>
        <v>0</v>
      </c>
    </row>
    <row r="4797" spans="1:7">
      <c r="A4797" s="3">
        <v>12</v>
      </c>
      <c r="B4797" s="3">
        <v>4</v>
      </c>
      <c r="C4797" s="3">
        <v>107</v>
      </c>
      <c r="D4797" s="3">
        <v>32</v>
      </c>
      <c r="E4797" s="3">
        <v>198.035</v>
      </c>
      <c r="F4797" s="4" t="str">
        <f>HYPERLINK("http://141.218.60.56/~jnz1568/getInfo.php?workbook=12_04.xlsx&amp;sheet=A0&amp;row=4797&amp;col=6&amp;number=843.4&amp;sourceID=14","843.4")</f>
        <v>843.4</v>
      </c>
      <c r="G4797" s="4" t="str">
        <f>HYPERLINK("http://141.218.60.56/~jnz1568/getInfo.php?workbook=12_04.xlsx&amp;sheet=A0&amp;row=4797&amp;col=7&amp;number=0&amp;sourceID=14","0")</f>
        <v>0</v>
      </c>
    </row>
    <row r="4798" spans="1:7">
      <c r="A4798" s="3">
        <v>12</v>
      </c>
      <c r="B4798" s="3">
        <v>4</v>
      </c>
      <c r="C4798" s="3">
        <v>108</v>
      </c>
      <c r="D4798" s="3">
        <v>32</v>
      </c>
      <c r="E4798" s="3">
        <v>196.699</v>
      </c>
      <c r="F4798" s="4" t="str">
        <f>HYPERLINK("http://141.218.60.56/~jnz1568/getInfo.php?workbook=12_04.xlsx&amp;sheet=A0&amp;row=4798&amp;col=6&amp;number=3.872&amp;sourceID=14","3.872")</f>
        <v>3.872</v>
      </c>
      <c r="G4798" s="4" t="str">
        <f>HYPERLINK("http://141.218.60.56/~jnz1568/getInfo.php?workbook=12_04.xlsx&amp;sheet=A0&amp;row=4798&amp;col=7&amp;number=0&amp;sourceID=14","0")</f>
        <v>0</v>
      </c>
    </row>
    <row r="4799" spans="1:7">
      <c r="A4799" s="3">
        <v>12</v>
      </c>
      <c r="B4799" s="3">
        <v>4</v>
      </c>
      <c r="C4799" s="3">
        <v>99</v>
      </c>
      <c r="D4799" s="3">
        <v>33</v>
      </c>
      <c r="E4799" s="3">
        <v>-208.736</v>
      </c>
      <c r="F4799" s="4" t="str">
        <f>HYPERLINK("http://141.218.60.56/~jnz1568/getInfo.php?workbook=12_04.xlsx&amp;sheet=A0&amp;row=4799&amp;col=6&amp;number=74410&amp;sourceID=14","74410")</f>
        <v>74410</v>
      </c>
      <c r="G4799" s="4" t="str">
        <f>HYPERLINK("http://141.218.60.56/~jnz1568/getInfo.php?workbook=12_04.xlsx&amp;sheet=A0&amp;row=4799&amp;col=7&amp;number=0&amp;sourceID=14","0")</f>
        <v>0</v>
      </c>
    </row>
    <row r="4800" spans="1:7">
      <c r="A4800" s="3">
        <v>12</v>
      </c>
      <c r="B4800" s="3">
        <v>4</v>
      </c>
      <c r="C4800" s="3">
        <v>100</v>
      </c>
      <c r="D4800" s="3">
        <v>33</v>
      </c>
      <c r="E4800" s="3">
        <v>-203.852</v>
      </c>
      <c r="F4800" s="4" t="str">
        <f>HYPERLINK("http://141.218.60.56/~jnz1568/getInfo.php?workbook=12_04.xlsx&amp;sheet=A0&amp;row=4800&amp;col=6&amp;number=56770&amp;sourceID=14","56770")</f>
        <v>56770</v>
      </c>
      <c r="G4800" s="4" t="str">
        <f>HYPERLINK("http://141.218.60.56/~jnz1568/getInfo.php?workbook=12_04.xlsx&amp;sheet=A0&amp;row=4800&amp;col=7&amp;number=0&amp;sourceID=14","0")</f>
        <v>0</v>
      </c>
    </row>
    <row r="4801" spans="1:7">
      <c r="A4801" s="3">
        <v>12</v>
      </c>
      <c r="B4801" s="3">
        <v>4</v>
      </c>
      <c r="C4801" s="3">
        <v>101</v>
      </c>
      <c r="D4801" s="3">
        <v>33</v>
      </c>
      <c r="E4801" s="3">
        <v>-203.833</v>
      </c>
      <c r="F4801" s="4" t="str">
        <f>HYPERLINK("http://141.218.60.56/~jnz1568/getInfo.php?workbook=12_04.xlsx&amp;sheet=A0&amp;row=4801&amp;col=6&amp;number=17550&amp;sourceID=14","17550")</f>
        <v>17550</v>
      </c>
      <c r="G4801" s="4" t="str">
        <f>HYPERLINK("http://141.218.60.56/~jnz1568/getInfo.php?workbook=12_04.xlsx&amp;sheet=A0&amp;row=4801&amp;col=7&amp;number=0&amp;sourceID=14","0")</f>
        <v>0</v>
      </c>
    </row>
    <row r="4802" spans="1:7">
      <c r="A4802" s="3">
        <v>12</v>
      </c>
      <c r="B4802" s="3">
        <v>4</v>
      </c>
      <c r="C4802" s="3">
        <v>102</v>
      </c>
      <c r="D4802" s="3">
        <v>33</v>
      </c>
      <c r="E4802" s="3">
        <v>-203.789</v>
      </c>
      <c r="F4802" s="4" t="str">
        <f>HYPERLINK("http://141.218.60.56/~jnz1568/getInfo.php?workbook=12_04.xlsx&amp;sheet=A0&amp;row=4802&amp;col=6&amp;number=1716&amp;sourceID=14","1716")</f>
        <v>1716</v>
      </c>
      <c r="G4802" s="4" t="str">
        <f>HYPERLINK("http://141.218.60.56/~jnz1568/getInfo.php?workbook=12_04.xlsx&amp;sheet=A0&amp;row=4802&amp;col=7&amp;number=0&amp;sourceID=14","0")</f>
        <v>0</v>
      </c>
    </row>
    <row r="4803" spans="1:7">
      <c r="A4803" s="3">
        <v>12</v>
      </c>
      <c r="B4803" s="3">
        <v>4</v>
      </c>
      <c r="C4803" s="3">
        <v>104</v>
      </c>
      <c r="D4803" s="3">
        <v>33</v>
      </c>
      <c r="E4803" s="3">
        <v>-202.569</v>
      </c>
      <c r="F4803" s="4" t="str">
        <f>HYPERLINK("http://141.218.60.56/~jnz1568/getInfo.php?workbook=12_04.xlsx&amp;sheet=A0&amp;row=4803&amp;col=6&amp;number=1223&amp;sourceID=14","1223")</f>
        <v>1223</v>
      </c>
      <c r="G4803" s="4" t="str">
        <f>HYPERLINK("http://141.218.60.56/~jnz1568/getInfo.php?workbook=12_04.xlsx&amp;sheet=A0&amp;row=4803&amp;col=7&amp;number=0&amp;sourceID=14","0")</f>
        <v>0</v>
      </c>
    </row>
    <row r="4804" spans="1:7">
      <c r="A4804" s="3">
        <v>12</v>
      </c>
      <c r="B4804" s="3">
        <v>4</v>
      </c>
      <c r="C4804" s="3">
        <v>105</v>
      </c>
      <c r="D4804" s="3">
        <v>33</v>
      </c>
      <c r="E4804" s="3">
        <v>-201.29</v>
      </c>
      <c r="F4804" s="4" t="str">
        <f>HYPERLINK("http://141.218.60.56/~jnz1568/getInfo.php?workbook=12_04.xlsx&amp;sheet=A0&amp;row=4804&amp;col=6&amp;number=328300000&amp;sourceID=14","328300000")</f>
        <v>328300000</v>
      </c>
      <c r="G4804" s="4" t="str">
        <f>HYPERLINK("http://141.218.60.56/~jnz1568/getInfo.php?workbook=12_04.xlsx&amp;sheet=A0&amp;row=4804&amp;col=7&amp;number=0&amp;sourceID=14","0")</f>
        <v>0</v>
      </c>
    </row>
    <row r="4805" spans="1:7">
      <c r="A4805" s="3">
        <v>12</v>
      </c>
      <c r="B4805" s="3">
        <v>4</v>
      </c>
      <c r="C4805" s="3">
        <v>106</v>
      </c>
      <c r="D4805" s="3">
        <v>33</v>
      </c>
      <c r="E4805" s="3">
        <v>-201.281</v>
      </c>
      <c r="F4805" s="4" t="str">
        <f>HYPERLINK("http://141.218.60.56/~jnz1568/getInfo.php?workbook=12_04.xlsx&amp;sheet=A0&amp;row=4805&amp;col=6&amp;number=34430000&amp;sourceID=14","34430000")</f>
        <v>34430000</v>
      </c>
      <c r="G4805" s="4" t="str">
        <f>HYPERLINK("http://141.218.60.56/~jnz1568/getInfo.php?workbook=12_04.xlsx&amp;sheet=A0&amp;row=4805&amp;col=7&amp;number=0&amp;sourceID=14","0")</f>
        <v>0</v>
      </c>
    </row>
    <row r="4806" spans="1:7">
      <c r="A4806" s="3">
        <v>12</v>
      </c>
      <c r="B4806" s="3">
        <v>4</v>
      </c>
      <c r="C4806" s="3">
        <v>107</v>
      </c>
      <c r="D4806" s="3">
        <v>33</v>
      </c>
      <c r="E4806" s="3">
        <v>-201.267</v>
      </c>
      <c r="F4806" s="4" t="str">
        <f>HYPERLINK("http://141.218.60.56/~jnz1568/getInfo.php?workbook=12_04.xlsx&amp;sheet=A0&amp;row=4806&amp;col=6&amp;number=1282000&amp;sourceID=14","1282000")</f>
        <v>1282000</v>
      </c>
      <c r="G4806" s="4" t="str">
        <f>HYPERLINK("http://141.218.60.56/~jnz1568/getInfo.php?workbook=12_04.xlsx&amp;sheet=A0&amp;row=4806&amp;col=7&amp;number=0&amp;sourceID=14","0")</f>
        <v>0</v>
      </c>
    </row>
    <row r="4807" spans="1:7">
      <c r="A4807" s="3">
        <v>12</v>
      </c>
      <c r="B4807" s="3">
        <v>4</v>
      </c>
      <c r="C4807" s="3">
        <v>108</v>
      </c>
      <c r="D4807" s="3">
        <v>33</v>
      </c>
      <c r="E4807" s="3">
        <v>-199.629</v>
      </c>
      <c r="F4807" s="4" t="str">
        <f>HYPERLINK("http://141.218.60.56/~jnz1568/getInfo.php?workbook=12_04.xlsx&amp;sheet=A0&amp;row=4807&amp;col=6&amp;number=8227000&amp;sourceID=14","8227000")</f>
        <v>8227000</v>
      </c>
      <c r="G4807" s="4" t="str">
        <f>HYPERLINK("http://141.218.60.56/~jnz1568/getInfo.php?workbook=12_04.xlsx&amp;sheet=A0&amp;row=4807&amp;col=7&amp;number=0&amp;sourceID=14","0")</f>
        <v>0</v>
      </c>
    </row>
    <row r="4808" spans="1:7">
      <c r="A4808" s="3">
        <v>12</v>
      </c>
      <c r="B4808" s="3">
        <v>4</v>
      </c>
      <c r="C4808" s="3">
        <v>101</v>
      </c>
      <c r="D4808" s="3">
        <v>34</v>
      </c>
      <c r="E4808" s="3">
        <v>-204.686</v>
      </c>
      <c r="F4808" s="4" t="str">
        <f>HYPERLINK("http://141.218.60.56/~jnz1568/getInfo.php?workbook=12_04.xlsx&amp;sheet=A0&amp;row=4808&amp;col=6&amp;number=43570&amp;sourceID=14","43570")</f>
        <v>43570</v>
      </c>
      <c r="G4808" s="4" t="str">
        <f>HYPERLINK("http://141.218.60.56/~jnz1568/getInfo.php?workbook=12_04.xlsx&amp;sheet=A0&amp;row=4808&amp;col=7&amp;number=0&amp;sourceID=14","0")</f>
        <v>0</v>
      </c>
    </row>
    <row r="4809" spans="1:7">
      <c r="A4809" s="3">
        <v>12</v>
      </c>
      <c r="B4809" s="3">
        <v>4</v>
      </c>
      <c r="C4809" s="3">
        <v>102</v>
      </c>
      <c r="D4809" s="3">
        <v>34</v>
      </c>
      <c r="E4809" s="3">
        <v>-204.642</v>
      </c>
      <c r="F4809" s="4" t="str">
        <f>HYPERLINK("http://141.218.60.56/~jnz1568/getInfo.php?workbook=12_04.xlsx&amp;sheet=A0&amp;row=4809&amp;col=6&amp;number=12960&amp;sourceID=14","12960")</f>
        <v>12960</v>
      </c>
      <c r="G4809" s="4" t="str">
        <f>HYPERLINK("http://141.218.60.56/~jnz1568/getInfo.php?workbook=12_04.xlsx&amp;sheet=A0&amp;row=4809&amp;col=7&amp;number=0&amp;sourceID=14","0")</f>
        <v>0</v>
      </c>
    </row>
    <row r="4810" spans="1:7">
      <c r="A4810" s="3">
        <v>12</v>
      </c>
      <c r="B4810" s="3">
        <v>4</v>
      </c>
      <c r="C4810" s="3">
        <v>104</v>
      </c>
      <c r="D4810" s="3">
        <v>34</v>
      </c>
      <c r="E4810" s="3">
        <v>-203.412</v>
      </c>
      <c r="F4810" s="4" t="str">
        <f>HYPERLINK("http://141.218.60.56/~jnz1568/getInfo.php?workbook=12_04.xlsx&amp;sheet=A0&amp;row=4810&amp;col=6&amp;number=516.4&amp;sourceID=14","516.4")</f>
        <v>516.4</v>
      </c>
      <c r="G4810" s="4" t="str">
        <f>HYPERLINK("http://141.218.60.56/~jnz1568/getInfo.php?workbook=12_04.xlsx&amp;sheet=A0&amp;row=4810&amp;col=7&amp;number=0&amp;sourceID=14","0")</f>
        <v>0</v>
      </c>
    </row>
    <row r="4811" spans="1:7">
      <c r="A4811" s="3">
        <v>12</v>
      </c>
      <c r="B4811" s="3">
        <v>4</v>
      </c>
      <c r="C4811" s="3">
        <v>106</v>
      </c>
      <c r="D4811" s="3">
        <v>34</v>
      </c>
      <c r="E4811" s="3">
        <v>-202.113</v>
      </c>
      <c r="F4811" s="4" t="str">
        <f>HYPERLINK("http://141.218.60.56/~jnz1568/getInfo.php?workbook=12_04.xlsx&amp;sheet=A0&amp;row=4811&amp;col=6&amp;number=351100000&amp;sourceID=14","351100000")</f>
        <v>351100000</v>
      </c>
      <c r="G4811" s="4" t="str">
        <f>HYPERLINK("http://141.218.60.56/~jnz1568/getInfo.php?workbook=12_04.xlsx&amp;sheet=A0&amp;row=4811&amp;col=7&amp;number=0&amp;sourceID=14","0")</f>
        <v>0</v>
      </c>
    </row>
    <row r="4812" spans="1:7">
      <c r="A4812" s="3">
        <v>12</v>
      </c>
      <c r="B4812" s="3">
        <v>4</v>
      </c>
      <c r="C4812" s="3">
        <v>107</v>
      </c>
      <c r="D4812" s="3">
        <v>34</v>
      </c>
      <c r="E4812" s="3">
        <v>-202.099</v>
      </c>
      <c r="F4812" s="4" t="str">
        <f>HYPERLINK("http://141.218.60.56/~jnz1568/getInfo.php?workbook=12_04.xlsx&amp;sheet=A0&amp;row=4812&amp;col=6&amp;number=30140000&amp;sourceID=14","30140000")</f>
        <v>30140000</v>
      </c>
      <c r="G4812" s="4" t="str">
        <f>HYPERLINK("http://141.218.60.56/~jnz1568/getInfo.php?workbook=12_04.xlsx&amp;sheet=A0&amp;row=4812&amp;col=7&amp;number=0&amp;sourceID=14","0")</f>
        <v>0</v>
      </c>
    </row>
    <row r="4813" spans="1:7">
      <c r="A4813" s="3">
        <v>12</v>
      </c>
      <c r="B4813" s="3">
        <v>4</v>
      </c>
      <c r="C4813" s="3">
        <v>108</v>
      </c>
      <c r="D4813" s="3">
        <v>34</v>
      </c>
      <c r="E4813" s="3">
        <v>-200.448</v>
      </c>
      <c r="F4813" s="4" t="str">
        <f>HYPERLINK("http://141.218.60.56/~jnz1568/getInfo.php?workbook=12_04.xlsx&amp;sheet=A0&amp;row=4813&amp;col=6&amp;number=1137000&amp;sourceID=14","1137000")</f>
        <v>1137000</v>
      </c>
      <c r="G4813" s="4" t="str">
        <f>HYPERLINK("http://141.218.60.56/~jnz1568/getInfo.php?workbook=12_04.xlsx&amp;sheet=A0&amp;row=4813&amp;col=7&amp;number=0&amp;sourceID=14","0")</f>
        <v>0</v>
      </c>
    </row>
    <row r="4814" spans="1:7">
      <c r="A4814" s="3">
        <v>12</v>
      </c>
      <c r="B4814" s="3">
        <v>4</v>
      </c>
      <c r="C4814" s="3">
        <v>99</v>
      </c>
      <c r="D4814" s="3">
        <v>35</v>
      </c>
      <c r="E4814" s="3">
        <v>-210.125</v>
      </c>
      <c r="F4814" s="4" t="str">
        <f>HYPERLINK("http://141.218.60.56/~jnz1568/getInfo.php?workbook=12_04.xlsx&amp;sheet=A0&amp;row=4814&amp;col=6&amp;number=561100&amp;sourceID=14","561100")</f>
        <v>561100</v>
      </c>
      <c r="G4814" s="4" t="str">
        <f>HYPERLINK("http://141.218.60.56/~jnz1568/getInfo.php?workbook=12_04.xlsx&amp;sheet=A0&amp;row=4814&amp;col=7&amp;number=0&amp;sourceID=14","0")</f>
        <v>0</v>
      </c>
    </row>
    <row r="4815" spans="1:7">
      <c r="A4815" s="3">
        <v>12</v>
      </c>
      <c r="B4815" s="3">
        <v>4</v>
      </c>
      <c r="C4815" s="3">
        <v>100</v>
      </c>
      <c r="D4815" s="3">
        <v>35</v>
      </c>
      <c r="E4815" s="3">
        <v>-205.176</v>
      </c>
      <c r="F4815" s="4" t="str">
        <f>HYPERLINK("http://141.218.60.56/~jnz1568/getInfo.php?workbook=12_04.xlsx&amp;sheet=A0&amp;row=4815&amp;col=6&amp;number=10290&amp;sourceID=14","10290")</f>
        <v>10290</v>
      </c>
      <c r="G4815" s="4" t="str">
        <f>HYPERLINK("http://141.218.60.56/~jnz1568/getInfo.php?workbook=12_04.xlsx&amp;sheet=A0&amp;row=4815&amp;col=7&amp;number=0&amp;sourceID=14","0")</f>
        <v>0</v>
      </c>
    </row>
    <row r="4816" spans="1:7">
      <c r="A4816" s="3">
        <v>12</v>
      </c>
      <c r="B4816" s="3">
        <v>4</v>
      </c>
      <c r="C4816" s="3">
        <v>101</v>
      </c>
      <c r="D4816" s="3">
        <v>35</v>
      </c>
      <c r="E4816" s="3">
        <v>-205.157</v>
      </c>
      <c r="F4816" s="4" t="str">
        <f>HYPERLINK("http://141.218.60.56/~jnz1568/getInfo.php?workbook=12_04.xlsx&amp;sheet=A0&amp;row=4816&amp;col=6&amp;number=5008&amp;sourceID=14","5008")</f>
        <v>5008</v>
      </c>
      <c r="G4816" s="4" t="str">
        <f>HYPERLINK("http://141.218.60.56/~jnz1568/getInfo.php?workbook=12_04.xlsx&amp;sheet=A0&amp;row=4816&amp;col=7&amp;number=0&amp;sourceID=14","0")</f>
        <v>0</v>
      </c>
    </row>
    <row r="4817" spans="1:7">
      <c r="A4817" s="3">
        <v>12</v>
      </c>
      <c r="B4817" s="3">
        <v>4</v>
      </c>
      <c r="C4817" s="3">
        <v>102</v>
      </c>
      <c r="D4817" s="3">
        <v>35</v>
      </c>
      <c r="E4817" s="3">
        <v>-205.113</v>
      </c>
      <c r="F4817" s="4" t="str">
        <f>HYPERLINK("http://141.218.60.56/~jnz1568/getInfo.php?workbook=12_04.xlsx&amp;sheet=A0&amp;row=4817&amp;col=6&amp;number=165.9&amp;sourceID=14","165.9")</f>
        <v>165.9</v>
      </c>
      <c r="G4817" s="4" t="str">
        <f>HYPERLINK("http://141.218.60.56/~jnz1568/getInfo.php?workbook=12_04.xlsx&amp;sheet=A0&amp;row=4817&amp;col=7&amp;number=0&amp;sourceID=14","0")</f>
        <v>0</v>
      </c>
    </row>
    <row r="4818" spans="1:7">
      <c r="A4818" s="3">
        <v>12</v>
      </c>
      <c r="B4818" s="3">
        <v>4</v>
      </c>
      <c r="C4818" s="3">
        <v>104</v>
      </c>
      <c r="D4818" s="3">
        <v>35</v>
      </c>
      <c r="E4818" s="3">
        <v>203.573</v>
      </c>
      <c r="F4818" s="4" t="str">
        <f>HYPERLINK("http://141.218.60.56/~jnz1568/getInfo.php?workbook=12_04.xlsx&amp;sheet=A0&amp;row=4818&amp;col=6&amp;number=4706&amp;sourceID=14","4706")</f>
        <v>4706</v>
      </c>
      <c r="G4818" s="4" t="str">
        <f>HYPERLINK("http://141.218.60.56/~jnz1568/getInfo.php?workbook=12_04.xlsx&amp;sheet=A0&amp;row=4818&amp;col=7&amp;number=0&amp;sourceID=14","0")</f>
        <v>0</v>
      </c>
    </row>
    <row r="4819" spans="1:7">
      <c r="A4819" s="3">
        <v>12</v>
      </c>
      <c r="B4819" s="3">
        <v>4</v>
      </c>
      <c r="C4819" s="3">
        <v>105</v>
      </c>
      <c r="D4819" s="3">
        <v>35</v>
      </c>
      <c r="E4819" s="3">
        <v>-202.582</v>
      </c>
      <c r="F4819" s="4" t="str">
        <f>HYPERLINK("http://141.218.60.56/~jnz1568/getInfo.php?workbook=12_04.xlsx&amp;sheet=A0&amp;row=4819&amp;col=6&amp;number=70740000&amp;sourceID=14","70740000")</f>
        <v>70740000</v>
      </c>
      <c r="G4819" s="4" t="str">
        <f>HYPERLINK("http://141.218.60.56/~jnz1568/getInfo.php?workbook=12_04.xlsx&amp;sheet=A0&amp;row=4819&amp;col=7&amp;number=0&amp;sourceID=14","0")</f>
        <v>0</v>
      </c>
    </row>
    <row r="4820" spans="1:7">
      <c r="A4820" s="3">
        <v>12</v>
      </c>
      <c r="B4820" s="3">
        <v>4</v>
      </c>
      <c r="C4820" s="3">
        <v>106</v>
      </c>
      <c r="D4820" s="3">
        <v>35</v>
      </c>
      <c r="E4820" s="3">
        <v>201.899</v>
      </c>
      <c r="F4820" s="4" t="str">
        <f>HYPERLINK("http://141.218.60.56/~jnz1568/getInfo.php?workbook=12_04.xlsx&amp;sheet=A0&amp;row=4820&amp;col=6&amp;number=9512000&amp;sourceID=14","9512000")</f>
        <v>9512000</v>
      </c>
      <c r="G4820" s="4" t="str">
        <f>HYPERLINK("http://141.218.60.56/~jnz1568/getInfo.php?workbook=12_04.xlsx&amp;sheet=A0&amp;row=4820&amp;col=7&amp;number=0&amp;sourceID=14","0")</f>
        <v>0</v>
      </c>
    </row>
    <row r="4821" spans="1:7">
      <c r="A4821" s="3">
        <v>12</v>
      </c>
      <c r="B4821" s="3">
        <v>4</v>
      </c>
      <c r="C4821" s="3">
        <v>107</v>
      </c>
      <c r="D4821" s="3">
        <v>35</v>
      </c>
      <c r="E4821" s="3">
        <v>201.893</v>
      </c>
      <c r="F4821" s="4" t="str">
        <f>HYPERLINK("http://141.218.60.56/~jnz1568/getInfo.php?workbook=12_04.xlsx&amp;sheet=A0&amp;row=4821&amp;col=6&amp;number=190900&amp;sourceID=14","190900")</f>
        <v>190900</v>
      </c>
      <c r="G4821" s="4" t="str">
        <f>HYPERLINK("http://141.218.60.56/~jnz1568/getInfo.php?workbook=12_04.xlsx&amp;sheet=A0&amp;row=4821&amp;col=7&amp;number=0&amp;sourceID=14","0")</f>
        <v>0</v>
      </c>
    </row>
    <row r="4822" spans="1:7">
      <c r="A4822" s="3">
        <v>12</v>
      </c>
      <c r="B4822" s="3">
        <v>4</v>
      </c>
      <c r="C4822" s="3">
        <v>108</v>
      </c>
      <c r="D4822" s="3">
        <v>35</v>
      </c>
      <c r="E4822" s="3">
        <v>200.504</v>
      </c>
      <c r="F4822" s="4" t="str">
        <f>HYPERLINK("http://141.218.60.56/~jnz1568/getInfo.php?workbook=12_04.xlsx&amp;sheet=A0&amp;row=4822&amp;col=6&amp;number=40620000&amp;sourceID=14","40620000")</f>
        <v>40620000</v>
      </c>
      <c r="G4822" s="4" t="str">
        <f>HYPERLINK("http://141.218.60.56/~jnz1568/getInfo.php?workbook=12_04.xlsx&amp;sheet=A0&amp;row=4822&amp;col=7&amp;number=0&amp;sourceID=14","0")</f>
        <v>0</v>
      </c>
    </row>
    <row r="4823" spans="1:7">
      <c r="A4823" s="3">
        <v>12</v>
      </c>
      <c r="B4823" s="3">
        <v>4</v>
      </c>
      <c r="C4823" s="3">
        <v>102</v>
      </c>
      <c r="D4823" s="3">
        <v>36</v>
      </c>
      <c r="E4823" s="3">
        <v>-205.489</v>
      </c>
      <c r="F4823" s="4" t="str">
        <f>HYPERLINK("http://141.218.60.56/~jnz1568/getInfo.php?workbook=12_04.xlsx&amp;sheet=A0&amp;row=4823&amp;col=6&amp;number=49040&amp;sourceID=14","49040")</f>
        <v>49040</v>
      </c>
      <c r="G4823" s="4" t="str">
        <f>HYPERLINK("http://141.218.60.56/~jnz1568/getInfo.php?workbook=12_04.xlsx&amp;sheet=A0&amp;row=4823&amp;col=7&amp;number=0&amp;sourceID=14","0")</f>
        <v>0</v>
      </c>
    </row>
    <row r="4824" spans="1:7">
      <c r="A4824" s="3">
        <v>12</v>
      </c>
      <c r="B4824" s="3">
        <v>4</v>
      </c>
      <c r="C4824" s="3">
        <v>107</v>
      </c>
      <c r="D4824" s="3">
        <v>36</v>
      </c>
      <c r="E4824" s="3">
        <v>-202.925</v>
      </c>
      <c r="F4824" s="4" t="str">
        <f>HYPERLINK("http://141.218.60.56/~jnz1568/getInfo.php?workbook=12_04.xlsx&amp;sheet=A0&amp;row=4824&amp;col=6&amp;number=357900000&amp;sourceID=14","357900000")</f>
        <v>357900000</v>
      </c>
      <c r="G4824" s="4" t="str">
        <f>HYPERLINK("http://141.218.60.56/~jnz1568/getInfo.php?workbook=12_04.xlsx&amp;sheet=A0&amp;row=4824&amp;col=7&amp;number=0&amp;sourceID=14","0")</f>
        <v>0</v>
      </c>
    </row>
    <row r="4825" spans="1:7">
      <c r="A4825" s="3">
        <v>12</v>
      </c>
      <c r="B4825" s="3">
        <v>4</v>
      </c>
      <c r="C4825" s="3">
        <v>99</v>
      </c>
      <c r="D4825" s="3">
        <v>37</v>
      </c>
      <c r="E4825" s="3">
        <v>-214.608</v>
      </c>
      <c r="F4825" s="4" t="str">
        <f>HYPERLINK("http://141.218.60.56/~jnz1568/getInfo.php?workbook=12_04.xlsx&amp;sheet=A0&amp;row=4825&amp;col=6&amp;number=72.52&amp;sourceID=14","72.52")</f>
        <v>72.52</v>
      </c>
      <c r="G4825" s="4" t="str">
        <f>HYPERLINK("http://141.218.60.56/~jnz1568/getInfo.php?workbook=12_04.xlsx&amp;sheet=A0&amp;row=4825&amp;col=7&amp;number=0&amp;sourceID=14","0")</f>
        <v>0</v>
      </c>
    </row>
    <row r="4826" spans="1:7">
      <c r="A4826" s="3">
        <v>12</v>
      </c>
      <c r="B4826" s="3">
        <v>4</v>
      </c>
      <c r="C4826" s="3">
        <v>101</v>
      </c>
      <c r="D4826" s="3">
        <v>37</v>
      </c>
      <c r="E4826" s="3">
        <v>-209.428</v>
      </c>
      <c r="F4826" s="4" t="str">
        <f>HYPERLINK("http://141.218.60.56/~jnz1568/getInfo.php?workbook=12_04.xlsx&amp;sheet=A0&amp;row=4826&amp;col=6&amp;number=231000&amp;sourceID=14","231000")</f>
        <v>231000</v>
      </c>
      <c r="G4826" s="4" t="str">
        <f>HYPERLINK("http://141.218.60.56/~jnz1568/getInfo.php?workbook=12_04.xlsx&amp;sheet=A0&amp;row=4826&amp;col=7&amp;number=0&amp;sourceID=14","0")</f>
        <v>0</v>
      </c>
    </row>
    <row r="4827" spans="1:7">
      <c r="A4827" s="3">
        <v>12</v>
      </c>
      <c r="B4827" s="3">
        <v>4</v>
      </c>
      <c r="C4827" s="3">
        <v>102</v>
      </c>
      <c r="D4827" s="3">
        <v>37</v>
      </c>
      <c r="E4827" s="3">
        <v>-209.381</v>
      </c>
      <c r="F4827" s="4" t="str">
        <f>HYPERLINK("http://141.218.60.56/~jnz1568/getInfo.php?workbook=12_04.xlsx&amp;sheet=A0&amp;row=4827&amp;col=6&amp;number=2795000&amp;sourceID=14","2795000")</f>
        <v>2795000</v>
      </c>
      <c r="G4827" s="4" t="str">
        <f>HYPERLINK("http://141.218.60.56/~jnz1568/getInfo.php?workbook=12_04.xlsx&amp;sheet=A0&amp;row=4827&amp;col=7&amp;number=0&amp;sourceID=14","0")</f>
        <v>0</v>
      </c>
    </row>
    <row r="4828" spans="1:7">
      <c r="A4828" s="3">
        <v>12</v>
      </c>
      <c r="B4828" s="3">
        <v>4</v>
      </c>
      <c r="C4828" s="3">
        <v>103</v>
      </c>
      <c r="D4828" s="3">
        <v>37</v>
      </c>
      <c r="E4828" s="3">
        <v>-210.047</v>
      </c>
      <c r="F4828" s="4" t="str">
        <f>HYPERLINK("http://141.218.60.56/~jnz1568/getInfo.php?workbook=12_04.xlsx&amp;sheet=A0&amp;row=4828&amp;col=6&amp;number=217400&amp;sourceID=14","217400")</f>
        <v>217400</v>
      </c>
      <c r="G4828" s="4" t="str">
        <f>HYPERLINK("http://141.218.60.56/~jnz1568/getInfo.php?workbook=12_04.xlsx&amp;sheet=A0&amp;row=4828&amp;col=7&amp;number=0&amp;sourceID=14","0")</f>
        <v>0</v>
      </c>
    </row>
    <row r="4829" spans="1:7">
      <c r="A4829" s="3">
        <v>12</v>
      </c>
      <c r="B4829" s="3">
        <v>4</v>
      </c>
      <c r="C4829" s="3">
        <v>104</v>
      </c>
      <c r="D4829" s="3">
        <v>37</v>
      </c>
      <c r="E4829" s="3">
        <v>206.188</v>
      </c>
      <c r="F4829" s="4" t="str">
        <f>HYPERLINK("http://141.218.60.56/~jnz1568/getInfo.php?workbook=12_04.xlsx&amp;sheet=A0&amp;row=4829&amp;col=6&amp;number=80850000&amp;sourceID=14","80850000")</f>
        <v>80850000</v>
      </c>
      <c r="G4829" s="4" t="str">
        <f>HYPERLINK("http://141.218.60.56/~jnz1568/getInfo.php?workbook=12_04.xlsx&amp;sheet=A0&amp;row=4829&amp;col=7&amp;number=0&amp;sourceID=14","0")</f>
        <v>0</v>
      </c>
    </row>
    <row r="4830" spans="1:7">
      <c r="A4830" s="3">
        <v>12</v>
      </c>
      <c r="B4830" s="3">
        <v>4</v>
      </c>
      <c r="C4830" s="3">
        <v>105</v>
      </c>
      <c r="D4830" s="3">
        <v>37</v>
      </c>
      <c r="E4830" s="3">
        <v>-206.745</v>
      </c>
      <c r="F4830" s="4" t="str">
        <f>HYPERLINK("http://141.218.60.56/~jnz1568/getInfo.php?workbook=12_04.xlsx&amp;sheet=A0&amp;row=4830&amp;col=6&amp;number=0.214&amp;sourceID=14","0.214")</f>
        <v>0.214</v>
      </c>
      <c r="G4830" s="4" t="str">
        <f>HYPERLINK("http://141.218.60.56/~jnz1568/getInfo.php?workbook=12_04.xlsx&amp;sheet=A0&amp;row=4830&amp;col=7&amp;number=0&amp;sourceID=14","0")</f>
        <v>0</v>
      </c>
    </row>
    <row r="4831" spans="1:7">
      <c r="A4831" s="3">
        <v>12</v>
      </c>
      <c r="B4831" s="3">
        <v>4</v>
      </c>
      <c r="C4831" s="3">
        <v>106</v>
      </c>
      <c r="D4831" s="3">
        <v>37</v>
      </c>
      <c r="E4831" s="3">
        <v>204.471</v>
      </c>
      <c r="F4831" s="4" t="str">
        <f>HYPERLINK("http://141.218.60.56/~jnz1568/getInfo.php?workbook=12_04.xlsx&amp;sheet=A0&amp;row=4831&amp;col=6&amp;number=3.616&amp;sourceID=14","3.616")</f>
        <v>3.616</v>
      </c>
      <c r="G4831" s="4" t="str">
        <f>HYPERLINK("http://141.218.60.56/~jnz1568/getInfo.php?workbook=12_04.xlsx&amp;sheet=A0&amp;row=4831&amp;col=7&amp;number=0&amp;sourceID=14","0")</f>
        <v>0</v>
      </c>
    </row>
    <row r="4832" spans="1:7">
      <c r="A4832" s="3">
        <v>12</v>
      </c>
      <c r="B4832" s="3">
        <v>4</v>
      </c>
      <c r="C4832" s="3">
        <v>107</v>
      </c>
      <c r="D4832" s="3">
        <v>37</v>
      </c>
      <c r="E4832" s="3">
        <v>204.465</v>
      </c>
      <c r="F4832" s="4" t="str">
        <f>HYPERLINK("http://141.218.60.56/~jnz1568/getInfo.php?workbook=12_04.xlsx&amp;sheet=A0&amp;row=4832&amp;col=6&amp;number=11.19&amp;sourceID=14","11.19")</f>
        <v>11.19</v>
      </c>
      <c r="G4832" s="4" t="str">
        <f>HYPERLINK("http://141.218.60.56/~jnz1568/getInfo.php?workbook=12_04.xlsx&amp;sheet=A0&amp;row=4832&amp;col=7&amp;number=0&amp;sourceID=14","0")</f>
        <v>0</v>
      </c>
    </row>
    <row r="4833" spans="1:7">
      <c r="A4833" s="3">
        <v>12</v>
      </c>
      <c r="B4833" s="3">
        <v>4</v>
      </c>
      <c r="C4833" s="3">
        <v>108</v>
      </c>
      <c r="D4833" s="3">
        <v>37</v>
      </c>
      <c r="E4833" s="3">
        <v>203.041</v>
      </c>
      <c r="F4833" s="4" t="str">
        <f>HYPERLINK("http://141.218.60.56/~jnz1568/getInfo.php?workbook=12_04.xlsx&amp;sheet=A0&amp;row=4833&amp;col=6&amp;number=1640&amp;sourceID=14","1640")</f>
        <v>1640</v>
      </c>
      <c r="G4833" s="4" t="str">
        <f>HYPERLINK("http://141.218.60.56/~jnz1568/getInfo.php?workbook=12_04.xlsx&amp;sheet=A0&amp;row=4833&amp;col=7&amp;number=0&amp;sourceID=14","0")</f>
        <v>0</v>
      </c>
    </row>
    <row r="4834" spans="1:7">
      <c r="A4834" s="3">
        <v>12</v>
      </c>
      <c r="B4834" s="3">
        <v>4</v>
      </c>
      <c r="C4834" s="3">
        <v>99</v>
      </c>
      <c r="D4834" s="3">
        <v>38</v>
      </c>
      <c r="E4834" s="3">
        <v>-218.33</v>
      </c>
      <c r="F4834" s="4" t="str">
        <f>HYPERLINK("http://141.218.60.56/~jnz1568/getInfo.php?workbook=12_04.xlsx&amp;sheet=A0&amp;row=4834&amp;col=6&amp;number=2869000&amp;sourceID=14","2869000")</f>
        <v>2869000</v>
      </c>
      <c r="G4834" s="4" t="str">
        <f>HYPERLINK("http://141.218.60.56/~jnz1568/getInfo.php?workbook=12_04.xlsx&amp;sheet=A0&amp;row=4834&amp;col=7&amp;number=0&amp;sourceID=14","0")</f>
        <v>0</v>
      </c>
    </row>
    <row r="4835" spans="1:7">
      <c r="A4835" s="3">
        <v>12</v>
      </c>
      <c r="B4835" s="3">
        <v>4</v>
      </c>
      <c r="C4835" s="3">
        <v>100</v>
      </c>
      <c r="D4835" s="3">
        <v>38</v>
      </c>
      <c r="E4835" s="3">
        <v>-212.992</v>
      </c>
      <c r="F4835" s="4" t="str">
        <f>HYPERLINK("http://141.218.60.56/~jnz1568/getInfo.php?workbook=12_04.xlsx&amp;sheet=A0&amp;row=4835&amp;col=6&amp;number=0.001072&amp;sourceID=14","0.001072")</f>
        <v>0.001072</v>
      </c>
      <c r="G4835" s="4" t="str">
        <f>HYPERLINK("http://141.218.60.56/~jnz1568/getInfo.php?workbook=12_04.xlsx&amp;sheet=A0&amp;row=4835&amp;col=7&amp;number=0&amp;sourceID=14","0")</f>
        <v>0</v>
      </c>
    </row>
    <row r="4836" spans="1:7">
      <c r="A4836" s="3">
        <v>12</v>
      </c>
      <c r="B4836" s="3">
        <v>4</v>
      </c>
      <c r="C4836" s="3">
        <v>101</v>
      </c>
      <c r="D4836" s="3">
        <v>38</v>
      </c>
      <c r="E4836" s="3">
        <v>-212.971</v>
      </c>
      <c r="F4836" s="4" t="str">
        <f>HYPERLINK("http://141.218.60.56/~jnz1568/getInfo.php?workbook=12_04.xlsx&amp;sheet=A0&amp;row=4836&amp;col=6&amp;number=1786&amp;sourceID=14","1786")</f>
        <v>1786</v>
      </c>
      <c r="G4836" s="4" t="str">
        <f>HYPERLINK("http://141.218.60.56/~jnz1568/getInfo.php?workbook=12_04.xlsx&amp;sheet=A0&amp;row=4836&amp;col=7&amp;number=0&amp;sourceID=14","0")</f>
        <v>0</v>
      </c>
    </row>
    <row r="4837" spans="1:7">
      <c r="A4837" s="3">
        <v>12</v>
      </c>
      <c r="B4837" s="3">
        <v>4</v>
      </c>
      <c r="C4837" s="3">
        <v>102</v>
      </c>
      <c r="D4837" s="3">
        <v>38</v>
      </c>
      <c r="E4837" s="3">
        <v>-212.923</v>
      </c>
      <c r="F4837" s="4" t="str">
        <f>HYPERLINK("http://141.218.60.56/~jnz1568/getInfo.php?workbook=12_04.xlsx&amp;sheet=A0&amp;row=4837&amp;col=6&amp;number=1562&amp;sourceID=14","1562")</f>
        <v>1562</v>
      </c>
      <c r="G4837" s="4" t="str">
        <f>HYPERLINK("http://141.218.60.56/~jnz1568/getInfo.php?workbook=12_04.xlsx&amp;sheet=A0&amp;row=4837&amp;col=7&amp;number=0&amp;sourceID=14","0")</f>
        <v>0</v>
      </c>
    </row>
    <row r="4838" spans="1:7">
      <c r="A4838" s="3">
        <v>12</v>
      </c>
      <c r="B4838" s="3">
        <v>4</v>
      </c>
      <c r="C4838" s="3">
        <v>103</v>
      </c>
      <c r="D4838" s="3">
        <v>38</v>
      </c>
      <c r="E4838" s="3">
        <v>-213.612</v>
      </c>
      <c r="F4838" s="4" t="str">
        <f>HYPERLINK("http://141.218.60.56/~jnz1568/getInfo.php?workbook=12_04.xlsx&amp;sheet=A0&amp;row=4838&amp;col=6&amp;number=178100&amp;sourceID=14","178100")</f>
        <v>178100</v>
      </c>
      <c r="G4838" s="4" t="str">
        <f>HYPERLINK("http://141.218.60.56/~jnz1568/getInfo.php?workbook=12_04.xlsx&amp;sheet=A0&amp;row=4838&amp;col=7&amp;number=0&amp;sourceID=14","0")</f>
        <v>0</v>
      </c>
    </row>
    <row r="4839" spans="1:7">
      <c r="A4839" s="3">
        <v>12</v>
      </c>
      <c r="B4839" s="3">
        <v>4</v>
      </c>
      <c r="C4839" s="3">
        <v>104</v>
      </c>
      <c r="D4839" s="3">
        <v>38</v>
      </c>
      <c r="E4839" s="3">
        <v>211.173</v>
      </c>
      <c r="F4839" s="4" t="str">
        <f>HYPERLINK("http://141.218.60.56/~jnz1568/getInfo.php?workbook=12_04.xlsx&amp;sheet=A0&amp;row=4839&amp;col=6&amp;number=22.85&amp;sourceID=14","22.85")</f>
        <v>22.85</v>
      </c>
      <c r="G4839" s="4" t="str">
        <f>HYPERLINK("http://141.218.60.56/~jnz1568/getInfo.php?workbook=12_04.xlsx&amp;sheet=A0&amp;row=4839&amp;col=7&amp;number=0&amp;sourceID=14","0")</f>
        <v>0</v>
      </c>
    </row>
    <row r="4840" spans="1:7">
      <c r="A4840" s="3">
        <v>12</v>
      </c>
      <c r="B4840" s="3">
        <v>4</v>
      </c>
      <c r="C4840" s="3">
        <v>105</v>
      </c>
      <c r="D4840" s="3">
        <v>38</v>
      </c>
      <c r="E4840" s="3">
        <v>-210.197</v>
      </c>
      <c r="F4840" s="4" t="str">
        <f>HYPERLINK("http://141.218.60.56/~jnz1568/getInfo.php?workbook=12_04.xlsx&amp;sheet=A0&amp;row=4840&amp;col=6&amp;number=5118000&amp;sourceID=14","5118000")</f>
        <v>5118000</v>
      </c>
      <c r="G4840" s="4" t="str">
        <f>HYPERLINK("http://141.218.60.56/~jnz1568/getInfo.php?workbook=12_04.xlsx&amp;sheet=A0&amp;row=4840&amp;col=7&amp;number=0&amp;sourceID=14","0")</f>
        <v>0</v>
      </c>
    </row>
    <row r="4841" spans="1:7">
      <c r="A4841" s="3">
        <v>12</v>
      </c>
      <c r="B4841" s="3">
        <v>4</v>
      </c>
      <c r="C4841" s="3">
        <v>106</v>
      </c>
      <c r="D4841" s="3">
        <v>38</v>
      </c>
      <c r="E4841" s="3">
        <v>209.373</v>
      </c>
      <c r="F4841" s="4" t="str">
        <f>HYPERLINK("http://141.218.60.56/~jnz1568/getInfo.php?workbook=12_04.xlsx&amp;sheet=A0&amp;row=4841&amp;col=6&amp;number=15320000&amp;sourceID=14","15320000")</f>
        <v>15320000</v>
      </c>
      <c r="G4841" s="4" t="str">
        <f>HYPERLINK("http://141.218.60.56/~jnz1568/getInfo.php?workbook=12_04.xlsx&amp;sheet=A0&amp;row=4841&amp;col=7&amp;number=0&amp;sourceID=14","0")</f>
        <v>0</v>
      </c>
    </row>
    <row r="4842" spans="1:7">
      <c r="A4842" s="3">
        <v>12</v>
      </c>
      <c r="B4842" s="3">
        <v>4</v>
      </c>
      <c r="C4842" s="3">
        <v>108</v>
      </c>
      <c r="D4842" s="3">
        <v>38</v>
      </c>
      <c r="E4842" s="3">
        <v>207.873</v>
      </c>
      <c r="F4842" s="4" t="str">
        <f>HYPERLINK("http://141.218.60.56/~jnz1568/getInfo.php?workbook=12_04.xlsx&amp;sheet=A0&amp;row=4842&amp;col=6&amp;number=329300&amp;sourceID=14","329300")</f>
        <v>329300</v>
      </c>
      <c r="G4842" s="4" t="str">
        <f>HYPERLINK("http://141.218.60.56/~jnz1568/getInfo.php?workbook=12_04.xlsx&amp;sheet=A0&amp;row=4842&amp;col=7&amp;number=0&amp;sourceID=14","0")</f>
        <v>0</v>
      </c>
    </row>
    <row r="4843" spans="1:7">
      <c r="A4843" s="3">
        <v>12</v>
      </c>
      <c r="B4843" s="3">
        <v>4</v>
      </c>
      <c r="C4843" s="3">
        <v>99</v>
      </c>
      <c r="D4843" s="3">
        <v>39</v>
      </c>
      <c r="E4843" s="3">
        <v>-218.59</v>
      </c>
      <c r="F4843" s="4" t="str">
        <f>HYPERLINK("http://141.218.60.56/~jnz1568/getInfo.php?workbook=12_04.xlsx&amp;sheet=A0&amp;row=4843&amp;col=6&amp;number=11080000&amp;sourceID=14","11080000")</f>
        <v>11080000</v>
      </c>
      <c r="G4843" s="4" t="str">
        <f>HYPERLINK("http://141.218.60.56/~jnz1568/getInfo.php?workbook=12_04.xlsx&amp;sheet=A0&amp;row=4843&amp;col=7&amp;number=0&amp;sourceID=14","0")</f>
        <v>0</v>
      </c>
    </row>
    <row r="4844" spans="1:7">
      <c r="A4844" s="3">
        <v>12</v>
      </c>
      <c r="B4844" s="3">
        <v>4</v>
      </c>
      <c r="C4844" s="3">
        <v>100</v>
      </c>
      <c r="D4844" s="3">
        <v>39</v>
      </c>
      <c r="E4844" s="3">
        <v>-213.239</v>
      </c>
      <c r="F4844" s="4" t="str">
        <f>HYPERLINK("http://141.218.60.56/~jnz1568/getInfo.php?workbook=12_04.xlsx&amp;sheet=A0&amp;row=4844&amp;col=6&amp;number=1235&amp;sourceID=14","1235")</f>
        <v>1235</v>
      </c>
      <c r="G4844" s="4" t="str">
        <f>HYPERLINK("http://141.218.60.56/~jnz1568/getInfo.php?workbook=12_04.xlsx&amp;sheet=A0&amp;row=4844&amp;col=7&amp;number=0&amp;sourceID=14","0")</f>
        <v>0</v>
      </c>
    </row>
    <row r="4845" spans="1:7">
      <c r="A4845" s="3">
        <v>12</v>
      </c>
      <c r="B4845" s="3">
        <v>4</v>
      </c>
      <c r="C4845" s="3">
        <v>101</v>
      </c>
      <c r="D4845" s="3">
        <v>39</v>
      </c>
      <c r="E4845" s="3">
        <v>-213.218</v>
      </c>
      <c r="F4845" s="4" t="str">
        <f>HYPERLINK("http://141.218.60.56/~jnz1568/getInfo.php?workbook=12_04.xlsx&amp;sheet=A0&amp;row=4845&amp;col=6&amp;number=2.205&amp;sourceID=14","2.205")</f>
        <v>2.205</v>
      </c>
      <c r="G4845" s="4" t="str">
        <f>HYPERLINK("http://141.218.60.56/~jnz1568/getInfo.php?workbook=12_04.xlsx&amp;sheet=A0&amp;row=4845&amp;col=7&amp;number=0&amp;sourceID=14","0")</f>
        <v>0</v>
      </c>
    </row>
    <row r="4846" spans="1:7">
      <c r="A4846" s="3">
        <v>12</v>
      </c>
      <c r="B4846" s="3">
        <v>4</v>
      </c>
      <c r="C4846" s="3">
        <v>102</v>
      </c>
      <c r="D4846" s="3">
        <v>39</v>
      </c>
      <c r="E4846" s="3">
        <v>-213.17</v>
      </c>
      <c r="F4846" s="4" t="str">
        <f>HYPERLINK("http://141.218.60.56/~jnz1568/getInfo.php?workbook=12_04.xlsx&amp;sheet=A0&amp;row=4846&amp;col=6&amp;number=4919&amp;sourceID=14","4919")</f>
        <v>4919</v>
      </c>
      <c r="G4846" s="4" t="str">
        <f>HYPERLINK("http://141.218.60.56/~jnz1568/getInfo.php?workbook=12_04.xlsx&amp;sheet=A0&amp;row=4846&amp;col=7&amp;number=0&amp;sourceID=14","0")</f>
        <v>0</v>
      </c>
    </row>
    <row r="4847" spans="1:7">
      <c r="A4847" s="3">
        <v>12</v>
      </c>
      <c r="B4847" s="3">
        <v>4</v>
      </c>
      <c r="C4847" s="3">
        <v>104</v>
      </c>
      <c r="D4847" s="3">
        <v>39</v>
      </c>
      <c r="E4847" s="3">
        <v>211.414</v>
      </c>
      <c r="F4847" s="4" t="str">
        <f>HYPERLINK("http://141.218.60.56/~jnz1568/getInfo.php?workbook=12_04.xlsx&amp;sheet=A0&amp;row=4847&amp;col=6&amp;number=31.3&amp;sourceID=14","31.3")</f>
        <v>31.3</v>
      </c>
      <c r="G4847" s="4" t="str">
        <f>HYPERLINK("http://141.218.60.56/~jnz1568/getInfo.php?workbook=12_04.xlsx&amp;sheet=A0&amp;row=4847&amp;col=7&amp;number=0&amp;sourceID=14","0")</f>
        <v>0</v>
      </c>
    </row>
    <row r="4848" spans="1:7">
      <c r="A4848" s="3">
        <v>12</v>
      </c>
      <c r="B4848" s="3">
        <v>4</v>
      </c>
      <c r="C4848" s="3">
        <v>105</v>
      </c>
      <c r="D4848" s="3">
        <v>39</v>
      </c>
      <c r="E4848" s="3">
        <v>-210.438</v>
      </c>
      <c r="F4848" s="4" t="str">
        <f>HYPERLINK("http://141.218.60.56/~jnz1568/getInfo.php?workbook=12_04.xlsx&amp;sheet=A0&amp;row=4848&amp;col=6&amp;number=527600&amp;sourceID=14","527600")</f>
        <v>527600</v>
      </c>
      <c r="G4848" s="4" t="str">
        <f>HYPERLINK("http://141.218.60.56/~jnz1568/getInfo.php?workbook=12_04.xlsx&amp;sheet=A0&amp;row=4848&amp;col=7&amp;number=0&amp;sourceID=14","0")</f>
        <v>0</v>
      </c>
    </row>
    <row r="4849" spans="1:7">
      <c r="A4849" s="3">
        <v>12</v>
      </c>
      <c r="B4849" s="3">
        <v>4</v>
      </c>
      <c r="C4849" s="3">
        <v>106</v>
      </c>
      <c r="D4849" s="3">
        <v>39</v>
      </c>
      <c r="E4849" s="3">
        <v>209.61</v>
      </c>
      <c r="F4849" s="4" t="str">
        <f>HYPERLINK("http://141.218.60.56/~jnz1568/getInfo.php?workbook=12_04.xlsx&amp;sheet=A0&amp;row=4849&amp;col=6&amp;number=4534000&amp;sourceID=14","4534000")</f>
        <v>4534000</v>
      </c>
      <c r="G4849" s="4" t="str">
        <f>HYPERLINK("http://141.218.60.56/~jnz1568/getInfo.php?workbook=12_04.xlsx&amp;sheet=A0&amp;row=4849&amp;col=7&amp;number=0&amp;sourceID=14","0")</f>
        <v>0</v>
      </c>
    </row>
    <row r="4850" spans="1:7">
      <c r="A4850" s="3">
        <v>12</v>
      </c>
      <c r="B4850" s="3">
        <v>4</v>
      </c>
      <c r="C4850" s="3">
        <v>107</v>
      </c>
      <c r="D4850" s="3">
        <v>39</v>
      </c>
      <c r="E4850" s="3">
        <v>209.603</v>
      </c>
      <c r="F4850" s="4" t="str">
        <f>HYPERLINK("http://141.218.60.56/~jnz1568/getInfo.php?workbook=12_04.xlsx&amp;sheet=A0&amp;row=4850&amp;col=6&amp;number=27890000&amp;sourceID=14","27890000")</f>
        <v>27890000</v>
      </c>
      <c r="G4850" s="4" t="str">
        <f>HYPERLINK("http://141.218.60.56/~jnz1568/getInfo.php?workbook=12_04.xlsx&amp;sheet=A0&amp;row=4850&amp;col=7&amp;number=0&amp;sourceID=14","0")</f>
        <v>0</v>
      </c>
    </row>
    <row r="4851" spans="1:7">
      <c r="A4851" s="3">
        <v>12</v>
      </c>
      <c r="B4851" s="3">
        <v>4</v>
      </c>
      <c r="C4851" s="3">
        <v>108</v>
      </c>
      <c r="D4851" s="3">
        <v>39</v>
      </c>
      <c r="E4851" s="3">
        <v>208.107</v>
      </c>
      <c r="F4851" s="4" t="str">
        <f>HYPERLINK("http://141.218.60.56/~jnz1568/getInfo.php?workbook=12_04.xlsx&amp;sheet=A0&amp;row=4851&amp;col=6&amp;number=114500&amp;sourceID=14","114500")</f>
        <v>114500</v>
      </c>
      <c r="G4851" s="4" t="str">
        <f>HYPERLINK("http://141.218.60.56/~jnz1568/getInfo.php?workbook=12_04.xlsx&amp;sheet=A0&amp;row=4851&amp;col=7&amp;number=0&amp;sourceID=14","0")</f>
        <v>0</v>
      </c>
    </row>
    <row r="4852" spans="1:7">
      <c r="A4852" s="3">
        <v>12</v>
      </c>
      <c r="B4852" s="3">
        <v>4</v>
      </c>
      <c r="C4852" s="3">
        <v>101</v>
      </c>
      <c r="D4852" s="3">
        <v>40</v>
      </c>
      <c r="E4852" s="3">
        <v>-213.689</v>
      </c>
      <c r="F4852" s="4" t="str">
        <f>HYPERLINK("http://141.218.60.56/~jnz1568/getInfo.php?workbook=12_04.xlsx&amp;sheet=A0&amp;row=4852&amp;col=6&amp;number=2233&amp;sourceID=14","2233")</f>
        <v>2233</v>
      </c>
      <c r="G4852" s="4" t="str">
        <f>HYPERLINK("http://141.218.60.56/~jnz1568/getInfo.php?workbook=12_04.xlsx&amp;sheet=A0&amp;row=4852&amp;col=7&amp;number=0&amp;sourceID=14","0")</f>
        <v>0</v>
      </c>
    </row>
    <row r="4853" spans="1:7">
      <c r="A4853" s="3">
        <v>12</v>
      </c>
      <c r="B4853" s="3">
        <v>4</v>
      </c>
      <c r="C4853" s="3">
        <v>102</v>
      </c>
      <c r="D4853" s="3">
        <v>40</v>
      </c>
      <c r="E4853" s="3">
        <v>-213.641</v>
      </c>
      <c r="F4853" s="4" t="str">
        <f>HYPERLINK("http://141.218.60.56/~jnz1568/getInfo.php?workbook=12_04.xlsx&amp;sheet=A0&amp;row=4853&amp;col=6&amp;number=4711&amp;sourceID=14","4711")</f>
        <v>4711</v>
      </c>
      <c r="G4853" s="4" t="str">
        <f>HYPERLINK("http://141.218.60.56/~jnz1568/getInfo.php?workbook=12_04.xlsx&amp;sheet=A0&amp;row=4853&amp;col=7&amp;number=0&amp;sourceID=14","0")</f>
        <v>0</v>
      </c>
    </row>
    <row r="4854" spans="1:7">
      <c r="A4854" s="3">
        <v>12</v>
      </c>
      <c r="B4854" s="3">
        <v>4</v>
      </c>
      <c r="C4854" s="3">
        <v>104</v>
      </c>
      <c r="D4854" s="3">
        <v>40</v>
      </c>
      <c r="E4854" s="3">
        <v>211.862</v>
      </c>
      <c r="F4854" s="4" t="str">
        <f>HYPERLINK("http://141.218.60.56/~jnz1568/getInfo.php?workbook=12_04.xlsx&amp;sheet=A0&amp;row=4854&amp;col=6&amp;number=247.8&amp;sourceID=14","247.8")</f>
        <v>247.8</v>
      </c>
      <c r="G4854" s="4" t="str">
        <f>HYPERLINK("http://141.218.60.56/~jnz1568/getInfo.php?workbook=12_04.xlsx&amp;sheet=A0&amp;row=4854&amp;col=7&amp;number=0&amp;sourceID=14","0")</f>
        <v>0</v>
      </c>
    </row>
    <row r="4855" spans="1:7">
      <c r="A4855" s="3">
        <v>12</v>
      </c>
      <c r="B4855" s="3">
        <v>4</v>
      </c>
      <c r="C4855" s="3">
        <v>106</v>
      </c>
      <c r="D4855" s="3">
        <v>40</v>
      </c>
      <c r="E4855" s="3">
        <v>210.05</v>
      </c>
      <c r="F4855" s="4" t="str">
        <f>HYPERLINK("http://141.218.60.56/~jnz1568/getInfo.php?workbook=12_04.xlsx&amp;sheet=A0&amp;row=4855&amp;col=6&amp;number=638800&amp;sourceID=14","638800")</f>
        <v>638800</v>
      </c>
      <c r="G4855" s="4" t="str">
        <f>HYPERLINK("http://141.218.60.56/~jnz1568/getInfo.php?workbook=12_04.xlsx&amp;sheet=A0&amp;row=4855&amp;col=7&amp;number=0&amp;sourceID=14","0")</f>
        <v>0</v>
      </c>
    </row>
    <row r="4856" spans="1:7">
      <c r="A4856" s="3">
        <v>12</v>
      </c>
      <c r="B4856" s="3">
        <v>4</v>
      </c>
      <c r="C4856" s="3">
        <v>107</v>
      </c>
      <c r="D4856" s="3">
        <v>40</v>
      </c>
      <c r="E4856" s="3">
        <v>210.043</v>
      </c>
      <c r="F4856" s="4" t="str">
        <f>HYPERLINK("http://141.218.60.56/~jnz1568/getInfo.php?workbook=12_04.xlsx&amp;sheet=A0&amp;row=4856&amp;col=6&amp;number=21540000&amp;sourceID=14","21540000")</f>
        <v>21540000</v>
      </c>
      <c r="G4856" s="4" t="str">
        <f>HYPERLINK("http://141.218.60.56/~jnz1568/getInfo.php?workbook=12_04.xlsx&amp;sheet=A0&amp;row=4856&amp;col=7&amp;number=0&amp;sourceID=14","0")</f>
        <v>0</v>
      </c>
    </row>
    <row r="4857" spans="1:7">
      <c r="A4857" s="3">
        <v>12</v>
      </c>
      <c r="B4857" s="3">
        <v>4</v>
      </c>
      <c r="C4857" s="3">
        <v>108</v>
      </c>
      <c r="D4857" s="3">
        <v>40</v>
      </c>
      <c r="E4857" s="3">
        <v>208.541</v>
      </c>
      <c r="F4857" s="4" t="str">
        <f>HYPERLINK("http://141.218.60.56/~jnz1568/getInfo.php?workbook=12_04.xlsx&amp;sheet=A0&amp;row=4857&amp;col=6&amp;number=1203000&amp;sourceID=14","1203000")</f>
        <v>1203000</v>
      </c>
      <c r="G4857" s="4" t="str">
        <f>HYPERLINK("http://141.218.60.56/~jnz1568/getInfo.php?workbook=12_04.xlsx&amp;sheet=A0&amp;row=4857&amp;col=7&amp;number=0&amp;sourceID=14","0")</f>
        <v>0</v>
      </c>
    </row>
    <row r="4858" spans="1:7">
      <c r="A4858" s="3">
        <v>12</v>
      </c>
      <c r="B4858" s="3">
        <v>4</v>
      </c>
      <c r="C4858" s="3">
        <v>99</v>
      </c>
      <c r="D4858" s="3">
        <v>41</v>
      </c>
      <c r="E4858" s="3">
        <v>-222.436</v>
      </c>
      <c r="F4858" s="4" t="str">
        <f>HYPERLINK("http://141.218.60.56/~jnz1568/getInfo.php?workbook=12_04.xlsx&amp;sheet=A0&amp;row=4858&amp;col=6&amp;number=376000000&amp;sourceID=14","376000000")</f>
        <v>376000000</v>
      </c>
      <c r="G4858" s="4" t="str">
        <f>HYPERLINK("http://141.218.60.56/~jnz1568/getInfo.php?workbook=12_04.xlsx&amp;sheet=A0&amp;row=4858&amp;col=7&amp;number=0&amp;sourceID=14","0")</f>
        <v>0</v>
      </c>
    </row>
    <row r="4859" spans="1:7">
      <c r="A4859" s="3">
        <v>12</v>
      </c>
      <c r="B4859" s="3">
        <v>4</v>
      </c>
      <c r="C4859" s="3">
        <v>100</v>
      </c>
      <c r="D4859" s="3">
        <v>41</v>
      </c>
      <c r="E4859" s="3">
        <v>-216.897</v>
      </c>
      <c r="F4859" s="4" t="str">
        <f>HYPERLINK("http://141.218.60.56/~jnz1568/getInfo.php?workbook=12_04.xlsx&amp;sheet=A0&amp;row=4859&amp;col=6&amp;number=48290&amp;sourceID=14","48290")</f>
        <v>48290</v>
      </c>
      <c r="G4859" s="4" t="str">
        <f>HYPERLINK("http://141.218.60.56/~jnz1568/getInfo.php?workbook=12_04.xlsx&amp;sheet=A0&amp;row=4859&amp;col=7&amp;number=0&amp;sourceID=14","0")</f>
        <v>0</v>
      </c>
    </row>
    <row r="4860" spans="1:7">
      <c r="A4860" s="3">
        <v>12</v>
      </c>
      <c r="B4860" s="3">
        <v>4</v>
      </c>
      <c r="C4860" s="3">
        <v>101</v>
      </c>
      <c r="D4860" s="3">
        <v>41</v>
      </c>
      <c r="E4860" s="3">
        <v>-216.876</v>
      </c>
      <c r="F4860" s="4" t="str">
        <f>HYPERLINK("http://141.218.60.56/~jnz1568/getInfo.php?workbook=12_04.xlsx&amp;sheet=A0&amp;row=4860&amp;col=6&amp;number=32330&amp;sourceID=14","32330")</f>
        <v>32330</v>
      </c>
      <c r="G4860" s="4" t="str">
        <f>HYPERLINK("http://141.218.60.56/~jnz1568/getInfo.php?workbook=12_04.xlsx&amp;sheet=A0&amp;row=4860&amp;col=7&amp;number=0&amp;sourceID=14","0")</f>
        <v>0</v>
      </c>
    </row>
    <row r="4861" spans="1:7">
      <c r="A4861" s="3">
        <v>12</v>
      </c>
      <c r="B4861" s="3">
        <v>4</v>
      </c>
      <c r="C4861" s="3">
        <v>102</v>
      </c>
      <c r="D4861" s="3">
        <v>41</v>
      </c>
      <c r="E4861" s="3">
        <v>-216.826</v>
      </c>
      <c r="F4861" s="4" t="str">
        <f>HYPERLINK("http://141.218.60.56/~jnz1568/getInfo.php?workbook=12_04.xlsx&amp;sheet=A0&amp;row=4861&amp;col=6&amp;number=11450&amp;sourceID=14","11450")</f>
        <v>11450</v>
      </c>
      <c r="G4861" s="4" t="str">
        <f>HYPERLINK("http://141.218.60.56/~jnz1568/getInfo.php?workbook=12_04.xlsx&amp;sheet=A0&amp;row=4861&amp;col=7&amp;number=0&amp;sourceID=14","0")</f>
        <v>0</v>
      </c>
    </row>
    <row r="4862" spans="1:7">
      <c r="A4862" s="3">
        <v>12</v>
      </c>
      <c r="B4862" s="3">
        <v>4</v>
      </c>
      <c r="C4862" s="3">
        <v>104</v>
      </c>
      <c r="D4862" s="3">
        <v>41</v>
      </c>
      <c r="E4862" s="3">
        <v>214.756</v>
      </c>
      <c r="F4862" s="4" t="str">
        <f>HYPERLINK("http://141.218.60.56/~jnz1568/getInfo.php?workbook=12_04.xlsx&amp;sheet=A0&amp;row=4862&amp;col=6&amp;number=189.5&amp;sourceID=14","189.5")</f>
        <v>189.5</v>
      </c>
      <c r="G4862" s="4" t="str">
        <f>HYPERLINK("http://141.218.60.56/~jnz1568/getInfo.php?workbook=12_04.xlsx&amp;sheet=A0&amp;row=4862&amp;col=7&amp;number=0&amp;sourceID=14","0")</f>
        <v>0</v>
      </c>
    </row>
    <row r="4863" spans="1:7">
      <c r="A4863" s="3">
        <v>12</v>
      </c>
      <c r="B4863" s="3">
        <v>4</v>
      </c>
      <c r="C4863" s="3">
        <v>105</v>
      </c>
      <c r="D4863" s="3">
        <v>41</v>
      </c>
      <c r="E4863" s="3">
        <v>-214</v>
      </c>
      <c r="F4863" s="4" t="str">
        <f>HYPERLINK("http://141.218.60.56/~jnz1568/getInfo.php?workbook=12_04.xlsx&amp;sheet=A0&amp;row=4863&amp;col=6&amp;number=16250000&amp;sourceID=14","16250000")</f>
        <v>16250000</v>
      </c>
      <c r="G4863" s="4" t="str">
        <f>HYPERLINK("http://141.218.60.56/~jnz1568/getInfo.php?workbook=12_04.xlsx&amp;sheet=A0&amp;row=4863&amp;col=7&amp;number=0&amp;sourceID=14","0")</f>
        <v>0</v>
      </c>
    </row>
    <row r="4864" spans="1:7">
      <c r="A4864" s="3">
        <v>12</v>
      </c>
      <c r="B4864" s="3">
        <v>4</v>
      </c>
      <c r="C4864" s="3">
        <v>106</v>
      </c>
      <c r="D4864" s="3">
        <v>41</v>
      </c>
      <c r="E4864" s="3">
        <v>212.894</v>
      </c>
      <c r="F4864" s="4" t="str">
        <f>HYPERLINK("http://141.218.60.56/~jnz1568/getInfo.php?workbook=12_04.xlsx&amp;sheet=A0&amp;row=4864&amp;col=6&amp;number=137100000&amp;sourceID=14","137100000")</f>
        <v>137100000</v>
      </c>
      <c r="G4864" s="4" t="str">
        <f>HYPERLINK("http://141.218.60.56/~jnz1568/getInfo.php?workbook=12_04.xlsx&amp;sheet=A0&amp;row=4864&amp;col=7&amp;number=0&amp;sourceID=14","0")</f>
        <v>0</v>
      </c>
    </row>
    <row r="4865" spans="1:7">
      <c r="A4865" s="3">
        <v>12</v>
      </c>
      <c r="B4865" s="3">
        <v>4</v>
      </c>
      <c r="C4865" s="3">
        <v>107</v>
      </c>
      <c r="D4865" s="3">
        <v>41</v>
      </c>
      <c r="E4865" s="3">
        <v>212.887</v>
      </c>
      <c r="F4865" s="4" t="str">
        <f>HYPERLINK("http://141.218.60.56/~jnz1568/getInfo.php?workbook=12_04.xlsx&amp;sheet=A0&amp;row=4865&amp;col=6&amp;number=450700000&amp;sourceID=14","450700000")</f>
        <v>450700000</v>
      </c>
      <c r="G4865" s="4" t="str">
        <f>HYPERLINK("http://141.218.60.56/~jnz1568/getInfo.php?workbook=12_04.xlsx&amp;sheet=A0&amp;row=4865&amp;col=7&amp;number=0&amp;sourceID=14","0")</f>
        <v>0</v>
      </c>
    </row>
    <row r="4866" spans="1:7">
      <c r="A4866" s="3">
        <v>12</v>
      </c>
      <c r="B4866" s="3">
        <v>4</v>
      </c>
      <c r="C4866" s="3">
        <v>108</v>
      </c>
      <c r="D4866" s="3">
        <v>41</v>
      </c>
      <c r="E4866" s="3">
        <v>211.344</v>
      </c>
      <c r="F4866" s="4" t="str">
        <f>HYPERLINK("http://141.218.60.56/~jnz1568/getInfo.php?workbook=12_04.xlsx&amp;sheet=A0&amp;row=4866&amp;col=6&amp;number=131300&amp;sourceID=14","131300")</f>
        <v>131300</v>
      </c>
      <c r="G4866" s="4" t="str">
        <f>HYPERLINK("http://141.218.60.56/~jnz1568/getInfo.php?workbook=12_04.xlsx&amp;sheet=A0&amp;row=4866&amp;col=7&amp;number=0&amp;sourceID=14","0")</f>
        <v>0</v>
      </c>
    </row>
    <row r="4867" spans="1:7">
      <c r="A4867" s="3">
        <v>12</v>
      </c>
      <c r="B4867" s="3">
        <v>4</v>
      </c>
      <c r="C4867" s="3">
        <v>99</v>
      </c>
      <c r="D4867" s="3">
        <v>42</v>
      </c>
      <c r="E4867" s="3">
        <v>-222.864</v>
      </c>
      <c r="F4867" s="4" t="str">
        <f>HYPERLINK("http://141.218.60.56/~jnz1568/getInfo.php?workbook=12_04.xlsx&amp;sheet=A0&amp;row=4867&amp;col=6&amp;number=230500000&amp;sourceID=14","230500000")</f>
        <v>230500000</v>
      </c>
      <c r="G4867" s="4" t="str">
        <f>HYPERLINK("http://141.218.60.56/~jnz1568/getInfo.php?workbook=12_04.xlsx&amp;sheet=A0&amp;row=4867&amp;col=7&amp;number=0&amp;sourceID=14","0")</f>
        <v>0</v>
      </c>
    </row>
    <row r="4868" spans="1:7">
      <c r="A4868" s="3">
        <v>12</v>
      </c>
      <c r="B4868" s="3">
        <v>4</v>
      </c>
      <c r="C4868" s="3">
        <v>100</v>
      </c>
      <c r="D4868" s="3">
        <v>42</v>
      </c>
      <c r="E4868" s="3">
        <v>-217.305</v>
      </c>
      <c r="F4868" s="4" t="str">
        <f>HYPERLINK("http://141.218.60.56/~jnz1568/getInfo.php?workbook=12_04.xlsx&amp;sheet=A0&amp;row=4868&amp;col=6&amp;number=0.001894&amp;sourceID=14","0.001894")</f>
        <v>0.001894</v>
      </c>
      <c r="G4868" s="4" t="str">
        <f>HYPERLINK("http://141.218.60.56/~jnz1568/getInfo.php?workbook=12_04.xlsx&amp;sheet=A0&amp;row=4868&amp;col=7&amp;number=0&amp;sourceID=14","0")</f>
        <v>0</v>
      </c>
    </row>
    <row r="4869" spans="1:7">
      <c r="A4869" s="3">
        <v>12</v>
      </c>
      <c r="B4869" s="3">
        <v>4</v>
      </c>
      <c r="C4869" s="3">
        <v>101</v>
      </c>
      <c r="D4869" s="3">
        <v>42</v>
      </c>
      <c r="E4869" s="3">
        <v>-217.283</v>
      </c>
      <c r="F4869" s="4" t="str">
        <f>HYPERLINK("http://141.218.60.56/~jnz1568/getInfo.php?workbook=12_04.xlsx&amp;sheet=A0&amp;row=4869&amp;col=6&amp;number=12030&amp;sourceID=14","12030")</f>
        <v>12030</v>
      </c>
      <c r="G4869" s="4" t="str">
        <f>HYPERLINK("http://141.218.60.56/~jnz1568/getInfo.php?workbook=12_04.xlsx&amp;sheet=A0&amp;row=4869&amp;col=7&amp;number=0&amp;sourceID=14","0")</f>
        <v>0</v>
      </c>
    </row>
    <row r="4870" spans="1:7">
      <c r="A4870" s="3">
        <v>12</v>
      </c>
      <c r="B4870" s="3">
        <v>4</v>
      </c>
      <c r="C4870" s="3">
        <v>102</v>
      </c>
      <c r="D4870" s="3">
        <v>42</v>
      </c>
      <c r="E4870" s="3">
        <v>-217.233</v>
      </c>
      <c r="F4870" s="4" t="str">
        <f>HYPERLINK("http://141.218.60.56/~jnz1568/getInfo.php?workbook=12_04.xlsx&amp;sheet=A0&amp;row=4870&amp;col=6&amp;number=17240&amp;sourceID=14","17240")</f>
        <v>17240</v>
      </c>
      <c r="G4870" s="4" t="str">
        <f>HYPERLINK("http://141.218.60.56/~jnz1568/getInfo.php?workbook=12_04.xlsx&amp;sheet=A0&amp;row=4870&amp;col=7&amp;number=0&amp;sourceID=14","0")</f>
        <v>0</v>
      </c>
    </row>
    <row r="4871" spans="1:7">
      <c r="A4871" s="3">
        <v>12</v>
      </c>
      <c r="B4871" s="3">
        <v>4</v>
      </c>
      <c r="C4871" s="3">
        <v>103</v>
      </c>
      <c r="D4871" s="3">
        <v>42</v>
      </c>
      <c r="E4871" s="3">
        <v>-217.949</v>
      </c>
      <c r="F4871" s="4" t="str">
        <f>HYPERLINK("http://141.218.60.56/~jnz1568/getInfo.php?workbook=12_04.xlsx&amp;sheet=A0&amp;row=4871&amp;col=6&amp;number=829400&amp;sourceID=14","829400")</f>
        <v>829400</v>
      </c>
      <c r="G4871" s="4" t="str">
        <f>HYPERLINK("http://141.218.60.56/~jnz1568/getInfo.php?workbook=12_04.xlsx&amp;sheet=A0&amp;row=4871&amp;col=7&amp;number=0&amp;sourceID=14","0")</f>
        <v>0</v>
      </c>
    </row>
    <row r="4872" spans="1:7">
      <c r="A4872" s="3">
        <v>12</v>
      </c>
      <c r="B4872" s="3">
        <v>4</v>
      </c>
      <c r="C4872" s="3">
        <v>104</v>
      </c>
      <c r="D4872" s="3">
        <v>42</v>
      </c>
      <c r="E4872" s="3">
        <v>215.213</v>
      </c>
      <c r="F4872" s="4" t="str">
        <f>HYPERLINK("http://141.218.60.56/~jnz1568/getInfo.php?workbook=12_04.xlsx&amp;sheet=A0&amp;row=4872&amp;col=6&amp;number=144&amp;sourceID=14","144")</f>
        <v>144</v>
      </c>
      <c r="G4872" s="4" t="str">
        <f>HYPERLINK("http://141.218.60.56/~jnz1568/getInfo.php?workbook=12_04.xlsx&amp;sheet=A0&amp;row=4872&amp;col=7&amp;number=0&amp;sourceID=14","0")</f>
        <v>0</v>
      </c>
    </row>
    <row r="4873" spans="1:7">
      <c r="A4873" s="3">
        <v>12</v>
      </c>
      <c r="B4873" s="3">
        <v>4</v>
      </c>
      <c r="C4873" s="3">
        <v>105</v>
      </c>
      <c r="D4873" s="3">
        <v>42</v>
      </c>
      <c r="E4873" s="3">
        <v>-214.396</v>
      </c>
      <c r="F4873" s="4" t="str">
        <f>HYPERLINK("http://141.218.60.56/~jnz1568/getInfo.php?workbook=12_04.xlsx&amp;sheet=A0&amp;row=4873&amp;col=6&amp;number=219300000&amp;sourceID=14","219300000")</f>
        <v>219300000</v>
      </c>
      <c r="G4873" s="4" t="str">
        <f>HYPERLINK("http://141.218.60.56/~jnz1568/getInfo.php?workbook=12_04.xlsx&amp;sheet=A0&amp;row=4873&amp;col=7&amp;number=0&amp;sourceID=14","0")</f>
        <v>0</v>
      </c>
    </row>
    <row r="4874" spans="1:7">
      <c r="A4874" s="3">
        <v>12</v>
      </c>
      <c r="B4874" s="3">
        <v>4</v>
      </c>
      <c r="C4874" s="3">
        <v>106</v>
      </c>
      <c r="D4874" s="3">
        <v>42</v>
      </c>
      <c r="E4874" s="3">
        <v>213.344</v>
      </c>
      <c r="F4874" s="4" t="str">
        <f>HYPERLINK("http://141.218.60.56/~jnz1568/getInfo.php?workbook=12_04.xlsx&amp;sheet=A0&amp;row=4874&amp;col=6&amp;number=354600000&amp;sourceID=14","354600000")</f>
        <v>354600000</v>
      </c>
      <c r="G4874" s="4" t="str">
        <f>HYPERLINK("http://141.218.60.56/~jnz1568/getInfo.php?workbook=12_04.xlsx&amp;sheet=A0&amp;row=4874&amp;col=7&amp;number=0&amp;sourceID=14","0")</f>
        <v>0</v>
      </c>
    </row>
    <row r="4875" spans="1:7">
      <c r="A4875" s="3">
        <v>12</v>
      </c>
      <c r="B4875" s="3">
        <v>4</v>
      </c>
      <c r="C4875" s="3">
        <v>108</v>
      </c>
      <c r="D4875" s="3">
        <v>42</v>
      </c>
      <c r="E4875" s="3">
        <v>211.787</v>
      </c>
      <c r="F4875" s="4" t="str">
        <f>HYPERLINK("http://141.218.60.56/~jnz1568/getInfo.php?workbook=12_04.xlsx&amp;sheet=A0&amp;row=4875&amp;col=6&amp;number=60370&amp;sourceID=14","60370")</f>
        <v>60370</v>
      </c>
      <c r="G4875" s="4" t="str">
        <f>HYPERLINK("http://141.218.60.56/~jnz1568/getInfo.php?workbook=12_04.xlsx&amp;sheet=A0&amp;row=4875&amp;col=7&amp;number=0&amp;sourceID=14","0")</f>
        <v>0</v>
      </c>
    </row>
    <row r="4876" spans="1:7">
      <c r="A4876" s="3">
        <v>12</v>
      </c>
      <c r="B4876" s="3">
        <v>4</v>
      </c>
      <c r="C4876" s="3">
        <v>99</v>
      </c>
      <c r="D4876" s="3">
        <v>43</v>
      </c>
      <c r="E4876" s="3">
        <v>-223.083</v>
      </c>
      <c r="F4876" s="4" t="str">
        <f>HYPERLINK("http://141.218.60.56/~jnz1568/getInfo.php?workbook=12_04.xlsx&amp;sheet=A0&amp;row=4876&amp;col=6&amp;number=78230000&amp;sourceID=14","78230000")</f>
        <v>78230000</v>
      </c>
      <c r="G4876" s="4" t="str">
        <f>HYPERLINK("http://141.218.60.56/~jnz1568/getInfo.php?workbook=12_04.xlsx&amp;sheet=A0&amp;row=4876&amp;col=7&amp;number=0&amp;sourceID=14","0")</f>
        <v>0</v>
      </c>
    </row>
    <row r="4877" spans="1:7">
      <c r="A4877" s="3">
        <v>12</v>
      </c>
      <c r="B4877" s="3">
        <v>4</v>
      </c>
      <c r="C4877" s="3">
        <v>101</v>
      </c>
      <c r="D4877" s="3">
        <v>43</v>
      </c>
      <c r="E4877" s="3">
        <v>-217.491</v>
      </c>
      <c r="F4877" s="4" t="str">
        <f>HYPERLINK("http://141.218.60.56/~jnz1568/getInfo.php?workbook=12_04.xlsx&amp;sheet=A0&amp;row=4877&amp;col=6&amp;number=0.0003992&amp;sourceID=14","0.0003992")</f>
        <v>0.0003992</v>
      </c>
      <c r="G4877" s="4" t="str">
        <f>HYPERLINK("http://141.218.60.56/~jnz1568/getInfo.php?workbook=12_04.xlsx&amp;sheet=A0&amp;row=4877&amp;col=7&amp;number=0&amp;sourceID=14","0")</f>
        <v>0</v>
      </c>
    </row>
    <row r="4878" spans="1:7">
      <c r="A4878" s="3">
        <v>12</v>
      </c>
      <c r="B4878" s="3">
        <v>4</v>
      </c>
      <c r="C4878" s="3">
        <v>102</v>
      </c>
      <c r="D4878" s="3">
        <v>43</v>
      </c>
      <c r="E4878" s="3">
        <v>-217.441</v>
      </c>
      <c r="F4878" s="4" t="str">
        <f>HYPERLINK("http://141.218.60.56/~jnz1568/getInfo.php?workbook=12_04.xlsx&amp;sheet=A0&amp;row=4878&amp;col=6&amp;number=8236&amp;sourceID=14","8236")</f>
        <v>8236</v>
      </c>
      <c r="G4878" s="4" t="str">
        <f>HYPERLINK("http://141.218.60.56/~jnz1568/getInfo.php?workbook=12_04.xlsx&amp;sheet=A0&amp;row=4878&amp;col=7&amp;number=0&amp;sourceID=14","0")</f>
        <v>0</v>
      </c>
    </row>
    <row r="4879" spans="1:7">
      <c r="A4879" s="3">
        <v>12</v>
      </c>
      <c r="B4879" s="3">
        <v>4</v>
      </c>
      <c r="C4879" s="3">
        <v>104</v>
      </c>
      <c r="D4879" s="3">
        <v>43</v>
      </c>
      <c r="E4879" s="3">
        <v>215.454</v>
      </c>
      <c r="F4879" s="4" t="str">
        <f>HYPERLINK("http://141.218.60.56/~jnz1568/getInfo.php?workbook=12_04.xlsx&amp;sheet=A0&amp;row=4879&amp;col=6&amp;number=0.01822&amp;sourceID=14","0.01822")</f>
        <v>0.01822</v>
      </c>
      <c r="G4879" s="4" t="str">
        <f>HYPERLINK("http://141.218.60.56/~jnz1568/getInfo.php?workbook=12_04.xlsx&amp;sheet=A0&amp;row=4879&amp;col=7&amp;number=0&amp;sourceID=14","0")</f>
        <v>0</v>
      </c>
    </row>
    <row r="4880" spans="1:7">
      <c r="A4880" s="3">
        <v>12</v>
      </c>
      <c r="B4880" s="3">
        <v>4</v>
      </c>
      <c r="C4880" s="3">
        <v>105</v>
      </c>
      <c r="D4880" s="3">
        <v>43</v>
      </c>
      <c r="E4880" s="3">
        <v>-214.599</v>
      </c>
      <c r="F4880" s="4" t="str">
        <f>HYPERLINK("http://141.218.60.56/~jnz1568/getInfo.php?workbook=12_04.xlsx&amp;sheet=A0&amp;row=4880&amp;col=6&amp;number=275700000&amp;sourceID=14","275700000")</f>
        <v>275700000</v>
      </c>
      <c r="G4880" s="4" t="str">
        <f>HYPERLINK("http://141.218.60.56/~jnz1568/getInfo.php?workbook=12_04.xlsx&amp;sheet=A0&amp;row=4880&amp;col=7&amp;number=0&amp;sourceID=14","0")</f>
        <v>0</v>
      </c>
    </row>
    <row r="4881" spans="1:7">
      <c r="A4881" s="3">
        <v>12</v>
      </c>
      <c r="B4881" s="3">
        <v>4</v>
      </c>
      <c r="C4881" s="3">
        <v>99</v>
      </c>
      <c r="D4881" s="3">
        <v>44</v>
      </c>
      <c r="E4881" s="3">
        <v>-230.779</v>
      </c>
      <c r="F4881" s="4" t="str">
        <f>HYPERLINK("http://141.218.60.56/~jnz1568/getInfo.php?workbook=12_04.xlsx&amp;sheet=A0&amp;row=4881&amp;col=6&amp;number=8.562e-05&amp;sourceID=14","8.562e-05")</f>
        <v>8.562e-05</v>
      </c>
      <c r="G4881" s="4" t="str">
        <f>HYPERLINK("http://141.218.60.56/~jnz1568/getInfo.php?workbook=12_04.xlsx&amp;sheet=A0&amp;row=4881&amp;col=7&amp;number=0&amp;sourceID=14","0")</f>
        <v>0</v>
      </c>
    </row>
    <row r="4882" spans="1:7">
      <c r="A4882" s="3">
        <v>12</v>
      </c>
      <c r="B4882" s="3">
        <v>4</v>
      </c>
      <c r="C4882" s="3">
        <v>101</v>
      </c>
      <c r="D4882" s="3">
        <v>44</v>
      </c>
      <c r="E4882" s="3">
        <v>-224.8</v>
      </c>
      <c r="F4882" s="4" t="str">
        <f>HYPERLINK("http://141.218.60.56/~jnz1568/getInfo.php?workbook=12_04.xlsx&amp;sheet=A0&amp;row=4882&amp;col=6&amp;number=914300&amp;sourceID=14","914300")</f>
        <v>914300</v>
      </c>
      <c r="G4882" s="4" t="str">
        <f>HYPERLINK("http://141.218.60.56/~jnz1568/getInfo.php?workbook=12_04.xlsx&amp;sheet=A0&amp;row=4882&amp;col=7&amp;number=0&amp;sourceID=14","0")</f>
        <v>0</v>
      </c>
    </row>
    <row r="4883" spans="1:7">
      <c r="A4883" s="3">
        <v>12</v>
      </c>
      <c r="B4883" s="3">
        <v>4</v>
      </c>
      <c r="C4883" s="3">
        <v>104</v>
      </c>
      <c r="D4883" s="3">
        <v>44</v>
      </c>
      <c r="E4883" s="3">
        <v>-223.264</v>
      </c>
      <c r="F4883" s="4" t="str">
        <f>HYPERLINK("http://141.218.60.56/~jnz1568/getInfo.php?workbook=12_04.xlsx&amp;sheet=A0&amp;row=4883&amp;col=6&amp;number=3854000000&amp;sourceID=14","3854000000")</f>
        <v>3854000000</v>
      </c>
      <c r="G4883" s="4" t="str">
        <f>HYPERLINK("http://141.218.60.56/~jnz1568/getInfo.php?workbook=12_04.xlsx&amp;sheet=A0&amp;row=4883&amp;col=7&amp;number=0&amp;sourceID=14","0")</f>
        <v>0</v>
      </c>
    </row>
    <row r="4884" spans="1:7">
      <c r="A4884" s="3">
        <v>12</v>
      </c>
      <c r="B4884" s="3">
        <v>4</v>
      </c>
      <c r="C4884" s="3">
        <v>105</v>
      </c>
      <c r="D4884" s="3">
        <v>44</v>
      </c>
      <c r="E4884" s="3">
        <v>-221.711</v>
      </c>
      <c r="F4884" s="4" t="str">
        <f>HYPERLINK("http://141.218.60.56/~jnz1568/getInfo.php?workbook=12_04.xlsx&amp;sheet=A0&amp;row=4884&amp;col=6&amp;number=5.016e-07&amp;sourceID=14","5.016e-07")</f>
        <v>5.016e-07</v>
      </c>
      <c r="G4884" s="4" t="str">
        <f>HYPERLINK("http://141.218.60.56/~jnz1568/getInfo.php?workbook=12_04.xlsx&amp;sheet=A0&amp;row=4884&amp;col=7&amp;number=0&amp;sourceID=14","0")</f>
        <v>0</v>
      </c>
    </row>
    <row r="4885" spans="1:7">
      <c r="A4885" s="3">
        <v>12</v>
      </c>
      <c r="B4885" s="3">
        <v>4</v>
      </c>
      <c r="C4885" s="3">
        <v>106</v>
      </c>
      <c r="D4885" s="3">
        <v>44</v>
      </c>
      <c r="E4885" s="3">
        <v>-221.7</v>
      </c>
      <c r="F4885" s="4" t="str">
        <f>HYPERLINK("http://141.218.60.56/~jnz1568/getInfo.php?workbook=12_04.xlsx&amp;sheet=A0&amp;row=4885&amp;col=6&amp;number=2.049&amp;sourceID=14","2.049")</f>
        <v>2.049</v>
      </c>
      <c r="G4885" s="4" t="str">
        <f>HYPERLINK("http://141.218.60.56/~jnz1568/getInfo.php?workbook=12_04.xlsx&amp;sheet=A0&amp;row=4885&amp;col=7&amp;number=0&amp;sourceID=14","0")</f>
        <v>0</v>
      </c>
    </row>
    <row r="4886" spans="1:7">
      <c r="A4886" s="3">
        <v>12</v>
      </c>
      <c r="B4886" s="3">
        <v>4</v>
      </c>
      <c r="C4886" s="3">
        <v>108</v>
      </c>
      <c r="D4886" s="3">
        <v>44</v>
      </c>
      <c r="E4886" s="3">
        <v>-219.697</v>
      </c>
      <c r="F4886" s="4" t="str">
        <f>HYPERLINK("http://141.218.60.56/~jnz1568/getInfo.php?workbook=12_04.xlsx&amp;sheet=A0&amp;row=4886&amp;col=6&amp;number=9467&amp;sourceID=14","9467")</f>
        <v>9467</v>
      </c>
      <c r="G4886" s="4" t="str">
        <f>HYPERLINK("http://141.218.60.56/~jnz1568/getInfo.php?workbook=12_04.xlsx&amp;sheet=A0&amp;row=4886&amp;col=7&amp;number=0&amp;sourceID=14","0")</f>
        <v>0</v>
      </c>
    </row>
    <row r="4887" spans="1:7">
      <c r="A4887" s="3">
        <v>12</v>
      </c>
      <c r="B4887" s="3">
        <v>4</v>
      </c>
      <c r="C4887" s="3">
        <v>101</v>
      </c>
      <c r="D4887" s="3">
        <v>45</v>
      </c>
      <c r="E4887" s="3">
        <v>-228.623</v>
      </c>
      <c r="F4887" s="4" t="str">
        <f>HYPERLINK("http://141.218.60.56/~jnz1568/getInfo.php?workbook=12_04.xlsx&amp;sheet=A0&amp;row=4887&amp;col=6&amp;number=335.4&amp;sourceID=14","335.4")</f>
        <v>335.4</v>
      </c>
      <c r="G4887" s="4" t="str">
        <f>HYPERLINK("http://141.218.60.56/~jnz1568/getInfo.php?workbook=12_04.xlsx&amp;sheet=A0&amp;row=4887&amp;col=7&amp;number=0&amp;sourceID=14","0")</f>
        <v>0</v>
      </c>
    </row>
    <row r="4888" spans="1:7">
      <c r="A4888" s="3">
        <v>12</v>
      </c>
      <c r="B4888" s="3">
        <v>4</v>
      </c>
      <c r="C4888" s="3">
        <v>102</v>
      </c>
      <c r="D4888" s="3">
        <v>45</v>
      </c>
      <c r="E4888" s="3">
        <v>-228.568</v>
      </c>
      <c r="F4888" s="4" t="str">
        <f>HYPERLINK("http://141.218.60.56/~jnz1568/getInfo.php?workbook=12_04.xlsx&amp;sheet=A0&amp;row=4888&amp;col=6&amp;number=6.263&amp;sourceID=14","6.263")</f>
        <v>6.263</v>
      </c>
      <c r="G4888" s="4" t="str">
        <f>HYPERLINK("http://141.218.60.56/~jnz1568/getInfo.php?workbook=12_04.xlsx&amp;sheet=A0&amp;row=4888&amp;col=7&amp;number=0&amp;sourceID=14","0")</f>
        <v>0</v>
      </c>
    </row>
    <row r="4889" spans="1:7">
      <c r="A4889" s="3">
        <v>12</v>
      </c>
      <c r="B4889" s="3">
        <v>4</v>
      </c>
      <c r="C4889" s="3">
        <v>104</v>
      </c>
      <c r="D4889" s="3">
        <v>45</v>
      </c>
      <c r="E4889" s="3">
        <v>224.127</v>
      </c>
      <c r="F4889" s="4" t="str">
        <f>HYPERLINK("http://141.218.60.56/~jnz1568/getInfo.php?workbook=12_04.xlsx&amp;sheet=A0&amp;row=4889&amp;col=6&amp;number=82010&amp;sourceID=14","82010")</f>
        <v>82010</v>
      </c>
      <c r="G4889" s="4" t="str">
        <f>HYPERLINK("http://141.218.60.56/~jnz1568/getInfo.php?workbook=12_04.xlsx&amp;sheet=A0&amp;row=4889&amp;col=7&amp;number=0&amp;sourceID=14","0")</f>
        <v>0</v>
      </c>
    </row>
    <row r="4890" spans="1:7">
      <c r="A4890" s="3">
        <v>12</v>
      </c>
      <c r="B4890" s="3">
        <v>4</v>
      </c>
      <c r="C4890" s="3">
        <v>106</v>
      </c>
      <c r="D4890" s="3">
        <v>45</v>
      </c>
      <c r="E4890" s="3">
        <v>222.101</v>
      </c>
      <c r="F4890" s="4" t="str">
        <f>HYPERLINK("http://141.218.60.56/~jnz1568/getInfo.php?workbook=12_04.xlsx&amp;sheet=A0&amp;row=4890&amp;col=6&amp;number=489500&amp;sourceID=14","489500")</f>
        <v>489500</v>
      </c>
      <c r="G4890" s="4" t="str">
        <f>HYPERLINK("http://141.218.60.56/~jnz1568/getInfo.php?workbook=12_04.xlsx&amp;sheet=A0&amp;row=4890&amp;col=7&amp;number=0&amp;sourceID=14","0")</f>
        <v>0</v>
      </c>
    </row>
    <row r="4891" spans="1:7">
      <c r="A4891" s="3">
        <v>12</v>
      </c>
      <c r="B4891" s="3">
        <v>4</v>
      </c>
      <c r="C4891" s="3">
        <v>107</v>
      </c>
      <c r="D4891" s="3">
        <v>45</v>
      </c>
      <c r="E4891" s="3">
        <v>222.093</v>
      </c>
      <c r="F4891" s="4" t="str">
        <f>HYPERLINK("http://141.218.60.56/~jnz1568/getInfo.php?workbook=12_04.xlsx&amp;sheet=A0&amp;row=4891&amp;col=6&amp;number=21910&amp;sourceID=14","21910")</f>
        <v>21910</v>
      </c>
      <c r="G4891" s="4" t="str">
        <f>HYPERLINK("http://141.218.60.56/~jnz1568/getInfo.php?workbook=12_04.xlsx&amp;sheet=A0&amp;row=4891&amp;col=7&amp;number=0&amp;sourceID=14","0")</f>
        <v>0</v>
      </c>
    </row>
    <row r="4892" spans="1:7">
      <c r="A4892" s="3">
        <v>12</v>
      </c>
      <c r="B4892" s="3">
        <v>4</v>
      </c>
      <c r="C4892" s="3">
        <v>108</v>
      </c>
      <c r="D4892" s="3">
        <v>45</v>
      </c>
      <c r="E4892" s="3">
        <v>220.414</v>
      </c>
      <c r="F4892" s="4" t="str">
        <f>HYPERLINK("http://141.218.60.56/~jnz1568/getInfo.php?workbook=12_04.xlsx&amp;sheet=A0&amp;row=4892&amp;col=6&amp;number=887200000&amp;sourceID=14","887200000")</f>
        <v>887200000</v>
      </c>
      <c r="G4892" s="4" t="str">
        <f>HYPERLINK("http://141.218.60.56/~jnz1568/getInfo.php?workbook=12_04.xlsx&amp;sheet=A0&amp;row=4892&amp;col=7&amp;number=0&amp;sourceID=14","0")</f>
        <v>0</v>
      </c>
    </row>
    <row r="4893" spans="1:7">
      <c r="A4893" s="3">
        <v>12</v>
      </c>
      <c r="B4893" s="3">
        <v>4</v>
      </c>
      <c r="C4893" s="3">
        <v>99</v>
      </c>
      <c r="D4893" s="3">
        <v>46</v>
      </c>
      <c r="E4893" s="3">
        <v>-237.664</v>
      </c>
      <c r="F4893" s="4" t="str">
        <f>HYPERLINK("http://141.218.60.56/~jnz1568/getInfo.php?workbook=12_04.xlsx&amp;sheet=A0&amp;row=4893&amp;col=6&amp;number=604800&amp;sourceID=14","604800")</f>
        <v>604800</v>
      </c>
      <c r="G4893" s="4" t="str">
        <f>HYPERLINK("http://141.218.60.56/~jnz1568/getInfo.php?workbook=12_04.xlsx&amp;sheet=A0&amp;row=4893&amp;col=7&amp;number=0&amp;sourceID=14","0")</f>
        <v>0</v>
      </c>
    </row>
    <row r="4894" spans="1:7">
      <c r="A4894" s="3">
        <v>12</v>
      </c>
      <c r="B4894" s="3">
        <v>4</v>
      </c>
      <c r="C4894" s="3">
        <v>100</v>
      </c>
      <c r="D4894" s="3">
        <v>46</v>
      </c>
      <c r="E4894" s="3">
        <v>-231.352</v>
      </c>
      <c r="F4894" s="4" t="str">
        <f>HYPERLINK("http://141.218.60.56/~jnz1568/getInfo.php?workbook=12_04.xlsx&amp;sheet=A0&amp;row=4894&amp;col=6&amp;number=0.001589&amp;sourceID=14","0.001589")</f>
        <v>0.001589</v>
      </c>
      <c r="G4894" s="4" t="str">
        <f>HYPERLINK("http://141.218.60.56/~jnz1568/getInfo.php?workbook=12_04.xlsx&amp;sheet=A0&amp;row=4894&amp;col=7&amp;number=0&amp;sourceID=14","0")</f>
        <v>0</v>
      </c>
    </row>
    <row r="4895" spans="1:7">
      <c r="A4895" s="3">
        <v>12</v>
      </c>
      <c r="B4895" s="3">
        <v>4</v>
      </c>
      <c r="C4895" s="3">
        <v>101</v>
      </c>
      <c r="D4895" s="3">
        <v>46</v>
      </c>
      <c r="E4895" s="3">
        <v>-231.327</v>
      </c>
      <c r="F4895" s="4" t="str">
        <f>HYPERLINK("http://141.218.60.56/~jnz1568/getInfo.php?workbook=12_04.xlsx&amp;sheet=A0&amp;row=4895&amp;col=6&amp;number=49.43&amp;sourceID=14","49.43")</f>
        <v>49.43</v>
      </c>
      <c r="G4895" s="4" t="str">
        <f>HYPERLINK("http://141.218.60.56/~jnz1568/getInfo.php?workbook=12_04.xlsx&amp;sheet=A0&amp;row=4895&amp;col=7&amp;number=0&amp;sourceID=14","0")</f>
        <v>0</v>
      </c>
    </row>
    <row r="4896" spans="1:7">
      <c r="A4896" s="3">
        <v>12</v>
      </c>
      <c r="B4896" s="3">
        <v>4</v>
      </c>
      <c r="C4896" s="3">
        <v>102</v>
      </c>
      <c r="D4896" s="3">
        <v>46</v>
      </c>
      <c r="E4896" s="3">
        <v>-231.271</v>
      </c>
      <c r="F4896" s="4" t="str">
        <f>HYPERLINK("http://141.218.60.56/~jnz1568/getInfo.php?workbook=12_04.xlsx&amp;sheet=A0&amp;row=4896&amp;col=6&amp;number=61.45&amp;sourceID=14","61.45")</f>
        <v>61.45</v>
      </c>
      <c r="G4896" s="4" t="str">
        <f>HYPERLINK("http://141.218.60.56/~jnz1568/getInfo.php?workbook=12_04.xlsx&amp;sheet=A0&amp;row=4896&amp;col=7&amp;number=0&amp;sourceID=14","0")</f>
        <v>0</v>
      </c>
    </row>
    <row r="4897" spans="1:7">
      <c r="A4897" s="3">
        <v>12</v>
      </c>
      <c r="B4897" s="3">
        <v>4</v>
      </c>
      <c r="C4897" s="3">
        <v>103</v>
      </c>
      <c r="D4897" s="3">
        <v>46</v>
      </c>
      <c r="E4897" s="3">
        <v>-232.083</v>
      </c>
      <c r="F4897" s="4" t="str">
        <f>HYPERLINK("http://141.218.60.56/~jnz1568/getInfo.php?workbook=12_04.xlsx&amp;sheet=A0&amp;row=4897&amp;col=6&amp;number=1145000000&amp;sourceID=14","1145000000")</f>
        <v>1145000000</v>
      </c>
      <c r="G4897" s="4" t="str">
        <f>HYPERLINK("http://141.218.60.56/~jnz1568/getInfo.php?workbook=12_04.xlsx&amp;sheet=A0&amp;row=4897&amp;col=7&amp;number=0&amp;sourceID=14","0")</f>
        <v>0</v>
      </c>
    </row>
    <row r="4898" spans="1:7">
      <c r="A4898" s="3">
        <v>12</v>
      </c>
      <c r="B4898" s="3">
        <v>4</v>
      </c>
      <c r="C4898" s="3">
        <v>104</v>
      </c>
      <c r="D4898" s="3">
        <v>46</v>
      </c>
      <c r="E4898" s="3">
        <v>227.632</v>
      </c>
      <c r="F4898" s="4" t="str">
        <f>HYPERLINK("http://141.218.60.56/~jnz1568/getInfo.php?workbook=12_04.xlsx&amp;sheet=A0&amp;row=4898&amp;col=6&amp;number=53800&amp;sourceID=14","53800")</f>
        <v>53800</v>
      </c>
      <c r="G4898" s="4" t="str">
        <f>HYPERLINK("http://141.218.60.56/~jnz1568/getInfo.php?workbook=12_04.xlsx&amp;sheet=A0&amp;row=4898&amp;col=7&amp;number=0&amp;sourceID=14","0")</f>
        <v>0</v>
      </c>
    </row>
    <row r="4899" spans="1:7">
      <c r="A4899" s="3">
        <v>12</v>
      </c>
      <c r="B4899" s="3">
        <v>4</v>
      </c>
      <c r="C4899" s="3">
        <v>105</v>
      </c>
      <c r="D4899" s="3">
        <v>46</v>
      </c>
      <c r="E4899" s="3">
        <v>-228.059</v>
      </c>
      <c r="F4899" s="4" t="str">
        <f>HYPERLINK("http://141.218.60.56/~jnz1568/getInfo.php?workbook=12_04.xlsx&amp;sheet=A0&amp;row=4899&amp;col=6&amp;number=89060&amp;sourceID=14","89060")</f>
        <v>89060</v>
      </c>
      <c r="G4899" s="4" t="str">
        <f>HYPERLINK("http://141.218.60.56/~jnz1568/getInfo.php?workbook=12_04.xlsx&amp;sheet=A0&amp;row=4899&amp;col=7&amp;number=0&amp;sourceID=14","0")</f>
        <v>0</v>
      </c>
    </row>
    <row r="4900" spans="1:7">
      <c r="A4900" s="3">
        <v>12</v>
      </c>
      <c r="B4900" s="3">
        <v>4</v>
      </c>
      <c r="C4900" s="3">
        <v>106</v>
      </c>
      <c r="D4900" s="3">
        <v>46</v>
      </c>
      <c r="E4900" s="3">
        <v>225.542</v>
      </c>
      <c r="F4900" s="4" t="str">
        <f>HYPERLINK("http://141.218.60.56/~jnz1568/getInfo.php?workbook=12_04.xlsx&amp;sheet=A0&amp;row=4900&amp;col=6&amp;number=1098000&amp;sourceID=14","1098000")</f>
        <v>1098000</v>
      </c>
      <c r="G4900" s="4" t="str">
        <f>HYPERLINK("http://141.218.60.56/~jnz1568/getInfo.php?workbook=12_04.xlsx&amp;sheet=A0&amp;row=4900&amp;col=7&amp;number=0&amp;sourceID=14","0")</f>
        <v>0</v>
      </c>
    </row>
    <row r="4901" spans="1:7">
      <c r="A4901" s="3">
        <v>12</v>
      </c>
      <c r="B4901" s="3">
        <v>4</v>
      </c>
      <c r="C4901" s="3">
        <v>108</v>
      </c>
      <c r="D4901" s="3">
        <v>46</v>
      </c>
      <c r="E4901" s="3">
        <v>223.803</v>
      </c>
      <c r="F4901" s="4" t="str">
        <f>HYPERLINK("http://141.218.60.56/~jnz1568/getInfo.php?workbook=12_04.xlsx&amp;sheet=A0&amp;row=4901&amp;col=6&amp;number=4569000&amp;sourceID=14","4569000")</f>
        <v>4569000</v>
      </c>
      <c r="G4901" s="4" t="str">
        <f>HYPERLINK("http://141.218.60.56/~jnz1568/getInfo.php?workbook=12_04.xlsx&amp;sheet=A0&amp;row=4901&amp;col=7&amp;number=0&amp;sourceID=14","0")</f>
        <v>0</v>
      </c>
    </row>
    <row r="4902" spans="1:7">
      <c r="A4902" s="3">
        <v>12</v>
      </c>
      <c r="B4902" s="3">
        <v>4</v>
      </c>
      <c r="C4902" s="3">
        <v>99</v>
      </c>
      <c r="D4902" s="3">
        <v>47</v>
      </c>
      <c r="E4902" s="3">
        <v>-444.619</v>
      </c>
      <c r="F4902" s="4" t="str">
        <f>HYPERLINK("http://141.218.60.56/~jnz1568/getInfo.php?workbook=12_04.xlsx&amp;sheet=A0&amp;row=4902&amp;col=6&amp;number=2.25e-05&amp;sourceID=14","2.25e-05")</f>
        <v>2.25e-05</v>
      </c>
      <c r="G4902" s="4" t="str">
        <f>HYPERLINK("http://141.218.60.56/~jnz1568/getInfo.php?workbook=12_04.xlsx&amp;sheet=A0&amp;row=4902&amp;col=7&amp;number=0&amp;sourceID=14","0")</f>
        <v>0</v>
      </c>
    </row>
    <row r="4903" spans="1:7">
      <c r="A4903" s="3">
        <v>12</v>
      </c>
      <c r="B4903" s="3">
        <v>4</v>
      </c>
      <c r="C4903" s="3">
        <v>100</v>
      </c>
      <c r="D4903" s="3">
        <v>47</v>
      </c>
      <c r="E4903" s="3">
        <v>-423.028</v>
      </c>
      <c r="F4903" s="4" t="str">
        <f>HYPERLINK("http://141.218.60.56/~jnz1568/getInfo.php?workbook=12_04.xlsx&amp;sheet=A0&amp;row=4903&amp;col=6&amp;number=3323000000&amp;sourceID=14","3323000000")</f>
        <v>3323000000</v>
      </c>
      <c r="G4903" s="4" t="str">
        <f>HYPERLINK("http://141.218.60.56/~jnz1568/getInfo.php?workbook=12_04.xlsx&amp;sheet=A0&amp;row=4903&amp;col=7&amp;number=0&amp;sourceID=14","0")</f>
        <v>0</v>
      </c>
    </row>
    <row r="4904" spans="1:7">
      <c r="A4904" s="3">
        <v>12</v>
      </c>
      <c r="B4904" s="3">
        <v>4</v>
      </c>
      <c r="C4904" s="3">
        <v>101</v>
      </c>
      <c r="D4904" s="3">
        <v>47</v>
      </c>
      <c r="E4904" s="3">
        <v>-422.945</v>
      </c>
      <c r="F4904" s="4" t="str">
        <f>HYPERLINK("http://141.218.60.56/~jnz1568/getInfo.php?workbook=12_04.xlsx&amp;sheet=A0&amp;row=4904&amp;col=6&amp;number=3309000000&amp;sourceID=14","3309000000")</f>
        <v>3309000000</v>
      </c>
      <c r="G4904" s="4" t="str">
        <f>HYPERLINK("http://141.218.60.56/~jnz1568/getInfo.php?workbook=12_04.xlsx&amp;sheet=A0&amp;row=4904&amp;col=7&amp;number=0&amp;sourceID=14","0")</f>
        <v>0</v>
      </c>
    </row>
    <row r="4905" spans="1:7">
      <c r="A4905" s="3">
        <v>12</v>
      </c>
      <c r="B4905" s="3">
        <v>4</v>
      </c>
      <c r="C4905" s="3">
        <v>102</v>
      </c>
      <c r="D4905" s="3">
        <v>47</v>
      </c>
      <c r="E4905" s="3">
        <v>-422.757</v>
      </c>
      <c r="F4905" s="4" t="str">
        <f>HYPERLINK("http://141.218.60.56/~jnz1568/getInfo.php?workbook=12_04.xlsx&amp;sheet=A0&amp;row=4905&amp;col=6&amp;number=3298000000&amp;sourceID=14","3298000000")</f>
        <v>3298000000</v>
      </c>
      <c r="G4905" s="4" t="str">
        <f>HYPERLINK("http://141.218.60.56/~jnz1568/getInfo.php?workbook=12_04.xlsx&amp;sheet=A0&amp;row=4905&amp;col=7&amp;number=0&amp;sourceID=14","0")</f>
        <v>0</v>
      </c>
    </row>
    <row r="4906" spans="1:7">
      <c r="A4906" s="3">
        <v>12</v>
      </c>
      <c r="B4906" s="3">
        <v>4</v>
      </c>
      <c r="C4906" s="3">
        <v>103</v>
      </c>
      <c r="D4906" s="3">
        <v>47</v>
      </c>
      <c r="E4906" s="3">
        <v>-425.477</v>
      </c>
      <c r="F4906" s="4" t="str">
        <f>HYPERLINK("http://141.218.60.56/~jnz1568/getInfo.php?workbook=12_04.xlsx&amp;sheet=A0&amp;row=4906&amp;col=6&amp;number=0.0001866&amp;sourceID=14","0.0001866")</f>
        <v>0.0001866</v>
      </c>
      <c r="G4906" s="4" t="str">
        <f>HYPERLINK("http://141.218.60.56/~jnz1568/getInfo.php?workbook=12_04.xlsx&amp;sheet=A0&amp;row=4906&amp;col=7&amp;number=0&amp;sourceID=14","0")</f>
        <v>0</v>
      </c>
    </row>
    <row r="4907" spans="1:7">
      <c r="A4907" s="3">
        <v>12</v>
      </c>
      <c r="B4907" s="3">
        <v>4</v>
      </c>
      <c r="C4907" s="3">
        <v>104</v>
      </c>
      <c r="D4907" s="3">
        <v>47</v>
      </c>
      <c r="E4907" s="3">
        <v>-417.542</v>
      </c>
      <c r="F4907" s="4" t="str">
        <f>HYPERLINK("http://141.218.60.56/~jnz1568/getInfo.php?workbook=12_04.xlsx&amp;sheet=A0&amp;row=4907&amp;col=6&amp;number=5224000&amp;sourceID=14","5224000")</f>
        <v>5224000</v>
      </c>
      <c r="G4907" s="4" t="str">
        <f>HYPERLINK("http://141.218.60.56/~jnz1568/getInfo.php?workbook=12_04.xlsx&amp;sheet=A0&amp;row=4907&amp;col=7&amp;number=0&amp;sourceID=14","0")</f>
        <v>0</v>
      </c>
    </row>
    <row r="4908" spans="1:7">
      <c r="A4908" s="3">
        <v>12</v>
      </c>
      <c r="B4908" s="3">
        <v>4</v>
      </c>
      <c r="C4908" s="3">
        <v>105</v>
      </c>
      <c r="D4908" s="3">
        <v>47</v>
      </c>
      <c r="E4908" s="3">
        <v>-412.144</v>
      </c>
      <c r="F4908" s="4" t="str">
        <f>HYPERLINK("http://141.218.60.56/~jnz1568/getInfo.php?workbook=12_04.xlsx&amp;sheet=A0&amp;row=4908&amp;col=6&amp;number=369400&amp;sourceID=14","369400")</f>
        <v>369400</v>
      </c>
      <c r="G4908" s="4" t="str">
        <f>HYPERLINK("http://141.218.60.56/~jnz1568/getInfo.php?workbook=12_04.xlsx&amp;sheet=A0&amp;row=4908&amp;col=7&amp;number=0&amp;sourceID=14","0")</f>
        <v>0</v>
      </c>
    </row>
    <row r="4909" spans="1:7">
      <c r="A4909" s="3">
        <v>12</v>
      </c>
      <c r="B4909" s="3">
        <v>4</v>
      </c>
      <c r="C4909" s="3">
        <v>106</v>
      </c>
      <c r="D4909" s="3">
        <v>47</v>
      </c>
      <c r="E4909" s="3">
        <v>-412.105</v>
      </c>
      <c r="F4909" s="4" t="str">
        <f>HYPERLINK("http://141.218.60.56/~jnz1568/getInfo.php?workbook=12_04.xlsx&amp;sheet=A0&amp;row=4909&amp;col=6&amp;number=369400&amp;sourceID=14","369400")</f>
        <v>369400</v>
      </c>
      <c r="G4909" s="4" t="str">
        <f>HYPERLINK("http://141.218.60.56/~jnz1568/getInfo.php?workbook=12_04.xlsx&amp;sheet=A0&amp;row=4909&amp;col=7&amp;number=0&amp;sourceID=14","0")</f>
        <v>0</v>
      </c>
    </row>
    <row r="4910" spans="1:7">
      <c r="A4910" s="3">
        <v>12</v>
      </c>
      <c r="B4910" s="3">
        <v>4</v>
      </c>
      <c r="C4910" s="3">
        <v>107</v>
      </c>
      <c r="D4910" s="3">
        <v>47</v>
      </c>
      <c r="E4910" s="3">
        <v>-412.045</v>
      </c>
      <c r="F4910" s="4" t="str">
        <f>HYPERLINK("http://141.218.60.56/~jnz1568/getInfo.php?workbook=12_04.xlsx&amp;sheet=A0&amp;row=4910&amp;col=6&amp;number=369400&amp;sourceID=14","369400")</f>
        <v>369400</v>
      </c>
      <c r="G4910" s="4" t="str">
        <f>HYPERLINK("http://141.218.60.56/~jnz1568/getInfo.php?workbook=12_04.xlsx&amp;sheet=A0&amp;row=4910&amp;col=7&amp;number=0&amp;sourceID=14","0")</f>
        <v>0</v>
      </c>
    </row>
    <row r="4911" spans="1:7">
      <c r="A4911" s="3">
        <v>12</v>
      </c>
      <c r="B4911" s="3">
        <v>4</v>
      </c>
      <c r="C4911" s="3">
        <v>108</v>
      </c>
      <c r="D4911" s="3">
        <v>47</v>
      </c>
      <c r="E4911" s="3">
        <v>-405.239</v>
      </c>
      <c r="F4911" s="4" t="str">
        <f>HYPERLINK("http://141.218.60.56/~jnz1568/getInfo.php?workbook=12_04.xlsx&amp;sheet=A0&amp;row=4911&amp;col=6&amp;number=16.37&amp;sourceID=14","16.37")</f>
        <v>16.37</v>
      </c>
      <c r="G4911" s="4" t="str">
        <f>HYPERLINK("http://141.218.60.56/~jnz1568/getInfo.php?workbook=12_04.xlsx&amp;sheet=A0&amp;row=4911&amp;col=7&amp;number=0&amp;sourceID=14","0")</f>
        <v>0</v>
      </c>
    </row>
    <row r="4912" spans="1:7">
      <c r="A4912" s="3">
        <v>12</v>
      </c>
      <c r="B4912" s="3">
        <v>4</v>
      </c>
      <c r="C4912" s="3">
        <v>99</v>
      </c>
      <c r="D4912" s="3">
        <v>48</v>
      </c>
      <c r="E4912" s="3">
        <v>-465.459</v>
      </c>
      <c r="F4912" s="4" t="str">
        <f>HYPERLINK("http://141.218.60.56/~jnz1568/getInfo.php?workbook=12_04.xlsx&amp;sheet=A0&amp;row=4912&amp;col=6&amp;number=2.097e-05&amp;sourceID=14","2.097e-05")</f>
        <v>2.097e-05</v>
      </c>
      <c r="G4912" s="4" t="str">
        <f>HYPERLINK("http://141.218.60.56/~jnz1568/getInfo.php?workbook=12_04.xlsx&amp;sheet=A0&amp;row=4912&amp;col=7&amp;number=0&amp;sourceID=14","0")</f>
        <v>0</v>
      </c>
    </row>
    <row r="4913" spans="1:7">
      <c r="A4913" s="3">
        <v>12</v>
      </c>
      <c r="B4913" s="3">
        <v>4</v>
      </c>
      <c r="C4913" s="3">
        <v>101</v>
      </c>
      <c r="D4913" s="3">
        <v>48</v>
      </c>
      <c r="E4913" s="3">
        <v>-441.76</v>
      </c>
      <c r="F4913" s="4" t="str">
        <f>HYPERLINK("http://141.218.60.56/~jnz1568/getInfo.php?workbook=12_04.xlsx&amp;sheet=A0&amp;row=4913&amp;col=6&amp;number=5717000&amp;sourceID=14","5717000")</f>
        <v>5717000</v>
      </c>
      <c r="G4913" s="4" t="str">
        <f>HYPERLINK("http://141.218.60.56/~jnz1568/getInfo.php?workbook=12_04.xlsx&amp;sheet=A0&amp;row=4913&amp;col=7&amp;number=0&amp;sourceID=14","0")</f>
        <v>0</v>
      </c>
    </row>
    <row r="4914" spans="1:7">
      <c r="A4914" s="3">
        <v>12</v>
      </c>
      <c r="B4914" s="3">
        <v>4</v>
      </c>
      <c r="C4914" s="3">
        <v>104</v>
      </c>
      <c r="D4914" s="3">
        <v>48</v>
      </c>
      <c r="E4914" s="3">
        <v>-435.868</v>
      </c>
      <c r="F4914" s="4" t="str">
        <f>HYPERLINK("http://141.218.60.56/~jnz1568/getInfo.php?workbook=12_04.xlsx&amp;sheet=A0&amp;row=4914&amp;col=6&amp;number=3585000000&amp;sourceID=14","3585000000")</f>
        <v>3585000000</v>
      </c>
      <c r="G4914" s="4" t="str">
        <f>HYPERLINK("http://141.218.60.56/~jnz1568/getInfo.php?workbook=12_04.xlsx&amp;sheet=A0&amp;row=4914&amp;col=7&amp;number=0&amp;sourceID=14","0")</f>
        <v>0</v>
      </c>
    </row>
    <row r="4915" spans="1:7">
      <c r="A4915" s="3">
        <v>12</v>
      </c>
      <c r="B4915" s="3">
        <v>4</v>
      </c>
      <c r="C4915" s="3">
        <v>105</v>
      </c>
      <c r="D4915" s="3">
        <v>48</v>
      </c>
      <c r="E4915" s="3">
        <v>-429.99</v>
      </c>
      <c r="F4915" s="4" t="str">
        <f>HYPERLINK("http://141.218.60.56/~jnz1568/getInfo.php?workbook=12_04.xlsx&amp;sheet=A0&amp;row=4915&amp;col=6&amp;number=4.736e-08&amp;sourceID=14","4.736e-08")</f>
        <v>4.736e-08</v>
      </c>
      <c r="G4915" s="4" t="str">
        <f>HYPERLINK("http://141.218.60.56/~jnz1568/getInfo.php?workbook=12_04.xlsx&amp;sheet=A0&amp;row=4915&amp;col=7&amp;number=0&amp;sourceID=14","0")</f>
        <v>0</v>
      </c>
    </row>
    <row r="4916" spans="1:7">
      <c r="A4916" s="3">
        <v>12</v>
      </c>
      <c r="B4916" s="3">
        <v>4</v>
      </c>
      <c r="C4916" s="3">
        <v>106</v>
      </c>
      <c r="D4916" s="3">
        <v>48</v>
      </c>
      <c r="E4916" s="3">
        <v>-429.947</v>
      </c>
      <c r="F4916" s="4" t="str">
        <f>HYPERLINK("http://141.218.60.56/~jnz1568/getInfo.php?workbook=12_04.xlsx&amp;sheet=A0&amp;row=4916&amp;col=6&amp;number=15.52&amp;sourceID=14","15.52")</f>
        <v>15.52</v>
      </c>
      <c r="G4916" s="4" t="str">
        <f>HYPERLINK("http://141.218.60.56/~jnz1568/getInfo.php?workbook=12_04.xlsx&amp;sheet=A0&amp;row=4916&amp;col=7&amp;number=0&amp;sourceID=14","0")</f>
        <v>0</v>
      </c>
    </row>
    <row r="4917" spans="1:7">
      <c r="A4917" s="3">
        <v>12</v>
      </c>
      <c r="B4917" s="3">
        <v>4</v>
      </c>
      <c r="C4917" s="3">
        <v>108</v>
      </c>
      <c r="D4917" s="3">
        <v>48</v>
      </c>
      <c r="E4917" s="3">
        <v>-422.479</v>
      </c>
      <c r="F4917" s="4" t="str">
        <f>HYPERLINK("http://141.218.60.56/~jnz1568/getInfo.php?workbook=12_04.xlsx&amp;sheet=A0&amp;row=4917&amp;col=6&amp;number=372800&amp;sourceID=14","372800")</f>
        <v>372800</v>
      </c>
      <c r="G4917" s="4" t="str">
        <f>HYPERLINK("http://141.218.60.56/~jnz1568/getInfo.php?workbook=12_04.xlsx&amp;sheet=A0&amp;row=4917&amp;col=7&amp;number=0&amp;sourceID=14","0")</f>
        <v>0</v>
      </c>
    </row>
    <row r="4918" spans="1:7">
      <c r="A4918" s="3">
        <v>12</v>
      </c>
      <c r="B4918" s="3">
        <v>4</v>
      </c>
      <c r="C4918" s="3">
        <v>99</v>
      </c>
      <c r="D4918" s="3">
        <v>49</v>
      </c>
      <c r="E4918" s="3">
        <v>-499.214</v>
      </c>
      <c r="F4918" s="4" t="str">
        <f>HYPERLINK("http://141.218.60.56/~jnz1568/getInfo.php?workbook=12_04.xlsx&amp;sheet=A0&amp;row=4918&amp;col=6&amp;number=636700000&amp;sourceID=14","636700000")</f>
        <v>636700000</v>
      </c>
      <c r="G4918" s="4" t="str">
        <f>HYPERLINK("http://141.218.60.56/~jnz1568/getInfo.php?workbook=12_04.xlsx&amp;sheet=A0&amp;row=4918&amp;col=7&amp;number=0&amp;sourceID=14","0")</f>
        <v>0</v>
      </c>
    </row>
    <row r="4919" spans="1:7">
      <c r="A4919" s="3">
        <v>12</v>
      </c>
      <c r="B4919" s="3">
        <v>4</v>
      </c>
      <c r="C4919" s="3">
        <v>101</v>
      </c>
      <c r="D4919" s="3">
        <v>49</v>
      </c>
      <c r="E4919" s="3">
        <v>-472.054</v>
      </c>
      <c r="F4919" s="4" t="str">
        <f>HYPERLINK("http://141.218.60.56/~jnz1568/getInfo.php?workbook=12_04.xlsx&amp;sheet=A0&amp;row=4919&amp;col=6&amp;number=0.03163&amp;sourceID=14","0.03163")</f>
        <v>0.03163</v>
      </c>
      <c r="G4919" s="4" t="str">
        <f>HYPERLINK("http://141.218.60.56/~jnz1568/getInfo.php?workbook=12_04.xlsx&amp;sheet=A0&amp;row=4919&amp;col=7&amp;number=0&amp;sourceID=14","0")</f>
        <v>0</v>
      </c>
    </row>
    <row r="4920" spans="1:7">
      <c r="A4920" s="3">
        <v>12</v>
      </c>
      <c r="B4920" s="3">
        <v>4</v>
      </c>
      <c r="C4920" s="3">
        <v>102</v>
      </c>
      <c r="D4920" s="3">
        <v>49</v>
      </c>
      <c r="E4920" s="3">
        <v>-471.819</v>
      </c>
      <c r="F4920" s="4" t="str">
        <f>HYPERLINK("http://141.218.60.56/~jnz1568/getInfo.php?workbook=12_04.xlsx&amp;sheet=A0&amp;row=4920&amp;col=6&amp;number=51730&amp;sourceID=14","51730")</f>
        <v>51730</v>
      </c>
      <c r="G4920" s="4" t="str">
        <f>HYPERLINK("http://141.218.60.56/~jnz1568/getInfo.php?workbook=12_04.xlsx&amp;sheet=A0&amp;row=4920&amp;col=7&amp;number=0&amp;sourceID=14","0")</f>
        <v>0</v>
      </c>
    </row>
    <row r="4921" spans="1:7">
      <c r="A4921" s="3">
        <v>12</v>
      </c>
      <c r="B4921" s="3">
        <v>4</v>
      </c>
      <c r="C4921" s="3">
        <v>104</v>
      </c>
      <c r="D4921" s="3">
        <v>49</v>
      </c>
      <c r="E4921" s="3">
        <v>-465.332</v>
      </c>
      <c r="F4921" s="4" t="str">
        <f>HYPERLINK("http://141.218.60.56/~jnz1568/getInfo.php?workbook=12_04.xlsx&amp;sheet=A0&amp;row=4921&amp;col=6&amp;number=0.07369&amp;sourceID=14","0.07369")</f>
        <v>0.07369</v>
      </c>
      <c r="G4921" s="4" t="str">
        <f>HYPERLINK("http://141.218.60.56/~jnz1568/getInfo.php?workbook=12_04.xlsx&amp;sheet=A0&amp;row=4921&amp;col=7&amp;number=0&amp;sourceID=14","0")</f>
        <v>0</v>
      </c>
    </row>
    <row r="4922" spans="1:7">
      <c r="A4922" s="3">
        <v>12</v>
      </c>
      <c r="B4922" s="3">
        <v>4</v>
      </c>
      <c r="C4922" s="3">
        <v>105</v>
      </c>
      <c r="D4922" s="3">
        <v>49</v>
      </c>
      <c r="E4922" s="3">
        <v>-458.639</v>
      </c>
      <c r="F4922" s="4" t="str">
        <f>HYPERLINK("http://141.218.60.56/~jnz1568/getInfo.php?workbook=12_04.xlsx&amp;sheet=A0&amp;row=4922&amp;col=6&amp;number=4851000000&amp;sourceID=14","4851000000")</f>
        <v>4851000000</v>
      </c>
      <c r="G4922" s="4" t="str">
        <f>HYPERLINK("http://141.218.60.56/~jnz1568/getInfo.php?workbook=12_04.xlsx&amp;sheet=A0&amp;row=4922&amp;col=7&amp;number=0&amp;sourceID=14","0")</f>
        <v>0</v>
      </c>
    </row>
    <row r="4923" spans="1:7">
      <c r="A4923" s="3">
        <v>12</v>
      </c>
      <c r="B4923" s="3">
        <v>4</v>
      </c>
      <c r="C4923" s="3">
        <v>99</v>
      </c>
      <c r="D4923" s="3">
        <v>50</v>
      </c>
      <c r="E4923" s="3">
        <v>-499.503</v>
      </c>
      <c r="F4923" s="4" t="str">
        <f>HYPERLINK("http://141.218.60.56/~jnz1568/getInfo.php?workbook=12_04.xlsx&amp;sheet=A0&amp;row=4923&amp;col=6&amp;number=1925000000&amp;sourceID=14","1925000000")</f>
        <v>1925000000</v>
      </c>
      <c r="G4923" s="4" t="str">
        <f>HYPERLINK("http://141.218.60.56/~jnz1568/getInfo.php?workbook=12_04.xlsx&amp;sheet=A0&amp;row=4923&amp;col=7&amp;number=0&amp;sourceID=14","0")</f>
        <v>0</v>
      </c>
    </row>
    <row r="4924" spans="1:7">
      <c r="A4924" s="3">
        <v>12</v>
      </c>
      <c r="B4924" s="3">
        <v>4</v>
      </c>
      <c r="C4924" s="3">
        <v>100</v>
      </c>
      <c r="D4924" s="3">
        <v>50</v>
      </c>
      <c r="E4924" s="3">
        <v>-472.415</v>
      </c>
      <c r="F4924" s="4" t="str">
        <f>HYPERLINK("http://141.218.60.56/~jnz1568/getInfo.php?workbook=12_04.xlsx&amp;sheet=A0&amp;row=4924&amp;col=6&amp;number=0.09074&amp;sourceID=14","0.09074")</f>
        <v>0.09074</v>
      </c>
      <c r="G4924" s="4" t="str">
        <f>HYPERLINK("http://141.218.60.56/~jnz1568/getInfo.php?workbook=12_04.xlsx&amp;sheet=A0&amp;row=4924&amp;col=7&amp;number=0&amp;sourceID=14","0")</f>
        <v>0</v>
      </c>
    </row>
    <row r="4925" spans="1:7">
      <c r="A4925" s="3">
        <v>12</v>
      </c>
      <c r="B4925" s="3">
        <v>4</v>
      </c>
      <c r="C4925" s="3">
        <v>101</v>
      </c>
      <c r="D4925" s="3">
        <v>50</v>
      </c>
      <c r="E4925" s="3">
        <v>-472.313</v>
      </c>
      <c r="F4925" s="4" t="str">
        <f>HYPERLINK("http://141.218.60.56/~jnz1568/getInfo.php?workbook=12_04.xlsx&amp;sheet=A0&amp;row=4925&amp;col=6&amp;number=63570&amp;sourceID=14","63570")</f>
        <v>63570</v>
      </c>
      <c r="G4925" s="4" t="str">
        <f>HYPERLINK("http://141.218.60.56/~jnz1568/getInfo.php?workbook=12_04.xlsx&amp;sheet=A0&amp;row=4925&amp;col=7&amp;number=0&amp;sourceID=14","0")</f>
        <v>0</v>
      </c>
    </row>
    <row r="4926" spans="1:7">
      <c r="A4926" s="3">
        <v>12</v>
      </c>
      <c r="B4926" s="3">
        <v>4</v>
      </c>
      <c r="C4926" s="3">
        <v>102</v>
      </c>
      <c r="D4926" s="3">
        <v>50</v>
      </c>
      <c r="E4926" s="3">
        <v>-472.077</v>
      </c>
      <c r="F4926" s="4" t="str">
        <f>HYPERLINK("http://141.218.60.56/~jnz1568/getInfo.php?workbook=12_04.xlsx&amp;sheet=A0&amp;row=4926&amp;col=6&amp;number=116000&amp;sourceID=14","116000")</f>
        <v>116000</v>
      </c>
      <c r="G4926" s="4" t="str">
        <f>HYPERLINK("http://141.218.60.56/~jnz1568/getInfo.php?workbook=12_04.xlsx&amp;sheet=A0&amp;row=4926&amp;col=7&amp;number=0&amp;sourceID=14","0")</f>
        <v>0</v>
      </c>
    </row>
    <row r="4927" spans="1:7">
      <c r="A4927" s="3">
        <v>12</v>
      </c>
      <c r="B4927" s="3">
        <v>4</v>
      </c>
      <c r="C4927" s="3">
        <v>103</v>
      </c>
      <c r="D4927" s="3">
        <v>50</v>
      </c>
      <c r="E4927" s="3">
        <v>-475.472</v>
      </c>
      <c r="F4927" s="4" t="str">
        <f>HYPERLINK("http://141.218.60.56/~jnz1568/getInfo.php?workbook=12_04.xlsx&amp;sheet=A0&amp;row=4927&amp;col=6&amp;number=19810000&amp;sourceID=14","19810000")</f>
        <v>19810000</v>
      </c>
      <c r="G4927" s="4" t="str">
        <f>HYPERLINK("http://141.218.60.56/~jnz1568/getInfo.php?workbook=12_04.xlsx&amp;sheet=A0&amp;row=4927&amp;col=7&amp;number=0&amp;sourceID=14","0")</f>
        <v>0</v>
      </c>
    </row>
    <row r="4928" spans="1:7">
      <c r="A4928" s="3">
        <v>12</v>
      </c>
      <c r="B4928" s="3">
        <v>4</v>
      </c>
      <c r="C4928" s="3">
        <v>104</v>
      </c>
      <c r="D4928" s="3">
        <v>50</v>
      </c>
      <c r="E4928" s="3">
        <v>-465.584</v>
      </c>
      <c r="F4928" s="4" t="str">
        <f>HYPERLINK("http://141.218.60.56/~jnz1568/getInfo.php?workbook=12_04.xlsx&amp;sheet=A0&amp;row=4928&amp;col=6&amp;number=1819&amp;sourceID=14","1819")</f>
        <v>1819</v>
      </c>
      <c r="G4928" s="4" t="str">
        <f>HYPERLINK("http://141.218.60.56/~jnz1568/getInfo.php?workbook=12_04.xlsx&amp;sheet=A0&amp;row=4928&amp;col=7&amp;number=0&amp;sourceID=14","0")</f>
        <v>0</v>
      </c>
    </row>
    <row r="4929" spans="1:7">
      <c r="A4929" s="3">
        <v>12</v>
      </c>
      <c r="B4929" s="3">
        <v>4</v>
      </c>
      <c r="C4929" s="3">
        <v>105</v>
      </c>
      <c r="D4929" s="3">
        <v>50</v>
      </c>
      <c r="E4929" s="3">
        <v>-458.883</v>
      </c>
      <c r="F4929" s="4" t="str">
        <f>HYPERLINK("http://141.218.60.56/~jnz1568/getInfo.php?workbook=12_04.xlsx&amp;sheet=A0&amp;row=4929&amp;col=6&amp;number=3631000000&amp;sourceID=14","3631000000")</f>
        <v>3631000000</v>
      </c>
      <c r="G4929" s="4" t="str">
        <f>HYPERLINK("http://141.218.60.56/~jnz1568/getInfo.php?workbook=12_04.xlsx&amp;sheet=A0&amp;row=4929&amp;col=7&amp;number=0&amp;sourceID=14","0")</f>
        <v>0</v>
      </c>
    </row>
    <row r="4930" spans="1:7">
      <c r="A4930" s="3">
        <v>12</v>
      </c>
      <c r="B4930" s="3">
        <v>4</v>
      </c>
      <c r="C4930" s="3">
        <v>106</v>
      </c>
      <c r="D4930" s="3">
        <v>50</v>
      </c>
      <c r="E4930" s="3">
        <v>-458.834</v>
      </c>
      <c r="F4930" s="4" t="str">
        <f>HYPERLINK("http://141.218.60.56/~jnz1568/getInfo.php?workbook=12_04.xlsx&amp;sheet=A0&amp;row=4930&amp;col=6&amp;number=6531000000&amp;sourceID=14","6531000000")</f>
        <v>6531000000</v>
      </c>
      <c r="G4930" s="4" t="str">
        <f>HYPERLINK("http://141.218.60.56/~jnz1568/getInfo.php?workbook=12_04.xlsx&amp;sheet=A0&amp;row=4930&amp;col=7&amp;number=0&amp;sourceID=14","0")</f>
        <v>0</v>
      </c>
    </row>
    <row r="4931" spans="1:7">
      <c r="A4931" s="3">
        <v>12</v>
      </c>
      <c r="B4931" s="3">
        <v>4</v>
      </c>
      <c r="C4931" s="3">
        <v>108</v>
      </c>
      <c r="D4931" s="3">
        <v>50</v>
      </c>
      <c r="E4931" s="3">
        <v>-450.339</v>
      </c>
      <c r="F4931" s="4" t="str">
        <f>HYPERLINK("http://141.218.60.56/~jnz1568/getInfo.php?workbook=12_04.xlsx&amp;sheet=A0&amp;row=4931&amp;col=6&amp;number=27090000&amp;sourceID=14","27090000")</f>
        <v>27090000</v>
      </c>
      <c r="G4931" s="4" t="str">
        <f>HYPERLINK("http://141.218.60.56/~jnz1568/getInfo.php?workbook=12_04.xlsx&amp;sheet=A0&amp;row=4931&amp;col=7&amp;number=0&amp;sourceID=14","0")</f>
        <v>0</v>
      </c>
    </row>
    <row r="4932" spans="1:7">
      <c r="A4932" s="3">
        <v>12</v>
      </c>
      <c r="B4932" s="3">
        <v>4</v>
      </c>
      <c r="C4932" s="3">
        <v>99</v>
      </c>
      <c r="D4932" s="3">
        <v>51</v>
      </c>
      <c r="E4932" s="3">
        <v>-500.158</v>
      </c>
      <c r="F4932" s="4" t="str">
        <f>HYPERLINK("http://141.218.60.56/~jnz1568/getInfo.php?workbook=12_04.xlsx&amp;sheet=A0&amp;row=4932&amp;col=6&amp;number=3294000000&amp;sourceID=14","3294000000")</f>
        <v>3294000000</v>
      </c>
      <c r="G4932" s="4" t="str">
        <f>HYPERLINK("http://141.218.60.56/~jnz1568/getInfo.php?workbook=12_04.xlsx&amp;sheet=A0&amp;row=4932&amp;col=7&amp;number=0&amp;sourceID=14","0")</f>
        <v>0</v>
      </c>
    </row>
    <row r="4933" spans="1:7">
      <c r="A4933" s="3">
        <v>12</v>
      </c>
      <c r="B4933" s="3">
        <v>4</v>
      </c>
      <c r="C4933" s="3">
        <v>100</v>
      </c>
      <c r="D4933" s="3">
        <v>51</v>
      </c>
      <c r="E4933" s="3">
        <v>-473.001</v>
      </c>
      <c r="F4933" s="4" t="str">
        <f>HYPERLINK("http://141.218.60.56/~jnz1568/getInfo.php?workbook=12_04.xlsx&amp;sheet=A0&amp;row=4933&amp;col=6&amp;number=258700&amp;sourceID=14","258700")</f>
        <v>258700</v>
      </c>
      <c r="G4933" s="4" t="str">
        <f>HYPERLINK("http://141.218.60.56/~jnz1568/getInfo.php?workbook=12_04.xlsx&amp;sheet=A0&amp;row=4933&amp;col=7&amp;number=0&amp;sourceID=14","0")</f>
        <v>0</v>
      </c>
    </row>
    <row r="4934" spans="1:7">
      <c r="A4934" s="3">
        <v>12</v>
      </c>
      <c r="B4934" s="3">
        <v>4</v>
      </c>
      <c r="C4934" s="3">
        <v>101</v>
      </c>
      <c r="D4934" s="3">
        <v>51</v>
      </c>
      <c r="E4934" s="3">
        <v>-472.898</v>
      </c>
      <c r="F4934" s="4" t="str">
        <f>HYPERLINK("http://141.218.60.56/~jnz1568/getInfo.php?workbook=12_04.xlsx&amp;sheet=A0&amp;row=4934&amp;col=6&amp;number=193900&amp;sourceID=14","193900")</f>
        <v>193900</v>
      </c>
      <c r="G4934" s="4" t="str">
        <f>HYPERLINK("http://141.218.60.56/~jnz1568/getInfo.php?workbook=12_04.xlsx&amp;sheet=A0&amp;row=4934&amp;col=7&amp;number=0&amp;sourceID=14","0")</f>
        <v>0</v>
      </c>
    </row>
    <row r="4935" spans="1:7">
      <c r="A4935" s="3">
        <v>12</v>
      </c>
      <c r="B4935" s="3">
        <v>4</v>
      </c>
      <c r="C4935" s="3">
        <v>102</v>
      </c>
      <c r="D4935" s="3">
        <v>51</v>
      </c>
      <c r="E4935" s="3">
        <v>-472.662</v>
      </c>
      <c r="F4935" s="4" t="str">
        <f>HYPERLINK("http://141.218.60.56/~jnz1568/getInfo.php?workbook=12_04.xlsx&amp;sheet=A0&amp;row=4935&amp;col=6&amp;number=90800&amp;sourceID=14","90800")</f>
        <v>90800</v>
      </c>
      <c r="G4935" s="4" t="str">
        <f>HYPERLINK("http://141.218.60.56/~jnz1568/getInfo.php?workbook=12_04.xlsx&amp;sheet=A0&amp;row=4935&amp;col=7&amp;number=0&amp;sourceID=14","0")</f>
        <v>0</v>
      </c>
    </row>
    <row r="4936" spans="1:7">
      <c r="A4936" s="3">
        <v>12</v>
      </c>
      <c r="B4936" s="3">
        <v>4</v>
      </c>
      <c r="C4936" s="3">
        <v>104</v>
      </c>
      <c r="D4936" s="3">
        <v>51</v>
      </c>
      <c r="E4936" s="3">
        <v>-466.152</v>
      </c>
      <c r="F4936" s="4" t="str">
        <f>HYPERLINK("http://141.218.60.56/~jnz1568/getInfo.php?workbook=12_04.xlsx&amp;sheet=A0&amp;row=4936&amp;col=6&amp;number=293.1&amp;sourceID=14","293.1")</f>
        <v>293.1</v>
      </c>
      <c r="G4936" s="4" t="str">
        <f>HYPERLINK("http://141.218.60.56/~jnz1568/getInfo.php?workbook=12_04.xlsx&amp;sheet=A0&amp;row=4936&amp;col=7&amp;number=0&amp;sourceID=14","0")</f>
        <v>0</v>
      </c>
    </row>
    <row r="4937" spans="1:7">
      <c r="A4937" s="3">
        <v>12</v>
      </c>
      <c r="B4937" s="3">
        <v>4</v>
      </c>
      <c r="C4937" s="3">
        <v>105</v>
      </c>
      <c r="D4937" s="3">
        <v>51</v>
      </c>
      <c r="E4937" s="3">
        <v>-459.435</v>
      </c>
      <c r="F4937" s="4" t="str">
        <f>HYPERLINK("http://141.218.60.56/~jnz1568/getInfo.php?workbook=12_04.xlsx&amp;sheet=A0&amp;row=4937&amp;col=6&amp;number=244200000&amp;sourceID=14","244200000")</f>
        <v>244200000</v>
      </c>
      <c r="G4937" s="4" t="str">
        <f>HYPERLINK("http://141.218.60.56/~jnz1568/getInfo.php?workbook=12_04.xlsx&amp;sheet=A0&amp;row=4937&amp;col=7&amp;number=0&amp;sourceID=14","0")</f>
        <v>0</v>
      </c>
    </row>
    <row r="4938" spans="1:7">
      <c r="A4938" s="3">
        <v>12</v>
      </c>
      <c r="B4938" s="3">
        <v>4</v>
      </c>
      <c r="C4938" s="3">
        <v>106</v>
      </c>
      <c r="D4938" s="3">
        <v>51</v>
      </c>
      <c r="E4938" s="3">
        <v>-459.386</v>
      </c>
      <c r="F4938" s="4" t="str">
        <f>HYPERLINK("http://141.218.60.56/~jnz1568/getInfo.php?workbook=12_04.xlsx&amp;sheet=A0&amp;row=4938&amp;col=6&amp;number=2194000000&amp;sourceID=14","2194000000")</f>
        <v>2194000000</v>
      </c>
      <c r="G4938" s="4" t="str">
        <f>HYPERLINK("http://141.218.60.56/~jnz1568/getInfo.php?workbook=12_04.xlsx&amp;sheet=A0&amp;row=4938&amp;col=7&amp;number=0&amp;sourceID=14","0")</f>
        <v>0</v>
      </c>
    </row>
    <row r="4939" spans="1:7">
      <c r="A4939" s="3">
        <v>12</v>
      </c>
      <c r="B4939" s="3">
        <v>4</v>
      </c>
      <c r="C4939" s="3">
        <v>107</v>
      </c>
      <c r="D4939" s="3">
        <v>51</v>
      </c>
      <c r="E4939" s="3">
        <v>-459.312</v>
      </c>
      <c r="F4939" s="4" t="str">
        <f>HYPERLINK("http://141.218.60.56/~jnz1568/getInfo.php?workbook=12_04.xlsx&amp;sheet=A0&amp;row=4939&amp;col=6&amp;number=8759000000&amp;sourceID=14","8759000000")</f>
        <v>8759000000</v>
      </c>
      <c r="G4939" s="4" t="str">
        <f>HYPERLINK("http://141.218.60.56/~jnz1568/getInfo.php?workbook=12_04.xlsx&amp;sheet=A0&amp;row=4939&amp;col=7&amp;number=0&amp;sourceID=14","0")</f>
        <v>0</v>
      </c>
    </row>
    <row r="4940" spans="1:7">
      <c r="A4940" s="3">
        <v>12</v>
      </c>
      <c r="B4940" s="3">
        <v>4</v>
      </c>
      <c r="C4940" s="3">
        <v>108</v>
      </c>
      <c r="D4940" s="3">
        <v>51</v>
      </c>
      <c r="E4940" s="3">
        <v>-450.871</v>
      </c>
      <c r="F4940" s="4" t="str">
        <f>HYPERLINK("http://141.218.60.56/~jnz1568/getInfo.php?workbook=12_04.xlsx&amp;sheet=A0&amp;row=4940&amp;col=6&amp;number=109700&amp;sourceID=14","109700")</f>
        <v>109700</v>
      </c>
      <c r="G4940" s="4" t="str">
        <f>HYPERLINK("http://141.218.60.56/~jnz1568/getInfo.php?workbook=12_04.xlsx&amp;sheet=A0&amp;row=4940&amp;col=7&amp;number=0&amp;sourceID=14","0")</f>
        <v>0</v>
      </c>
    </row>
    <row r="4941" spans="1:7">
      <c r="A4941" s="3">
        <v>12</v>
      </c>
      <c r="B4941" s="3">
        <v>4</v>
      </c>
      <c r="C4941" s="3">
        <v>99</v>
      </c>
      <c r="D4941" s="3">
        <v>52</v>
      </c>
      <c r="E4941" s="3">
        <v>-507.151</v>
      </c>
      <c r="F4941" s="4" t="str">
        <f>HYPERLINK("http://141.218.60.56/~jnz1568/getInfo.php?workbook=12_04.xlsx&amp;sheet=A0&amp;row=4941&amp;col=6&amp;number=7250000&amp;sourceID=14","7250000")</f>
        <v>7250000</v>
      </c>
      <c r="G4941" s="4" t="str">
        <f>HYPERLINK("http://141.218.60.56/~jnz1568/getInfo.php?workbook=12_04.xlsx&amp;sheet=A0&amp;row=4941&amp;col=7&amp;number=0&amp;sourceID=14","0")</f>
        <v>0</v>
      </c>
    </row>
    <row r="4942" spans="1:7">
      <c r="A4942" s="3">
        <v>12</v>
      </c>
      <c r="B4942" s="3">
        <v>4</v>
      </c>
      <c r="C4942" s="3">
        <v>100</v>
      </c>
      <c r="D4942" s="3">
        <v>52</v>
      </c>
      <c r="E4942" s="3">
        <v>-479.251</v>
      </c>
      <c r="F4942" s="4" t="str">
        <f>HYPERLINK("http://141.218.60.56/~jnz1568/getInfo.php?workbook=12_04.xlsx&amp;sheet=A0&amp;row=4942&amp;col=6&amp;number=0.2064&amp;sourceID=14","0.2064")</f>
        <v>0.2064</v>
      </c>
      <c r="G4942" s="4" t="str">
        <f>HYPERLINK("http://141.218.60.56/~jnz1568/getInfo.php?workbook=12_04.xlsx&amp;sheet=A0&amp;row=4942&amp;col=7&amp;number=0&amp;sourceID=14","0")</f>
        <v>0</v>
      </c>
    </row>
    <row r="4943" spans="1:7">
      <c r="A4943" s="3">
        <v>12</v>
      </c>
      <c r="B4943" s="3">
        <v>4</v>
      </c>
      <c r="C4943" s="3">
        <v>101</v>
      </c>
      <c r="D4943" s="3">
        <v>52</v>
      </c>
      <c r="E4943" s="3">
        <v>-479.145</v>
      </c>
      <c r="F4943" s="4" t="str">
        <f>HYPERLINK("http://141.218.60.56/~jnz1568/getInfo.php?workbook=12_04.xlsx&amp;sheet=A0&amp;row=4943&amp;col=6&amp;number=1375&amp;sourceID=14","1375")</f>
        <v>1375</v>
      </c>
      <c r="G4943" s="4" t="str">
        <f>HYPERLINK("http://141.218.60.56/~jnz1568/getInfo.php?workbook=12_04.xlsx&amp;sheet=A0&amp;row=4943&amp;col=7&amp;number=0&amp;sourceID=14","0")</f>
        <v>0</v>
      </c>
    </row>
    <row r="4944" spans="1:7">
      <c r="A4944" s="3">
        <v>12</v>
      </c>
      <c r="B4944" s="3">
        <v>4</v>
      </c>
      <c r="C4944" s="3">
        <v>102</v>
      </c>
      <c r="D4944" s="3">
        <v>52</v>
      </c>
      <c r="E4944" s="3">
        <v>-478.903</v>
      </c>
      <c r="F4944" s="4" t="str">
        <f>HYPERLINK("http://141.218.60.56/~jnz1568/getInfo.php?workbook=12_04.xlsx&amp;sheet=A0&amp;row=4944&amp;col=6&amp;number=489.3&amp;sourceID=14","489.3")</f>
        <v>489.3</v>
      </c>
      <c r="G4944" s="4" t="str">
        <f>HYPERLINK("http://141.218.60.56/~jnz1568/getInfo.php?workbook=12_04.xlsx&amp;sheet=A0&amp;row=4944&amp;col=7&amp;number=0&amp;sourceID=14","0")</f>
        <v>0</v>
      </c>
    </row>
    <row r="4945" spans="1:7">
      <c r="A4945" s="3">
        <v>12</v>
      </c>
      <c r="B4945" s="3">
        <v>4</v>
      </c>
      <c r="C4945" s="3">
        <v>103</v>
      </c>
      <c r="D4945" s="3">
        <v>52</v>
      </c>
      <c r="E4945" s="3">
        <v>-482.397</v>
      </c>
      <c r="F4945" s="4" t="str">
        <f>HYPERLINK("http://141.218.60.56/~jnz1568/getInfo.php?workbook=12_04.xlsx&amp;sheet=A0&amp;row=4945&amp;col=6&amp;number=3247000000&amp;sourceID=14","3247000000")</f>
        <v>3247000000</v>
      </c>
      <c r="G4945" s="4" t="str">
        <f>HYPERLINK("http://141.218.60.56/~jnz1568/getInfo.php?workbook=12_04.xlsx&amp;sheet=A0&amp;row=4945&amp;col=7&amp;number=0&amp;sourceID=14","0")</f>
        <v>0</v>
      </c>
    </row>
    <row r="4946" spans="1:7">
      <c r="A4946" s="3">
        <v>12</v>
      </c>
      <c r="B4946" s="3">
        <v>4</v>
      </c>
      <c r="C4946" s="3">
        <v>104</v>
      </c>
      <c r="D4946" s="3">
        <v>52</v>
      </c>
      <c r="E4946" s="3">
        <v>471.286</v>
      </c>
      <c r="F4946" s="4" t="str">
        <f>HYPERLINK("http://141.218.60.56/~jnz1568/getInfo.php?workbook=12_04.xlsx&amp;sheet=A0&amp;row=4946&amp;col=6&amp;number=259900&amp;sourceID=14","259900")</f>
        <v>259900</v>
      </c>
      <c r="G4946" s="4" t="str">
        <f>HYPERLINK("http://141.218.60.56/~jnz1568/getInfo.php?workbook=12_04.xlsx&amp;sheet=A0&amp;row=4946&amp;col=7&amp;number=0&amp;sourceID=14","0")</f>
        <v>0</v>
      </c>
    </row>
    <row r="4947" spans="1:7">
      <c r="A4947" s="3">
        <v>12</v>
      </c>
      <c r="B4947" s="3">
        <v>4</v>
      </c>
      <c r="C4947" s="3">
        <v>105</v>
      </c>
      <c r="D4947" s="3">
        <v>52</v>
      </c>
      <c r="E4947" s="3">
        <v>-465.329</v>
      </c>
      <c r="F4947" s="4" t="str">
        <f>HYPERLINK("http://141.218.60.56/~jnz1568/getInfo.php?workbook=12_04.xlsx&amp;sheet=A0&amp;row=4947&amp;col=6&amp;number=15610000&amp;sourceID=14","15610000")</f>
        <v>15610000</v>
      </c>
      <c r="G4947" s="4" t="str">
        <f>HYPERLINK("http://141.218.60.56/~jnz1568/getInfo.php?workbook=12_04.xlsx&amp;sheet=A0&amp;row=4947&amp;col=7&amp;number=0&amp;sourceID=14","0")</f>
        <v>0</v>
      </c>
    </row>
    <row r="4948" spans="1:7">
      <c r="A4948" s="3">
        <v>12</v>
      </c>
      <c r="B4948" s="3">
        <v>4</v>
      </c>
      <c r="C4948" s="3">
        <v>106</v>
      </c>
      <c r="D4948" s="3">
        <v>52</v>
      </c>
      <c r="E4948" s="3">
        <v>462.414</v>
      </c>
      <c r="F4948" s="4" t="str">
        <f>HYPERLINK("http://141.218.60.56/~jnz1568/getInfo.php?workbook=12_04.xlsx&amp;sheet=A0&amp;row=4948&amp;col=6&amp;number=22610000&amp;sourceID=14","22610000")</f>
        <v>22610000</v>
      </c>
      <c r="G4948" s="4" t="str">
        <f>HYPERLINK("http://141.218.60.56/~jnz1568/getInfo.php?workbook=12_04.xlsx&amp;sheet=A0&amp;row=4948&amp;col=7&amp;number=0&amp;sourceID=14","0")</f>
        <v>0</v>
      </c>
    </row>
    <row r="4949" spans="1:7">
      <c r="A4949" s="3">
        <v>12</v>
      </c>
      <c r="B4949" s="3">
        <v>4</v>
      </c>
      <c r="C4949" s="3">
        <v>108</v>
      </c>
      <c r="D4949" s="3">
        <v>52</v>
      </c>
      <c r="E4949" s="3">
        <v>455.161</v>
      </c>
      <c r="F4949" s="4" t="str">
        <f>HYPERLINK("http://141.218.60.56/~jnz1568/getInfo.php?workbook=12_04.xlsx&amp;sheet=A0&amp;row=4949&amp;col=6&amp;number=8194000000&amp;sourceID=14","8194000000")</f>
        <v>8194000000</v>
      </c>
      <c r="G4949" s="4" t="str">
        <f>HYPERLINK("http://141.218.60.56/~jnz1568/getInfo.php?workbook=12_04.xlsx&amp;sheet=A0&amp;row=4949&amp;col=7&amp;number=0&amp;sourceID=14","0")</f>
        <v>0</v>
      </c>
    </row>
    <row r="4950" spans="1:7">
      <c r="A4950" s="3">
        <v>12</v>
      </c>
      <c r="B4950" s="3">
        <v>4</v>
      </c>
      <c r="C4950" s="3">
        <v>99</v>
      </c>
      <c r="D4950" s="3">
        <v>53</v>
      </c>
      <c r="E4950" s="3">
        <v>-536.812</v>
      </c>
      <c r="F4950" s="4" t="str">
        <f>HYPERLINK("http://141.218.60.56/~jnz1568/getInfo.php?workbook=12_04.xlsx&amp;sheet=A0&amp;row=4950&amp;col=6&amp;number=38150&amp;sourceID=14","38150")</f>
        <v>38150</v>
      </c>
      <c r="G4950" s="4" t="str">
        <f>HYPERLINK("http://141.218.60.56/~jnz1568/getInfo.php?workbook=12_04.xlsx&amp;sheet=A0&amp;row=4950&amp;col=7&amp;number=0&amp;sourceID=14","0")</f>
        <v>0</v>
      </c>
    </row>
    <row r="4951" spans="1:7">
      <c r="A4951" s="3">
        <v>12</v>
      </c>
      <c r="B4951" s="3">
        <v>4</v>
      </c>
      <c r="C4951" s="3">
        <v>100</v>
      </c>
      <c r="D4951" s="3">
        <v>53</v>
      </c>
      <c r="E4951" s="3">
        <v>-505.653</v>
      </c>
      <c r="F4951" s="4" t="str">
        <f>HYPERLINK("http://141.218.60.56/~jnz1568/getInfo.php?workbook=12_04.xlsx&amp;sheet=A0&amp;row=4951&amp;col=6&amp;number=1202000000&amp;sourceID=14","1202000000")</f>
        <v>1202000000</v>
      </c>
      <c r="G4951" s="4" t="str">
        <f>HYPERLINK("http://141.218.60.56/~jnz1568/getInfo.php?workbook=12_04.xlsx&amp;sheet=A0&amp;row=4951&amp;col=7&amp;number=0&amp;sourceID=14","0")</f>
        <v>0</v>
      </c>
    </row>
    <row r="4952" spans="1:7">
      <c r="A4952" s="3">
        <v>12</v>
      </c>
      <c r="B4952" s="3">
        <v>4</v>
      </c>
      <c r="C4952" s="3">
        <v>101</v>
      </c>
      <c r="D4952" s="3">
        <v>53</v>
      </c>
      <c r="E4952" s="3">
        <v>-505.535</v>
      </c>
      <c r="F4952" s="4" t="str">
        <f>HYPERLINK("http://141.218.60.56/~jnz1568/getInfo.php?workbook=12_04.xlsx&amp;sheet=A0&amp;row=4952&amp;col=6&amp;number=295000000&amp;sourceID=14","295000000")</f>
        <v>295000000</v>
      </c>
      <c r="G4952" s="4" t="str">
        <f>HYPERLINK("http://141.218.60.56/~jnz1568/getInfo.php?workbook=12_04.xlsx&amp;sheet=A0&amp;row=4952&amp;col=7&amp;number=0&amp;sourceID=14","0")</f>
        <v>0</v>
      </c>
    </row>
    <row r="4953" spans="1:7">
      <c r="A4953" s="3">
        <v>12</v>
      </c>
      <c r="B4953" s="3">
        <v>4</v>
      </c>
      <c r="C4953" s="3">
        <v>102</v>
      </c>
      <c r="D4953" s="3">
        <v>53</v>
      </c>
      <c r="E4953" s="3">
        <v>-505.265</v>
      </c>
      <c r="F4953" s="4" t="str">
        <f>HYPERLINK("http://141.218.60.56/~jnz1568/getInfo.php?workbook=12_04.xlsx&amp;sheet=A0&amp;row=4953&amp;col=6&amp;number=11440000&amp;sourceID=14","11440000")</f>
        <v>11440000</v>
      </c>
      <c r="G4953" s="4" t="str">
        <f>HYPERLINK("http://141.218.60.56/~jnz1568/getInfo.php?workbook=12_04.xlsx&amp;sheet=A0&amp;row=4953&amp;col=7&amp;number=0&amp;sourceID=14","0")</f>
        <v>0</v>
      </c>
    </row>
    <row r="4954" spans="1:7">
      <c r="A4954" s="3">
        <v>12</v>
      </c>
      <c r="B4954" s="3">
        <v>4</v>
      </c>
      <c r="C4954" s="3">
        <v>103</v>
      </c>
      <c r="D4954" s="3">
        <v>53</v>
      </c>
      <c r="E4954" s="3">
        <v>-509.157</v>
      </c>
      <c r="F4954" s="4" t="str">
        <f>HYPERLINK("http://141.218.60.56/~jnz1568/getInfo.php?workbook=12_04.xlsx&amp;sheet=A0&amp;row=4954&amp;col=6&amp;number=1.505e-05&amp;sourceID=14","1.505e-05")</f>
        <v>1.505e-05</v>
      </c>
      <c r="G4954" s="4" t="str">
        <f>HYPERLINK("http://141.218.60.56/~jnz1568/getInfo.php?workbook=12_04.xlsx&amp;sheet=A0&amp;row=4954&amp;col=7&amp;number=0&amp;sourceID=14","0")</f>
        <v>0</v>
      </c>
    </row>
    <row r="4955" spans="1:7">
      <c r="A4955" s="3">
        <v>12</v>
      </c>
      <c r="B4955" s="3">
        <v>4</v>
      </c>
      <c r="C4955" s="3">
        <v>104</v>
      </c>
      <c r="D4955" s="3">
        <v>53</v>
      </c>
      <c r="E4955" s="3">
        <v>497.771</v>
      </c>
      <c r="F4955" s="4" t="str">
        <f>HYPERLINK("http://141.218.60.56/~jnz1568/getInfo.php?workbook=12_04.xlsx&amp;sheet=A0&amp;row=4955&amp;col=6&amp;number=712600&amp;sourceID=14","712600")</f>
        <v>712600</v>
      </c>
      <c r="G4955" s="4" t="str">
        <f>HYPERLINK("http://141.218.60.56/~jnz1568/getInfo.php?workbook=12_04.xlsx&amp;sheet=A0&amp;row=4955&amp;col=7&amp;number=0&amp;sourceID=14","0")</f>
        <v>0</v>
      </c>
    </row>
    <row r="4956" spans="1:7">
      <c r="A4956" s="3">
        <v>12</v>
      </c>
      <c r="B4956" s="3">
        <v>4</v>
      </c>
      <c r="C4956" s="3">
        <v>105</v>
      </c>
      <c r="D4956" s="3">
        <v>53</v>
      </c>
      <c r="E4956" s="3">
        <v>-490.18</v>
      </c>
      <c r="F4956" s="4" t="str">
        <f>HYPERLINK("http://141.218.60.56/~jnz1568/getInfo.php?workbook=12_04.xlsx&amp;sheet=A0&amp;row=4956&amp;col=6&amp;number=49250&amp;sourceID=14","49250")</f>
        <v>49250</v>
      </c>
      <c r="G4956" s="4" t="str">
        <f>HYPERLINK("http://141.218.60.56/~jnz1568/getInfo.php?workbook=12_04.xlsx&amp;sheet=A0&amp;row=4956&amp;col=7&amp;number=0&amp;sourceID=14","0")</f>
        <v>0</v>
      </c>
    </row>
    <row r="4957" spans="1:7">
      <c r="A4957" s="3">
        <v>12</v>
      </c>
      <c r="B4957" s="3">
        <v>4</v>
      </c>
      <c r="C4957" s="3">
        <v>106</v>
      </c>
      <c r="D4957" s="3">
        <v>53</v>
      </c>
      <c r="E4957" s="3">
        <v>487.884</v>
      </c>
      <c r="F4957" s="4" t="str">
        <f>HYPERLINK("http://141.218.60.56/~jnz1568/getInfo.php?workbook=12_04.xlsx&amp;sheet=A0&amp;row=4957&amp;col=6&amp;number=49140&amp;sourceID=14","49140")</f>
        <v>49140</v>
      </c>
      <c r="G4957" s="4" t="str">
        <f>HYPERLINK("http://141.218.60.56/~jnz1568/getInfo.php?workbook=12_04.xlsx&amp;sheet=A0&amp;row=4957&amp;col=7&amp;number=0&amp;sourceID=14","0")</f>
        <v>0</v>
      </c>
    </row>
    <row r="4958" spans="1:7">
      <c r="A4958" s="3">
        <v>12</v>
      </c>
      <c r="B4958" s="3">
        <v>4</v>
      </c>
      <c r="C4958" s="3">
        <v>107</v>
      </c>
      <c r="D4958" s="3">
        <v>53</v>
      </c>
      <c r="E4958" s="3">
        <v>487.846</v>
      </c>
      <c r="F4958" s="4" t="str">
        <f>HYPERLINK("http://141.218.60.56/~jnz1568/getInfo.php?workbook=12_04.xlsx&amp;sheet=A0&amp;row=4958&amp;col=6&amp;number=4011&amp;sourceID=14","4011")</f>
        <v>4011</v>
      </c>
      <c r="G4958" s="4" t="str">
        <f>HYPERLINK("http://141.218.60.56/~jnz1568/getInfo.php?workbook=12_04.xlsx&amp;sheet=A0&amp;row=4958&amp;col=7&amp;number=0&amp;sourceID=14","0")</f>
        <v>0</v>
      </c>
    </row>
    <row r="4959" spans="1:7">
      <c r="A4959" s="3">
        <v>12</v>
      </c>
      <c r="B4959" s="3">
        <v>4</v>
      </c>
      <c r="C4959" s="3">
        <v>108</v>
      </c>
      <c r="D4959" s="3">
        <v>53</v>
      </c>
      <c r="E4959" s="3">
        <v>479.817</v>
      </c>
      <c r="F4959" s="4" t="str">
        <f>HYPERLINK("http://141.218.60.56/~jnz1568/getInfo.php?workbook=12_04.xlsx&amp;sheet=A0&amp;row=4959&amp;col=6&amp;number=2.197&amp;sourceID=14","2.197")</f>
        <v>2.197</v>
      </c>
      <c r="G4959" s="4" t="str">
        <f>HYPERLINK("http://141.218.60.56/~jnz1568/getInfo.php?workbook=12_04.xlsx&amp;sheet=A0&amp;row=4959&amp;col=7&amp;number=0&amp;sourceID=14","0")</f>
        <v>0</v>
      </c>
    </row>
    <row r="4960" spans="1:7">
      <c r="A4960" s="3">
        <v>12</v>
      </c>
      <c r="B4960" s="3">
        <v>4</v>
      </c>
      <c r="C4960" s="3">
        <v>99</v>
      </c>
      <c r="D4960" s="3">
        <v>54</v>
      </c>
      <c r="E4960" s="3">
        <v>-536.948</v>
      </c>
      <c r="F4960" s="4" t="str">
        <f>HYPERLINK("http://141.218.60.56/~jnz1568/getInfo.php?workbook=12_04.xlsx&amp;sheet=A0&amp;row=4960&amp;col=6&amp;number=63640&amp;sourceID=14","63640")</f>
        <v>63640</v>
      </c>
      <c r="G4960" s="4" t="str">
        <f>HYPERLINK("http://141.218.60.56/~jnz1568/getInfo.php?workbook=12_04.xlsx&amp;sheet=A0&amp;row=4960&amp;col=7&amp;number=0&amp;sourceID=14","0")</f>
        <v>0</v>
      </c>
    </row>
    <row r="4961" spans="1:7">
      <c r="A4961" s="3">
        <v>12</v>
      </c>
      <c r="B4961" s="3">
        <v>4</v>
      </c>
      <c r="C4961" s="3">
        <v>101</v>
      </c>
      <c r="D4961" s="3">
        <v>54</v>
      </c>
      <c r="E4961" s="3">
        <v>-505.655</v>
      </c>
      <c r="F4961" s="4" t="str">
        <f>HYPERLINK("http://141.218.60.56/~jnz1568/getInfo.php?workbook=12_04.xlsx&amp;sheet=A0&amp;row=4961&amp;col=6&amp;number=916500000&amp;sourceID=14","916500000")</f>
        <v>916500000</v>
      </c>
      <c r="G4961" s="4" t="str">
        <f>HYPERLINK("http://141.218.60.56/~jnz1568/getInfo.php?workbook=12_04.xlsx&amp;sheet=A0&amp;row=4961&amp;col=7&amp;number=0&amp;sourceID=14","0")</f>
        <v>0</v>
      </c>
    </row>
    <row r="4962" spans="1:7">
      <c r="A4962" s="3">
        <v>12</v>
      </c>
      <c r="B4962" s="3">
        <v>4</v>
      </c>
      <c r="C4962" s="3">
        <v>102</v>
      </c>
      <c r="D4962" s="3">
        <v>54</v>
      </c>
      <c r="E4962" s="3">
        <v>-505.385</v>
      </c>
      <c r="F4962" s="4" t="str">
        <f>HYPERLINK("http://141.218.60.56/~jnz1568/getInfo.php?workbook=12_04.xlsx&amp;sheet=A0&amp;row=4962&amp;col=6&amp;number=177400000&amp;sourceID=14","177400000")</f>
        <v>177400000</v>
      </c>
      <c r="G4962" s="4" t="str">
        <f>HYPERLINK("http://141.218.60.56/~jnz1568/getInfo.php?workbook=12_04.xlsx&amp;sheet=A0&amp;row=4962&amp;col=7&amp;number=0&amp;sourceID=14","0")</f>
        <v>0</v>
      </c>
    </row>
    <row r="4963" spans="1:7">
      <c r="A4963" s="3">
        <v>12</v>
      </c>
      <c r="B4963" s="3">
        <v>4</v>
      </c>
      <c r="C4963" s="3">
        <v>103</v>
      </c>
      <c r="D4963" s="3">
        <v>54</v>
      </c>
      <c r="E4963" s="3">
        <v>-509.279</v>
      </c>
      <c r="F4963" s="4" t="str">
        <f>HYPERLINK("http://141.218.60.56/~jnz1568/getInfo.php?workbook=12_04.xlsx&amp;sheet=A0&amp;row=4963&amp;col=6&amp;number=7.511&amp;sourceID=14","7.511")</f>
        <v>7.511</v>
      </c>
      <c r="G4963" s="4" t="str">
        <f>HYPERLINK("http://141.218.60.56/~jnz1568/getInfo.php?workbook=12_04.xlsx&amp;sheet=A0&amp;row=4963&amp;col=7&amp;number=0&amp;sourceID=14","0")</f>
        <v>0</v>
      </c>
    </row>
    <row r="4964" spans="1:7">
      <c r="A4964" s="3">
        <v>12</v>
      </c>
      <c r="B4964" s="3">
        <v>4</v>
      </c>
      <c r="C4964" s="3">
        <v>104</v>
      </c>
      <c r="D4964" s="3">
        <v>54</v>
      </c>
      <c r="E4964" s="3">
        <v>497.771</v>
      </c>
      <c r="F4964" s="4" t="str">
        <f>HYPERLINK("http://141.218.60.56/~jnz1568/getInfo.php?workbook=12_04.xlsx&amp;sheet=A0&amp;row=4964&amp;col=6&amp;number=227600&amp;sourceID=14","227600")</f>
        <v>227600</v>
      </c>
      <c r="G4964" s="4" t="str">
        <f>HYPERLINK("http://141.218.60.56/~jnz1568/getInfo.php?workbook=12_04.xlsx&amp;sheet=A0&amp;row=4964&amp;col=7&amp;number=0&amp;sourceID=14","0")</f>
        <v>0</v>
      </c>
    </row>
    <row r="4965" spans="1:7">
      <c r="A4965" s="3">
        <v>12</v>
      </c>
      <c r="B4965" s="3">
        <v>4</v>
      </c>
      <c r="C4965" s="3">
        <v>105</v>
      </c>
      <c r="D4965" s="3">
        <v>54</v>
      </c>
      <c r="E4965" s="3">
        <v>-490.293</v>
      </c>
      <c r="F4965" s="4" t="str">
        <f>HYPERLINK("http://141.218.60.56/~jnz1568/getInfo.php?workbook=12_04.xlsx&amp;sheet=A0&amp;row=4965&amp;col=6&amp;number=82100&amp;sourceID=14","82100")</f>
        <v>82100</v>
      </c>
      <c r="G4965" s="4" t="str">
        <f>HYPERLINK("http://141.218.60.56/~jnz1568/getInfo.php?workbook=12_04.xlsx&amp;sheet=A0&amp;row=4965&amp;col=7&amp;number=0&amp;sourceID=14","0")</f>
        <v>0</v>
      </c>
    </row>
    <row r="4966" spans="1:7">
      <c r="A4966" s="3">
        <v>12</v>
      </c>
      <c r="B4966" s="3">
        <v>4</v>
      </c>
      <c r="C4966" s="3">
        <v>106</v>
      </c>
      <c r="D4966" s="3">
        <v>54</v>
      </c>
      <c r="E4966" s="3">
        <v>487.884</v>
      </c>
      <c r="F4966" s="4" t="str">
        <f>HYPERLINK("http://141.218.60.56/~jnz1568/getInfo.php?workbook=12_04.xlsx&amp;sheet=A0&amp;row=4966&amp;col=6&amp;number=35130&amp;sourceID=14","35130")</f>
        <v>35130</v>
      </c>
      <c r="G4966" s="4" t="str">
        <f>HYPERLINK("http://141.218.60.56/~jnz1568/getInfo.php?workbook=12_04.xlsx&amp;sheet=A0&amp;row=4966&amp;col=7&amp;number=0&amp;sourceID=14","0")</f>
        <v>0</v>
      </c>
    </row>
    <row r="4967" spans="1:7">
      <c r="A4967" s="3">
        <v>12</v>
      </c>
      <c r="B4967" s="3">
        <v>4</v>
      </c>
      <c r="C4967" s="3">
        <v>107</v>
      </c>
      <c r="D4967" s="3">
        <v>54</v>
      </c>
      <c r="E4967" s="3">
        <v>487.846</v>
      </c>
      <c r="F4967" s="4" t="str">
        <f>HYPERLINK("http://141.218.60.56/~jnz1568/getInfo.php?workbook=12_04.xlsx&amp;sheet=A0&amp;row=4967&amp;col=6&amp;number=40140&amp;sourceID=14","40140")</f>
        <v>40140</v>
      </c>
      <c r="G4967" s="4" t="str">
        <f>HYPERLINK("http://141.218.60.56/~jnz1568/getInfo.php?workbook=12_04.xlsx&amp;sheet=A0&amp;row=4967&amp;col=7&amp;number=0&amp;sourceID=14","0")</f>
        <v>0</v>
      </c>
    </row>
    <row r="4968" spans="1:7">
      <c r="A4968" s="3">
        <v>12</v>
      </c>
      <c r="B4968" s="3">
        <v>4</v>
      </c>
      <c r="C4968" s="3">
        <v>108</v>
      </c>
      <c r="D4968" s="3">
        <v>54</v>
      </c>
      <c r="E4968" s="3">
        <v>479.817</v>
      </c>
      <c r="F4968" s="4" t="str">
        <f>HYPERLINK("http://141.218.60.56/~jnz1568/getInfo.php?workbook=12_04.xlsx&amp;sheet=A0&amp;row=4968&amp;col=6&amp;number=1.265&amp;sourceID=14","1.265")</f>
        <v>1.265</v>
      </c>
      <c r="G4968" s="4" t="str">
        <f>HYPERLINK("http://141.218.60.56/~jnz1568/getInfo.php?workbook=12_04.xlsx&amp;sheet=A0&amp;row=4968&amp;col=7&amp;number=0&amp;sourceID=14","0")</f>
        <v>0</v>
      </c>
    </row>
    <row r="4969" spans="1:7">
      <c r="A4969" s="3">
        <v>12</v>
      </c>
      <c r="B4969" s="3">
        <v>4</v>
      </c>
      <c r="C4969" s="3">
        <v>99</v>
      </c>
      <c r="D4969" s="3">
        <v>55</v>
      </c>
      <c r="E4969" s="3">
        <v>-537.155</v>
      </c>
      <c r="F4969" s="4" t="str">
        <f>HYPERLINK("http://141.218.60.56/~jnz1568/getInfo.php?workbook=12_04.xlsx&amp;sheet=A0&amp;row=4969&amp;col=6&amp;number=89220&amp;sourceID=14","89220")</f>
        <v>89220</v>
      </c>
      <c r="G4969" s="4" t="str">
        <f>HYPERLINK("http://141.218.60.56/~jnz1568/getInfo.php?workbook=12_04.xlsx&amp;sheet=A0&amp;row=4969&amp;col=7&amp;number=0&amp;sourceID=14","0")</f>
        <v>0</v>
      </c>
    </row>
    <row r="4970" spans="1:7">
      <c r="A4970" s="3">
        <v>12</v>
      </c>
      <c r="B4970" s="3">
        <v>4</v>
      </c>
      <c r="C4970" s="3">
        <v>102</v>
      </c>
      <c r="D4970" s="3">
        <v>55</v>
      </c>
      <c r="E4970" s="3">
        <v>-505.569</v>
      </c>
      <c r="F4970" s="4" t="str">
        <f>HYPERLINK("http://141.218.60.56/~jnz1568/getInfo.php?workbook=12_04.xlsx&amp;sheet=A0&amp;row=4970&amp;col=6&amp;number=1043000000&amp;sourceID=14","1043000000")</f>
        <v>1043000000</v>
      </c>
      <c r="G4970" s="4" t="str">
        <f>HYPERLINK("http://141.218.60.56/~jnz1568/getInfo.php?workbook=12_04.xlsx&amp;sheet=A0&amp;row=4970&amp;col=7&amp;number=0&amp;sourceID=14","0")</f>
        <v>0</v>
      </c>
    </row>
    <row r="4971" spans="1:7">
      <c r="A4971" s="3">
        <v>12</v>
      </c>
      <c r="B4971" s="3">
        <v>4</v>
      </c>
      <c r="C4971" s="3">
        <v>105</v>
      </c>
      <c r="D4971" s="3">
        <v>55</v>
      </c>
      <c r="E4971" s="3">
        <v>-490.466</v>
      </c>
      <c r="F4971" s="4" t="str">
        <f>HYPERLINK("http://141.218.60.56/~jnz1568/getInfo.php?workbook=12_04.xlsx&amp;sheet=A0&amp;row=4971&amp;col=6&amp;number=9388&amp;sourceID=14","9388")</f>
        <v>9388</v>
      </c>
      <c r="G4971" s="4" t="str">
        <f>HYPERLINK("http://141.218.60.56/~jnz1568/getInfo.php?workbook=12_04.xlsx&amp;sheet=A0&amp;row=4971&amp;col=7&amp;number=0&amp;sourceID=14","0")</f>
        <v>0</v>
      </c>
    </row>
    <row r="4972" spans="1:7">
      <c r="A4972" s="3">
        <v>12</v>
      </c>
      <c r="B4972" s="3">
        <v>4</v>
      </c>
      <c r="C4972" s="3">
        <v>106</v>
      </c>
      <c r="D4972" s="3">
        <v>55</v>
      </c>
      <c r="E4972" s="3">
        <v>488.075</v>
      </c>
      <c r="F4972" s="4" t="str">
        <f>HYPERLINK("http://141.218.60.56/~jnz1568/getInfo.php?workbook=12_04.xlsx&amp;sheet=A0&amp;row=4972&amp;col=6&amp;number=56260&amp;sourceID=14","56260")</f>
        <v>56260</v>
      </c>
      <c r="G4972" s="4" t="str">
        <f>HYPERLINK("http://141.218.60.56/~jnz1568/getInfo.php?workbook=12_04.xlsx&amp;sheet=A0&amp;row=4972&amp;col=7&amp;number=0&amp;sourceID=14","0")</f>
        <v>0</v>
      </c>
    </row>
    <row r="4973" spans="1:7">
      <c r="A4973" s="3">
        <v>12</v>
      </c>
      <c r="B4973" s="3">
        <v>4</v>
      </c>
      <c r="C4973" s="3">
        <v>107</v>
      </c>
      <c r="D4973" s="3">
        <v>55</v>
      </c>
      <c r="E4973" s="3">
        <v>488.037</v>
      </c>
      <c r="F4973" s="4" t="str">
        <f>HYPERLINK("http://141.218.60.56/~jnz1568/getInfo.php?workbook=12_04.xlsx&amp;sheet=A0&amp;row=4973&amp;col=6&amp;number=96420&amp;sourceID=14","96420")</f>
        <v>96420</v>
      </c>
      <c r="G4973" s="4" t="str">
        <f>HYPERLINK("http://141.218.60.56/~jnz1568/getInfo.php?workbook=12_04.xlsx&amp;sheet=A0&amp;row=4973&amp;col=7&amp;number=0&amp;sourceID=14","0")</f>
        <v>0</v>
      </c>
    </row>
    <row r="4974" spans="1:7">
      <c r="A4974" s="3">
        <v>12</v>
      </c>
      <c r="B4974" s="3">
        <v>4</v>
      </c>
      <c r="C4974" s="3">
        <v>108</v>
      </c>
      <c r="D4974" s="3">
        <v>55</v>
      </c>
      <c r="E4974" s="3">
        <v>480.002</v>
      </c>
      <c r="F4974" s="4" t="str">
        <f>HYPERLINK("http://141.218.60.56/~jnz1568/getInfo.php?workbook=12_04.xlsx&amp;sheet=A0&amp;row=4974&amp;col=6&amp;number=2.537&amp;sourceID=14","2.537")</f>
        <v>2.537</v>
      </c>
      <c r="G4974" s="4" t="str">
        <f>HYPERLINK("http://141.218.60.56/~jnz1568/getInfo.php?workbook=12_04.xlsx&amp;sheet=A0&amp;row=4974&amp;col=7&amp;number=0&amp;sourceID=14","0")</f>
        <v>0</v>
      </c>
    </row>
    <row r="4975" spans="1:7">
      <c r="A4975" s="3">
        <v>12</v>
      </c>
      <c r="B4975" s="3">
        <v>4</v>
      </c>
      <c r="C4975" s="3">
        <v>99</v>
      </c>
      <c r="D4975" s="3">
        <v>56</v>
      </c>
      <c r="E4975" s="3">
        <v>-563.152</v>
      </c>
      <c r="F4975" s="4" t="str">
        <f>HYPERLINK("http://141.218.60.56/~jnz1568/getInfo.php?workbook=12_04.xlsx&amp;sheet=A0&amp;row=4975&amp;col=6&amp;number=2.681&amp;sourceID=14","2.681")</f>
        <v>2.681</v>
      </c>
      <c r="G4975" s="4" t="str">
        <f>HYPERLINK("http://141.218.60.56/~jnz1568/getInfo.php?workbook=12_04.xlsx&amp;sheet=A0&amp;row=4975&amp;col=7&amp;number=0&amp;sourceID=14","0")</f>
        <v>0</v>
      </c>
    </row>
    <row r="4976" spans="1:7">
      <c r="A4976" s="3">
        <v>12</v>
      </c>
      <c r="B4976" s="3">
        <v>4</v>
      </c>
      <c r="C4976" s="3">
        <v>101</v>
      </c>
      <c r="D4976" s="3">
        <v>56</v>
      </c>
      <c r="E4976" s="3">
        <v>-528.829</v>
      </c>
      <c r="F4976" s="4" t="str">
        <f>HYPERLINK("http://141.218.60.56/~jnz1568/getInfo.php?workbook=12_04.xlsx&amp;sheet=A0&amp;row=4976&amp;col=6&amp;number=2861000&amp;sourceID=14","2861000")</f>
        <v>2861000</v>
      </c>
      <c r="G4976" s="4" t="str">
        <f>HYPERLINK("http://141.218.60.56/~jnz1568/getInfo.php?workbook=12_04.xlsx&amp;sheet=A0&amp;row=4976&amp;col=7&amp;number=0&amp;sourceID=14","0")</f>
        <v>0</v>
      </c>
    </row>
    <row r="4977" spans="1:7">
      <c r="A4977" s="3">
        <v>12</v>
      </c>
      <c r="B4977" s="3">
        <v>4</v>
      </c>
      <c r="C4977" s="3">
        <v>102</v>
      </c>
      <c r="D4977" s="3">
        <v>56</v>
      </c>
      <c r="E4977" s="3">
        <v>-528.533</v>
      </c>
      <c r="F4977" s="4" t="str">
        <f>HYPERLINK("http://141.218.60.56/~jnz1568/getInfo.php?workbook=12_04.xlsx&amp;sheet=A0&amp;row=4977&amp;col=6&amp;number=7125&amp;sourceID=14","7125")</f>
        <v>7125</v>
      </c>
      <c r="G4977" s="4" t="str">
        <f>HYPERLINK("http://141.218.60.56/~jnz1568/getInfo.php?workbook=12_04.xlsx&amp;sheet=A0&amp;row=4977&amp;col=7&amp;number=0&amp;sourceID=14","0")</f>
        <v>0</v>
      </c>
    </row>
    <row r="4978" spans="1:7">
      <c r="A4978" s="3">
        <v>12</v>
      </c>
      <c r="B4978" s="3">
        <v>4</v>
      </c>
      <c r="C4978" s="3">
        <v>103</v>
      </c>
      <c r="D4978" s="3">
        <v>56</v>
      </c>
      <c r="E4978" s="3">
        <v>-532.793</v>
      </c>
      <c r="F4978" s="4" t="str">
        <f>HYPERLINK("http://141.218.60.56/~jnz1568/getInfo.php?workbook=12_04.xlsx&amp;sheet=A0&amp;row=4978&amp;col=6&amp;number=173700&amp;sourceID=14","173700")</f>
        <v>173700</v>
      </c>
      <c r="G4978" s="4" t="str">
        <f>HYPERLINK("http://141.218.60.56/~jnz1568/getInfo.php?workbook=12_04.xlsx&amp;sheet=A0&amp;row=4978&amp;col=7&amp;number=0&amp;sourceID=14","0")</f>
        <v>0</v>
      </c>
    </row>
    <row r="4979" spans="1:7">
      <c r="A4979" s="3">
        <v>12</v>
      </c>
      <c r="B4979" s="3">
        <v>4</v>
      </c>
      <c r="C4979" s="3">
        <v>104</v>
      </c>
      <c r="D4979" s="3">
        <v>56</v>
      </c>
      <c r="E4979" s="3">
        <v>518.2</v>
      </c>
      <c r="F4979" s="4" t="str">
        <f>HYPERLINK("http://141.218.60.56/~jnz1568/getInfo.php?workbook=12_04.xlsx&amp;sheet=A0&amp;row=4979&amp;col=6&amp;number=1435000000&amp;sourceID=14","1435000000")</f>
        <v>1435000000</v>
      </c>
      <c r="G4979" s="4" t="str">
        <f>HYPERLINK("http://141.218.60.56/~jnz1568/getInfo.php?workbook=12_04.xlsx&amp;sheet=A0&amp;row=4979&amp;col=7&amp;number=0&amp;sourceID=14","0")</f>
        <v>0</v>
      </c>
    </row>
    <row r="4980" spans="1:7">
      <c r="A4980" s="3">
        <v>12</v>
      </c>
      <c r="B4980" s="3">
        <v>4</v>
      </c>
      <c r="C4980" s="3">
        <v>105</v>
      </c>
      <c r="D4980" s="3">
        <v>56</v>
      </c>
      <c r="E4980" s="3">
        <v>-512.05</v>
      </c>
      <c r="F4980" s="4" t="str">
        <f>HYPERLINK("http://141.218.60.56/~jnz1568/getInfo.php?workbook=12_04.xlsx&amp;sheet=A0&amp;row=4980&amp;col=6&amp;number=3.516&amp;sourceID=14","3.516")</f>
        <v>3.516</v>
      </c>
      <c r="G4980" s="4" t="str">
        <f>HYPERLINK("http://141.218.60.56/~jnz1568/getInfo.php?workbook=12_04.xlsx&amp;sheet=A0&amp;row=4980&amp;col=7&amp;number=0&amp;sourceID=14","0")</f>
        <v>0</v>
      </c>
    </row>
    <row r="4981" spans="1:7">
      <c r="A4981" s="3">
        <v>12</v>
      </c>
      <c r="B4981" s="3">
        <v>4</v>
      </c>
      <c r="C4981" s="3">
        <v>106</v>
      </c>
      <c r="D4981" s="3">
        <v>56</v>
      </c>
      <c r="E4981" s="3">
        <v>507.494</v>
      </c>
      <c r="F4981" s="4" t="str">
        <f>HYPERLINK("http://141.218.60.56/~jnz1568/getInfo.php?workbook=12_04.xlsx&amp;sheet=A0&amp;row=4981&amp;col=6&amp;number=1.717&amp;sourceID=14","1.717")</f>
        <v>1.717</v>
      </c>
      <c r="G4981" s="4" t="str">
        <f>HYPERLINK("http://141.218.60.56/~jnz1568/getInfo.php?workbook=12_04.xlsx&amp;sheet=A0&amp;row=4981&amp;col=7&amp;number=0&amp;sourceID=14","0")</f>
        <v>0</v>
      </c>
    </row>
    <row r="4982" spans="1:7">
      <c r="A4982" s="3">
        <v>12</v>
      </c>
      <c r="B4982" s="3">
        <v>4</v>
      </c>
      <c r="C4982" s="3">
        <v>107</v>
      </c>
      <c r="D4982" s="3">
        <v>56</v>
      </c>
      <c r="E4982" s="3">
        <v>507.453</v>
      </c>
      <c r="F4982" s="4" t="str">
        <f>HYPERLINK("http://141.218.60.56/~jnz1568/getInfo.php?workbook=12_04.xlsx&amp;sheet=A0&amp;row=4982&amp;col=6&amp;number=1.757&amp;sourceID=14","1.757")</f>
        <v>1.757</v>
      </c>
      <c r="G4982" s="4" t="str">
        <f>HYPERLINK("http://141.218.60.56/~jnz1568/getInfo.php?workbook=12_04.xlsx&amp;sheet=A0&amp;row=4982&amp;col=7&amp;number=0&amp;sourceID=14","0")</f>
        <v>0</v>
      </c>
    </row>
    <row r="4983" spans="1:7">
      <c r="A4983" s="3">
        <v>12</v>
      </c>
      <c r="B4983" s="3">
        <v>4</v>
      </c>
      <c r="C4983" s="3">
        <v>108</v>
      </c>
      <c r="D4983" s="3">
        <v>56</v>
      </c>
      <c r="E4983" s="3">
        <v>498.772</v>
      </c>
      <c r="F4983" s="4" t="str">
        <f>HYPERLINK("http://141.218.60.56/~jnz1568/getInfo.php?workbook=12_04.xlsx&amp;sheet=A0&amp;row=4983&amp;col=6&amp;number=151200&amp;sourceID=14","151200")</f>
        <v>151200</v>
      </c>
      <c r="G4983" s="4" t="str">
        <f>HYPERLINK("http://141.218.60.56/~jnz1568/getInfo.php?workbook=12_04.xlsx&amp;sheet=A0&amp;row=4983&amp;col=7&amp;number=0&amp;sourceID=14","0")</f>
        <v>0</v>
      </c>
    </row>
    <row r="4984" spans="1:7">
      <c r="A4984" s="3">
        <v>12</v>
      </c>
      <c r="B4984" s="3">
        <v>4</v>
      </c>
      <c r="C4984" s="3">
        <v>99</v>
      </c>
      <c r="D4984" s="3">
        <v>61</v>
      </c>
      <c r="E4984" s="3">
        <v>-1695.603</v>
      </c>
      <c r="F4984" s="4" t="str">
        <f>HYPERLINK("http://141.218.60.56/~jnz1568/getInfo.php?workbook=12_04.xlsx&amp;sheet=A0&amp;row=4984&amp;col=6&amp;number=1476000&amp;sourceID=14","1476000")</f>
        <v>1476000</v>
      </c>
      <c r="G4984" s="4" t="str">
        <f>HYPERLINK("http://141.218.60.56/~jnz1568/getInfo.php?workbook=12_04.xlsx&amp;sheet=A0&amp;row=4984&amp;col=7&amp;number=0&amp;sourceID=14","0")</f>
        <v>0</v>
      </c>
    </row>
    <row r="4985" spans="1:7">
      <c r="A4985" s="3">
        <v>12</v>
      </c>
      <c r="B4985" s="3">
        <v>4</v>
      </c>
      <c r="C4985" s="3">
        <v>101</v>
      </c>
      <c r="D4985" s="3">
        <v>61</v>
      </c>
      <c r="E4985" s="3">
        <v>-1418.411</v>
      </c>
      <c r="F4985" s="4" t="str">
        <f>HYPERLINK("http://141.218.60.56/~jnz1568/getInfo.php?workbook=12_04.xlsx&amp;sheet=A0&amp;row=4985&amp;col=6&amp;number=0.004689&amp;sourceID=14","0.004689")</f>
        <v>0.004689</v>
      </c>
      <c r="G4985" s="4" t="str">
        <f>HYPERLINK("http://141.218.60.56/~jnz1568/getInfo.php?workbook=12_04.xlsx&amp;sheet=A0&amp;row=4985&amp;col=7&amp;number=0&amp;sourceID=14","0")</f>
        <v>0</v>
      </c>
    </row>
    <row r="4986" spans="1:7">
      <c r="A4986" s="3">
        <v>12</v>
      </c>
      <c r="B4986" s="3">
        <v>4</v>
      </c>
      <c r="C4986" s="3">
        <v>102</v>
      </c>
      <c r="D4986" s="3">
        <v>61</v>
      </c>
      <c r="E4986" s="3">
        <v>-1416.29</v>
      </c>
      <c r="F4986" s="4" t="str">
        <f>HYPERLINK("http://141.218.60.56/~jnz1568/getInfo.php?workbook=12_04.xlsx&amp;sheet=A0&amp;row=4986&amp;col=6&amp;number=1.617&amp;sourceID=14","1.617")</f>
        <v>1.617</v>
      </c>
      <c r="G4986" s="4" t="str">
        <f>HYPERLINK("http://141.218.60.56/~jnz1568/getInfo.php?workbook=12_04.xlsx&amp;sheet=A0&amp;row=4986&amp;col=7&amp;number=0&amp;sourceID=14","0")</f>
        <v>0</v>
      </c>
    </row>
    <row r="4987" spans="1:7">
      <c r="A4987" s="3">
        <v>12</v>
      </c>
      <c r="B4987" s="3">
        <v>4</v>
      </c>
      <c r="C4987" s="3">
        <v>104</v>
      </c>
      <c r="D4987" s="3">
        <v>61</v>
      </c>
      <c r="E4987" s="3">
        <v>-1359.409</v>
      </c>
      <c r="F4987" s="4" t="str">
        <f>HYPERLINK("http://141.218.60.56/~jnz1568/getInfo.php?workbook=12_04.xlsx&amp;sheet=A0&amp;row=4987&amp;col=6&amp;number=0.08459&amp;sourceID=14","0.08459")</f>
        <v>0.08459</v>
      </c>
      <c r="G4987" s="4" t="str">
        <f>HYPERLINK("http://141.218.60.56/~jnz1568/getInfo.php?workbook=12_04.xlsx&amp;sheet=A0&amp;row=4987&amp;col=7&amp;number=0&amp;sourceID=14","0")</f>
        <v>0</v>
      </c>
    </row>
    <row r="4988" spans="1:7">
      <c r="A4988" s="3">
        <v>12</v>
      </c>
      <c r="B4988" s="3">
        <v>4</v>
      </c>
      <c r="C4988" s="3">
        <v>105</v>
      </c>
      <c r="D4988" s="3">
        <v>61</v>
      </c>
      <c r="E4988" s="3">
        <v>-1303.819</v>
      </c>
      <c r="F4988" s="4" t="str">
        <f>HYPERLINK("http://141.218.60.56/~jnz1568/getInfo.php?workbook=12_04.xlsx&amp;sheet=A0&amp;row=4988&amp;col=6&amp;number=416100&amp;sourceID=14","416100")</f>
        <v>416100</v>
      </c>
      <c r="G4988" s="4" t="str">
        <f>HYPERLINK("http://141.218.60.56/~jnz1568/getInfo.php?workbook=12_04.xlsx&amp;sheet=A0&amp;row=4988&amp;col=7&amp;number=0&amp;sourceID=14","0")</f>
        <v>0</v>
      </c>
    </row>
    <row r="4989" spans="1:7">
      <c r="A4989" s="3">
        <v>12</v>
      </c>
      <c r="B4989" s="3">
        <v>4</v>
      </c>
      <c r="C4989" s="3">
        <v>99</v>
      </c>
      <c r="D4989" s="3">
        <v>62</v>
      </c>
      <c r="E4989" s="3">
        <v>-1722.413</v>
      </c>
      <c r="F4989" s="4" t="str">
        <f>HYPERLINK("http://141.218.60.56/~jnz1568/getInfo.php?workbook=12_04.xlsx&amp;sheet=A0&amp;row=4989&amp;col=6&amp;number=4334000&amp;sourceID=14","4334000")</f>
        <v>4334000</v>
      </c>
      <c r="G4989" s="4" t="str">
        <f>HYPERLINK("http://141.218.60.56/~jnz1568/getInfo.php?workbook=12_04.xlsx&amp;sheet=A0&amp;row=4989&amp;col=7&amp;number=0&amp;sourceID=14","0")</f>
        <v>0</v>
      </c>
    </row>
    <row r="4990" spans="1:7">
      <c r="A4990" s="3">
        <v>12</v>
      </c>
      <c r="B4990" s="3">
        <v>4</v>
      </c>
      <c r="C4990" s="3">
        <v>100</v>
      </c>
      <c r="D4990" s="3">
        <v>62</v>
      </c>
      <c r="E4990" s="3">
        <v>-1438.076</v>
      </c>
      <c r="F4990" s="4" t="str">
        <f>HYPERLINK("http://141.218.60.56/~jnz1568/getInfo.php?workbook=12_04.xlsx&amp;sheet=A0&amp;row=4990&amp;col=6&amp;number=0.006371&amp;sourceID=14","0.006371")</f>
        <v>0.006371</v>
      </c>
      <c r="G4990" s="4" t="str">
        <f>HYPERLINK("http://141.218.60.56/~jnz1568/getInfo.php?workbook=12_04.xlsx&amp;sheet=A0&amp;row=4990&amp;col=7&amp;number=0&amp;sourceID=14","0")</f>
        <v>0</v>
      </c>
    </row>
    <row r="4991" spans="1:7">
      <c r="A4991" s="3">
        <v>12</v>
      </c>
      <c r="B4991" s="3">
        <v>4</v>
      </c>
      <c r="C4991" s="3">
        <v>101</v>
      </c>
      <c r="D4991" s="3">
        <v>62</v>
      </c>
      <c r="E4991" s="3">
        <v>-1437.124</v>
      </c>
      <c r="F4991" s="4" t="str">
        <f>HYPERLINK("http://141.218.60.56/~jnz1568/getInfo.php?workbook=12_04.xlsx&amp;sheet=A0&amp;row=4991&amp;col=6&amp;number=1.574&amp;sourceID=14","1.574")</f>
        <v>1.574</v>
      </c>
      <c r="G4991" s="4" t="str">
        <f>HYPERLINK("http://141.218.60.56/~jnz1568/getInfo.php?workbook=12_04.xlsx&amp;sheet=A0&amp;row=4991&amp;col=7&amp;number=0&amp;sourceID=14","0")</f>
        <v>0</v>
      </c>
    </row>
    <row r="4992" spans="1:7">
      <c r="A4992" s="3">
        <v>12</v>
      </c>
      <c r="B4992" s="3">
        <v>4</v>
      </c>
      <c r="C4992" s="3">
        <v>102</v>
      </c>
      <c r="D4992" s="3">
        <v>62</v>
      </c>
      <c r="E4992" s="3">
        <v>-1434.947</v>
      </c>
      <c r="F4992" s="4" t="str">
        <f>HYPERLINK("http://141.218.60.56/~jnz1568/getInfo.php?workbook=12_04.xlsx&amp;sheet=A0&amp;row=4992&amp;col=6&amp;number=3.679&amp;sourceID=14","3.679")</f>
        <v>3.679</v>
      </c>
      <c r="G4992" s="4" t="str">
        <f>HYPERLINK("http://141.218.60.56/~jnz1568/getInfo.php?workbook=12_04.xlsx&amp;sheet=A0&amp;row=4992&amp;col=7&amp;number=0&amp;sourceID=14","0")</f>
        <v>0</v>
      </c>
    </row>
    <row r="4993" spans="1:7">
      <c r="A4993" s="3">
        <v>12</v>
      </c>
      <c r="B4993" s="3">
        <v>4</v>
      </c>
      <c r="C4993" s="3">
        <v>103</v>
      </c>
      <c r="D4993" s="3">
        <v>62</v>
      </c>
      <c r="E4993" s="3">
        <v>-1466.783</v>
      </c>
      <c r="F4993" s="4" t="str">
        <f>HYPERLINK("http://141.218.60.56/~jnz1568/getInfo.php?workbook=12_04.xlsx&amp;sheet=A0&amp;row=4993&amp;col=6&amp;number=1187000&amp;sourceID=14","1187000")</f>
        <v>1187000</v>
      </c>
      <c r="G4993" s="4" t="str">
        <f>HYPERLINK("http://141.218.60.56/~jnz1568/getInfo.php?workbook=12_04.xlsx&amp;sheet=A0&amp;row=4993&amp;col=7&amp;number=0&amp;sourceID=14","0")</f>
        <v>0</v>
      </c>
    </row>
    <row r="4994" spans="1:7">
      <c r="A4994" s="3">
        <v>12</v>
      </c>
      <c r="B4994" s="3">
        <v>4</v>
      </c>
      <c r="C4994" s="3">
        <v>104</v>
      </c>
      <c r="D4994" s="3">
        <v>62</v>
      </c>
      <c r="E4994" s="3">
        <v>-1376.588</v>
      </c>
      <c r="F4994" s="4" t="str">
        <f>HYPERLINK("http://141.218.60.56/~jnz1568/getInfo.php?workbook=12_04.xlsx&amp;sheet=A0&amp;row=4994&amp;col=6&amp;number=14.38&amp;sourceID=14","14.38")</f>
        <v>14.38</v>
      </c>
      <c r="G4994" s="4" t="str">
        <f>HYPERLINK("http://141.218.60.56/~jnz1568/getInfo.php?workbook=12_04.xlsx&amp;sheet=A0&amp;row=4994&amp;col=7&amp;number=0&amp;sourceID=14","0")</f>
        <v>0</v>
      </c>
    </row>
    <row r="4995" spans="1:7">
      <c r="A4995" s="3">
        <v>12</v>
      </c>
      <c r="B4995" s="3">
        <v>4</v>
      </c>
      <c r="C4995" s="3">
        <v>105</v>
      </c>
      <c r="D4995" s="3">
        <v>62</v>
      </c>
      <c r="E4995" s="3">
        <v>-1319.614</v>
      </c>
      <c r="F4995" s="4" t="str">
        <f>HYPERLINK("http://141.218.60.56/~jnz1568/getInfo.php?workbook=12_04.xlsx&amp;sheet=A0&amp;row=4995&amp;col=6&amp;number=273200&amp;sourceID=14","273200")</f>
        <v>273200</v>
      </c>
      <c r="G4995" s="4" t="str">
        <f>HYPERLINK("http://141.218.60.56/~jnz1568/getInfo.php?workbook=12_04.xlsx&amp;sheet=A0&amp;row=4995&amp;col=7&amp;number=0&amp;sourceID=14","0")</f>
        <v>0</v>
      </c>
    </row>
    <row r="4996" spans="1:7">
      <c r="A4996" s="3">
        <v>12</v>
      </c>
      <c r="B4996" s="3">
        <v>4</v>
      </c>
      <c r="C4996" s="3">
        <v>106</v>
      </c>
      <c r="D4996" s="3">
        <v>62</v>
      </c>
      <c r="E4996" s="3">
        <v>-1319.211</v>
      </c>
      <c r="F4996" s="4" t="str">
        <f>HYPERLINK("http://141.218.60.56/~jnz1568/getInfo.php?workbook=12_04.xlsx&amp;sheet=A0&amp;row=4996&amp;col=6&amp;number=476200&amp;sourceID=14","476200")</f>
        <v>476200</v>
      </c>
      <c r="G4996" s="4" t="str">
        <f>HYPERLINK("http://141.218.60.56/~jnz1568/getInfo.php?workbook=12_04.xlsx&amp;sheet=A0&amp;row=4996&amp;col=7&amp;number=0&amp;sourceID=14","0")</f>
        <v>0</v>
      </c>
    </row>
    <row r="4997" spans="1:7">
      <c r="A4997" s="3">
        <v>12</v>
      </c>
      <c r="B4997" s="3">
        <v>4</v>
      </c>
      <c r="C4997" s="3">
        <v>108</v>
      </c>
      <c r="D4997" s="3">
        <v>62</v>
      </c>
      <c r="E4997" s="3">
        <v>-1251.341</v>
      </c>
      <c r="F4997" s="4" t="str">
        <f>HYPERLINK("http://141.218.60.56/~jnz1568/getInfo.php?workbook=12_04.xlsx&amp;sheet=A0&amp;row=4997&amp;col=6&amp;number=6579000&amp;sourceID=14","6579000")</f>
        <v>6579000</v>
      </c>
      <c r="G4997" s="4" t="str">
        <f>HYPERLINK("http://141.218.60.56/~jnz1568/getInfo.php?workbook=12_04.xlsx&amp;sheet=A0&amp;row=4997&amp;col=7&amp;number=0&amp;sourceID=14","0")</f>
        <v>0</v>
      </c>
    </row>
    <row r="4998" spans="1:7">
      <c r="A4998" s="3">
        <v>12</v>
      </c>
      <c r="B4998" s="3">
        <v>4</v>
      </c>
      <c r="C4998" s="3">
        <v>99</v>
      </c>
      <c r="D4998" s="3">
        <v>63</v>
      </c>
      <c r="E4998" s="3">
        <v>-1815.604</v>
      </c>
      <c r="F4998" s="4" t="str">
        <f>HYPERLINK("http://141.218.60.56/~jnz1568/getInfo.php?workbook=12_04.xlsx&amp;sheet=A0&amp;row=4998&amp;col=6&amp;number=8218000&amp;sourceID=14","8218000")</f>
        <v>8218000</v>
      </c>
      <c r="G4998" s="4" t="str">
        <f>HYPERLINK("http://141.218.60.56/~jnz1568/getInfo.php?workbook=12_04.xlsx&amp;sheet=A0&amp;row=4998&amp;col=7&amp;number=0&amp;sourceID=14","0")</f>
        <v>0</v>
      </c>
    </row>
    <row r="4999" spans="1:7">
      <c r="A4999" s="3">
        <v>12</v>
      </c>
      <c r="B4999" s="3">
        <v>4</v>
      </c>
      <c r="C4999" s="3">
        <v>100</v>
      </c>
      <c r="D4999" s="3">
        <v>63</v>
      </c>
      <c r="E4999" s="3">
        <v>-1502.463</v>
      </c>
      <c r="F4999" s="4" t="str">
        <f>HYPERLINK("http://141.218.60.56/~jnz1568/getInfo.php?workbook=12_04.xlsx&amp;sheet=A0&amp;row=4999&amp;col=6&amp;number=9.836&amp;sourceID=14","9.836")</f>
        <v>9.836</v>
      </c>
      <c r="G4999" s="4" t="str">
        <f>HYPERLINK("http://141.218.60.56/~jnz1568/getInfo.php?workbook=12_04.xlsx&amp;sheet=A0&amp;row=4999&amp;col=7&amp;number=0&amp;sourceID=14","0")</f>
        <v>0</v>
      </c>
    </row>
    <row r="5000" spans="1:7">
      <c r="A5000" s="3">
        <v>12</v>
      </c>
      <c r="B5000" s="3">
        <v>4</v>
      </c>
      <c r="C5000" s="3">
        <v>101</v>
      </c>
      <c r="D5000" s="3">
        <v>63</v>
      </c>
      <c r="E5000" s="3">
        <v>-1501.424</v>
      </c>
      <c r="F5000" s="4" t="str">
        <f>HYPERLINK("http://141.218.60.56/~jnz1568/getInfo.php?workbook=12_04.xlsx&amp;sheet=A0&amp;row=5000&amp;col=6&amp;number=7.4&amp;sourceID=14","7.4")</f>
        <v>7.4</v>
      </c>
      <c r="G5000" s="4" t="str">
        <f>HYPERLINK("http://141.218.60.56/~jnz1568/getInfo.php?workbook=12_04.xlsx&amp;sheet=A0&amp;row=5000&amp;col=7&amp;number=0&amp;sourceID=14","0")</f>
        <v>0</v>
      </c>
    </row>
    <row r="5001" spans="1:7">
      <c r="A5001" s="3">
        <v>12</v>
      </c>
      <c r="B5001" s="3">
        <v>4</v>
      </c>
      <c r="C5001" s="3">
        <v>102</v>
      </c>
      <c r="D5001" s="3">
        <v>63</v>
      </c>
      <c r="E5001" s="3">
        <v>-1499.048</v>
      </c>
      <c r="F5001" s="4" t="str">
        <f>HYPERLINK("http://141.218.60.56/~jnz1568/getInfo.php?workbook=12_04.xlsx&amp;sheet=A0&amp;row=5001&amp;col=6&amp;number=3.469&amp;sourceID=14","3.469")</f>
        <v>3.469</v>
      </c>
      <c r="G5001" s="4" t="str">
        <f>HYPERLINK("http://141.218.60.56/~jnz1568/getInfo.php?workbook=12_04.xlsx&amp;sheet=A0&amp;row=5001&amp;col=7&amp;number=0&amp;sourceID=14","0")</f>
        <v>0</v>
      </c>
    </row>
    <row r="5002" spans="1:7">
      <c r="A5002" s="3">
        <v>12</v>
      </c>
      <c r="B5002" s="3">
        <v>4</v>
      </c>
      <c r="C5002" s="3">
        <v>104</v>
      </c>
      <c r="D5002" s="3">
        <v>63</v>
      </c>
      <c r="E5002" s="3">
        <v>-1435.474</v>
      </c>
      <c r="F5002" s="4" t="str">
        <f>HYPERLINK("http://141.218.60.56/~jnz1568/getInfo.php?workbook=12_04.xlsx&amp;sheet=A0&amp;row=5002&amp;col=6&amp;number=0.1095&amp;sourceID=14","0.1095")</f>
        <v>0.1095</v>
      </c>
      <c r="G5002" s="4" t="str">
        <f>HYPERLINK("http://141.218.60.56/~jnz1568/getInfo.php?workbook=12_04.xlsx&amp;sheet=A0&amp;row=5002&amp;col=7&amp;number=0&amp;sourceID=14","0")</f>
        <v>0</v>
      </c>
    </row>
    <row r="5003" spans="1:7">
      <c r="A5003" s="3">
        <v>12</v>
      </c>
      <c r="B5003" s="3">
        <v>4</v>
      </c>
      <c r="C5003" s="3">
        <v>105</v>
      </c>
      <c r="D5003" s="3">
        <v>63</v>
      </c>
      <c r="E5003" s="3">
        <v>-1373.631</v>
      </c>
      <c r="F5003" s="4" t="str">
        <f>HYPERLINK("http://141.218.60.56/~jnz1568/getInfo.php?workbook=12_04.xlsx&amp;sheet=A0&amp;row=5003&amp;col=6&amp;number=14430&amp;sourceID=14","14430")</f>
        <v>14430</v>
      </c>
      <c r="G5003" s="4" t="str">
        <f>HYPERLINK("http://141.218.60.56/~jnz1568/getInfo.php?workbook=12_04.xlsx&amp;sheet=A0&amp;row=5003&amp;col=7&amp;number=0&amp;sourceID=14","0")</f>
        <v>0</v>
      </c>
    </row>
    <row r="5004" spans="1:7">
      <c r="A5004" s="3">
        <v>12</v>
      </c>
      <c r="B5004" s="3">
        <v>4</v>
      </c>
      <c r="C5004" s="3">
        <v>106</v>
      </c>
      <c r="D5004" s="3">
        <v>63</v>
      </c>
      <c r="E5004" s="3">
        <v>-1373.194</v>
      </c>
      <c r="F5004" s="4" t="str">
        <f>HYPERLINK("http://141.218.60.56/~jnz1568/getInfo.php?workbook=12_04.xlsx&amp;sheet=A0&amp;row=5004&amp;col=6&amp;number=130700&amp;sourceID=14","130700")</f>
        <v>130700</v>
      </c>
      <c r="G5004" s="4" t="str">
        <f>HYPERLINK("http://141.218.60.56/~jnz1568/getInfo.php?workbook=12_04.xlsx&amp;sheet=A0&amp;row=5004&amp;col=7&amp;number=0&amp;sourceID=14","0")</f>
        <v>0</v>
      </c>
    </row>
    <row r="5005" spans="1:7">
      <c r="A5005" s="3">
        <v>12</v>
      </c>
      <c r="B5005" s="3">
        <v>4</v>
      </c>
      <c r="C5005" s="3">
        <v>107</v>
      </c>
      <c r="D5005" s="3">
        <v>63</v>
      </c>
      <c r="E5005" s="3">
        <v>-1372.531</v>
      </c>
      <c r="F5005" s="4" t="str">
        <f>HYPERLINK("http://141.218.60.56/~jnz1568/getInfo.php?workbook=12_04.xlsx&amp;sheet=A0&amp;row=5005&amp;col=6&amp;number=525200&amp;sourceID=14","525200")</f>
        <v>525200</v>
      </c>
      <c r="G5005" s="4" t="str">
        <f>HYPERLINK("http://141.218.60.56/~jnz1568/getInfo.php?workbook=12_04.xlsx&amp;sheet=A0&amp;row=5005&amp;col=7&amp;number=0&amp;sourceID=14","0")</f>
        <v>0</v>
      </c>
    </row>
    <row r="5006" spans="1:7">
      <c r="A5006" s="3">
        <v>12</v>
      </c>
      <c r="B5006" s="3">
        <v>4</v>
      </c>
      <c r="C5006" s="3">
        <v>108</v>
      </c>
      <c r="D5006" s="3">
        <v>63</v>
      </c>
      <c r="E5006" s="3">
        <v>-1299.811</v>
      </c>
      <c r="F5006" s="4" t="str">
        <f>HYPERLINK("http://141.218.60.56/~jnz1568/getInfo.php?workbook=12_04.xlsx&amp;sheet=A0&amp;row=5006&amp;col=6&amp;number=66.01&amp;sourceID=14","66.01")</f>
        <v>66.01</v>
      </c>
      <c r="G5006" s="4" t="str">
        <f>HYPERLINK("http://141.218.60.56/~jnz1568/getInfo.php?workbook=12_04.xlsx&amp;sheet=A0&amp;row=5006&amp;col=7&amp;number=0&amp;sourceID=14","0")</f>
        <v>0</v>
      </c>
    </row>
    <row r="5007" spans="1:7">
      <c r="A5007" s="3">
        <v>12</v>
      </c>
      <c r="B5007" s="3">
        <v>4</v>
      </c>
      <c r="C5007" s="3">
        <v>99</v>
      </c>
      <c r="D5007" s="3">
        <v>64</v>
      </c>
      <c r="E5007" s="3">
        <v>-2047.54</v>
      </c>
      <c r="F5007" s="4" t="str">
        <f>HYPERLINK("http://141.218.60.56/~jnz1568/getInfo.php?workbook=12_04.xlsx&amp;sheet=A0&amp;row=5007&amp;col=6&amp;number=265300&amp;sourceID=14","265300")</f>
        <v>265300</v>
      </c>
      <c r="G5007" s="4" t="str">
        <f>HYPERLINK("http://141.218.60.56/~jnz1568/getInfo.php?workbook=12_04.xlsx&amp;sheet=A0&amp;row=5007&amp;col=7&amp;number=0&amp;sourceID=14","0")</f>
        <v>0</v>
      </c>
    </row>
    <row r="5008" spans="1:7">
      <c r="A5008" s="3">
        <v>12</v>
      </c>
      <c r="B5008" s="3">
        <v>4</v>
      </c>
      <c r="C5008" s="3">
        <v>100</v>
      </c>
      <c r="D5008" s="3">
        <v>64</v>
      </c>
      <c r="E5008" s="3">
        <v>-1657.87</v>
      </c>
      <c r="F5008" s="4" t="str">
        <f>HYPERLINK("http://141.218.60.56/~jnz1568/getInfo.php?workbook=12_04.xlsx&amp;sheet=A0&amp;row=5008&amp;col=6&amp;number=0.006791&amp;sourceID=14","0.006791")</f>
        <v>0.006791</v>
      </c>
      <c r="G5008" s="4" t="str">
        <f>HYPERLINK("http://141.218.60.56/~jnz1568/getInfo.php?workbook=12_04.xlsx&amp;sheet=A0&amp;row=5008&amp;col=7&amp;number=0&amp;sourceID=14","0")</f>
        <v>0</v>
      </c>
    </row>
    <row r="5009" spans="1:7">
      <c r="A5009" s="3">
        <v>12</v>
      </c>
      <c r="B5009" s="3">
        <v>4</v>
      </c>
      <c r="C5009" s="3">
        <v>101</v>
      </c>
      <c r="D5009" s="3">
        <v>64</v>
      </c>
      <c r="E5009" s="3">
        <v>-1656.604</v>
      </c>
      <c r="F5009" s="4" t="str">
        <f>HYPERLINK("http://141.218.60.56/~jnz1568/getInfo.php?workbook=12_04.xlsx&amp;sheet=A0&amp;row=5009&amp;col=6&amp;number=0.7983&amp;sourceID=14","0.7983")</f>
        <v>0.7983</v>
      </c>
      <c r="G5009" s="4" t="str">
        <f>HYPERLINK("http://141.218.60.56/~jnz1568/getInfo.php?workbook=12_04.xlsx&amp;sheet=A0&amp;row=5009&amp;col=7&amp;number=0&amp;sourceID=14","0")</f>
        <v>0</v>
      </c>
    </row>
    <row r="5010" spans="1:7">
      <c r="A5010" s="3">
        <v>12</v>
      </c>
      <c r="B5010" s="3">
        <v>4</v>
      </c>
      <c r="C5010" s="3">
        <v>102</v>
      </c>
      <c r="D5010" s="3">
        <v>64</v>
      </c>
      <c r="E5010" s="3">
        <v>-1653.712</v>
      </c>
      <c r="F5010" s="4" t="str">
        <f>HYPERLINK("http://141.218.60.56/~jnz1568/getInfo.php?workbook=12_04.xlsx&amp;sheet=A0&amp;row=5010&amp;col=6&amp;number=0.2352&amp;sourceID=14","0.2352")</f>
        <v>0.2352</v>
      </c>
      <c r="G5010" s="4" t="str">
        <f>HYPERLINK("http://141.218.60.56/~jnz1568/getInfo.php?workbook=12_04.xlsx&amp;sheet=A0&amp;row=5010&amp;col=7&amp;number=0&amp;sourceID=14","0")</f>
        <v>0</v>
      </c>
    </row>
    <row r="5011" spans="1:7">
      <c r="A5011" s="3">
        <v>12</v>
      </c>
      <c r="B5011" s="3">
        <v>4</v>
      </c>
      <c r="C5011" s="3">
        <v>103</v>
      </c>
      <c r="D5011" s="3">
        <v>64</v>
      </c>
      <c r="E5011" s="3">
        <v>-1696.139</v>
      </c>
      <c r="F5011" s="4" t="str">
        <f>HYPERLINK("http://141.218.60.56/~jnz1568/getInfo.php?workbook=12_04.xlsx&amp;sheet=A0&amp;row=5011&amp;col=6&amp;number=37180000&amp;sourceID=14","37180000")</f>
        <v>37180000</v>
      </c>
      <c r="G5011" s="4" t="str">
        <f>HYPERLINK("http://141.218.60.56/~jnz1568/getInfo.php?workbook=12_04.xlsx&amp;sheet=A0&amp;row=5011&amp;col=7&amp;number=0&amp;sourceID=14","0")</f>
        <v>0</v>
      </c>
    </row>
    <row r="5012" spans="1:7">
      <c r="A5012" s="3">
        <v>12</v>
      </c>
      <c r="B5012" s="3">
        <v>4</v>
      </c>
      <c r="C5012" s="3">
        <v>104</v>
      </c>
      <c r="D5012" s="3">
        <v>64</v>
      </c>
      <c r="E5012" s="3">
        <v>-1576.68</v>
      </c>
      <c r="F5012" s="4" t="str">
        <f>HYPERLINK("http://141.218.60.56/~jnz1568/getInfo.php?workbook=12_04.xlsx&amp;sheet=A0&amp;row=5012&amp;col=6&amp;number=134.4&amp;sourceID=14","134.4")</f>
        <v>134.4</v>
      </c>
      <c r="G5012" s="4" t="str">
        <f>HYPERLINK("http://141.218.60.56/~jnz1568/getInfo.php?workbook=12_04.xlsx&amp;sheet=A0&amp;row=5012&amp;col=7&amp;number=0&amp;sourceID=14","0")</f>
        <v>0</v>
      </c>
    </row>
    <row r="5013" spans="1:7">
      <c r="A5013" s="3">
        <v>12</v>
      </c>
      <c r="B5013" s="3">
        <v>4</v>
      </c>
      <c r="C5013" s="3">
        <v>105</v>
      </c>
      <c r="D5013" s="3">
        <v>64</v>
      </c>
      <c r="E5013" s="3">
        <v>-1502.387</v>
      </c>
      <c r="F5013" s="4" t="str">
        <f>HYPERLINK("http://141.218.60.56/~jnz1568/getInfo.php?workbook=12_04.xlsx&amp;sheet=A0&amp;row=5013&amp;col=6&amp;number=7970&amp;sourceID=14","7970")</f>
        <v>7970</v>
      </c>
      <c r="G5013" s="4" t="str">
        <f>HYPERLINK("http://141.218.60.56/~jnz1568/getInfo.php?workbook=12_04.xlsx&amp;sheet=A0&amp;row=5013&amp;col=7&amp;number=0&amp;sourceID=14","0")</f>
        <v>0</v>
      </c>
    </row>
    <row r="5014" spans="1:7">
      <c r="A5014" s="3">
        <v>12</v>
      </c>
      <c r="B5014" s="3">
        <v>4</v>
      </c>
      <c r="C5014" s="3">
        <v>106</v>
      </c>
      <c r="D5014" s="3">
        <v>64</v>
      </c>
      <c r="E5014" s="3">
        <v>-1501.864</v>
      </c>
      <c r="F5014" s="4" t="str">
        <f>HYPERLINK("http://141.218.60.56/~jnz1568/getInfo.php?workbook=12_04.xlsx&amp;sheet=A0&amp;row=5014&amp;col=6&amp;number=28060&amp;sourceID=14","28060")</f>
        <v>28060</v>
      </c>
      <c r="G5014" s="4" t="str">
        <f>HYPERLINK("http://141.218.60.56/~jnz1568/getInfo.php?workbook=12_04.xlsx&amp;sheet=A0&amp;row=5014&amp;col=7&amp;number=0&amp;sourceID=14","0")</f>
        <v>0</v>
      </c>
    </row>
    <row r="5015" spans="1:7">
      <c r="A5015" s="3">
        <v>12</v>
      </c>
      <c r="B5015" s="3">
        <v>4</v>
      </c>
      <c r="C5015" s="3">
        <v>108</v>
      </c>
      <c r="D5015" s="3">
        <v>64</v>
      </c>
      <c r="E5015" s="3">
        <v>-1414.522</v>
      </c>
      <c r="F5015" s="4" t="str">
        <f>HYPERLINK("http://141.218.60.56/~jnz1568/getInfo.php?workbook=12_04.xlsx&amp;sheet=A0&amp;row=5015&amp;col=6&amp;number=97530000&amp;sourceID=14","97530000")</f>
        <v>97530000</v>
      </c>
      <c r="G5015" s="4" t="str">
        <f>HYPERLINK("http://141.218.60.56/~jnz1568/getInfo.php?workbook=12_04.xlsx&amp;sheet=A0&amp;row=5015&amp;col=7&amp;number=0&amp;sourceID=14","0")</f>
        <v>0</v>
      </c>
    </row>
    <row r="5016" spans="1:7">
      <c r="A5016" s="3">
        <v>12</v>
      </c>
      <c r="B5016" s="3">
        <v>4</v>
      </c>
      <c r="C5016" s="3">
        <v>99</v>
      </c>
      <c r="D5016" s="3">
        <v>65</v>
      </c>
      <c r="E5016" s="3">
        <v>-2420.598</v>
      </c>
      <c r="F5016" s="4" t="str">
        <f>HYPERLINK("http://141.218.60.56/~jnz1568/getInfo.php?workbook=12_04.xlsx&amp;sheet=A0&amp;row=5016&amp;col=6&amp;number=0.3115&amp;sourceID=14","0.3115")</f>
        <v>0.3115</v>
      </c>
      <c r="G5016" s="4" t="str">
        <f>HYPERLINK("http://141.218.60.56/~jnz1568/getInfo.php?workbook=12_04.xlsx&amp;sheet=A0&amp;row=5016&amp;col=7&amp;number=0&amp;sourceID=14","0")</f>
        <v>0</v>
      </c>
    </row>
    <row r="5017" spans="1:7">
      <c r="A5017" s="3">
        <v>12</v>
      </c>
      <c r="B5017" s="3">
        <v>4</v>
      </c>
      <c r="C5017" s="3">
        <v>100</v>
      </c>
      <c r="D5017" s="3">
        <v>65</v>
      </c>
      <c r="E5017" s="3">
        <v>-1894.248</v>
      </c>
      <c r="F5017" s="4" t="str">
        <f>HYPERLINK("http://141.218.60.56/~jnz1568/getInfo.php?workbook=12_04.xlsx&amp;sheet=A0&amp;row=5017&amp;col=6&amp;number=876200&amp;sourceID=14","876200")</f>
        <v>876200</v>
      </c>
      <c r="G5017" s="4" t="str">
        <f>HYPERLINK("http://141.218.60.56/~jnz1568/getInfo.php?workbook=12_04.xlsx&amp;sheet=A0&amp;row=5017&amp;col=7&amp;number=0&amp;sourceID=14","0")</f>
        <v>0</v>
      </c>
    </row>
    <row r="5018" spans="1:7">
      <c r="A5018" s="3">
        <v>12</v>
      </c>
      <c r="B5018" s="3">
        <v>4</v>
      </c>
      <c r="C5018" s="3">
        <v>101</v>
      </c>
      <c r="D5018" s="3">
        <v>65</v>
      </c>
      <c r="E5018" s="3">
        <v>-1892.597</v>
      </c>
      <c r="F5018" s="4" t="str">
        <f>HYPERLINK("http://141.218.60.56/~jnz1568/getInfo.php?workbook=12_04.xlsx&amp;sheet=A0&amp;row=5018&amp;col=6&amp;number=171200&amp;sourceID=14","171200")</f>
        <v>171200</v>
      </c>
      <c r="G5018" s="4" t="str">
        <f>HYPERLINK("http://141.218.60.56/~jnz1568/getInfo.php?workbook=12_04.xlsx&amp;sheet=A0&amp;row=5018&amp;col=7&amp;number=0&amp;sourceID=14","0")</f>
        <v>0</v>
      </c>
    </row>
    <row r="5019" spans="1:7">
      <c r="A5019" s="3">
        <v>12</v>
      </c>
      <c r="B5019" s="3">
        <v>4</v>
      </c>
      <c r="C5019" s="3">
        <v>102</v>
      </c>
      <c r="D5019" s="3">
        <v>65</v>
      </c>
      <c r="E5019" s="3">
        <v>-1888.822</v>
      </c>
      <c r="F5019" s="4" t="str">
        <f>HYPERLINK("http://141.218.60.56/~jnz1568/getInfo.php?workbook=12_04.xlsx&amp;sheet=A0&amp;row=5019&amp;col=6&amp;number=291700&amp;sourceID=14","291700")</f>
        <v>291700</v>
      </c>
      <c r="G5019" s="4" t="str">
        <f>HYPERLINK("http://141.218.60.56/~jnz1568/getInfo.php?workbook=12_04.xlsx&amp;sheet=A0&amp;row=5019&amp;col=7&amp;number=0&amp;sourceID=14","0")</f>
        <v>0</v>
      </c>
    </row>
    <row r="5020" spans="1:7">
      <c r="A5020" s="3">
        <v>12</v>
      </c>
      <c r="B5020" s="3">
        <v>4</v>
      </c>
      <c r="C5020" s="3">
        <v>103</v>
      </c>
      <c r="D5020" s="3">
        <v>65</v>
      </c>
      <c r="E5020" s="3">
        <v>-1944.373</v>
      </c>
      <c r="F5020" s="4" t="str">
        <f>HYPERLINK("http://141.218.60.56/~jnz1568/getInfo.php?workbook=12_04.xlsx&amp;sheet=A0&amp;row=5020&amp;col=6&amp;number=0.00891&amp;sourceID=14","0.00891")</f>
        <v>0.00891</v>
      </c>
      <c r="G5020" s="4" t="str">
        <f>HYPERLINK("http://141.218.60.56/~jnz1568/getInfo.php?workbook=12_04.xlsx&amp;sheet=A0&amp;row=5020&amp;col=7&amp;number=0&amp;sourceID=14","0")</f>
        <v>0</v>
      </c>
    </row>
    <row r="5021" spans="1:7">
      <c r="A5021" s="3">
        <v>12</v>
      </c>
      <c r="B5021" s="3">
        <v>4</v>
      </c>
      <c r="C5021" s="3">
        <v>104</v>
      </c>
      <c r="D5021" s="3">
        <v>65</v>
      </c>
      <c r="E5021" s="3">
        <v>-1788.991</v>
      </c>
      <c r="F5021" s="4" t="str">
        <f>HYPERLINK("http://141.218.60.56/~jnz1568/getInfo.php?workbook=12_04.xlsx&amp;sheet=A0&amp;row=5021&amp;col=6&amp;number=356500&amp;sourceID=14","356500")</f>
        <v>356500</v>
      </c>
      <c r="G5021" s="4" t="str">
        <f>HYPERLINK("http://141.218.60.56/~jnz1568/getInfo.php?workbook=12_04.xlsx&amp;sheet=A0&amp;row=5021&amp;col=7&amp;number=0&amp;sourceID=14","0")</f>
        <v>0</v>
      </c>
    </row>
    <row r="5022" spans="1:7">
      <c r="A5022" s="3">
        <v>12</v>
      </c>
      <c r="B5022" s="3">
        <v>4</v>
      </c>
      <c r="C5022" s="3">
        <v>105</v>
      </c>
      <c r="D5022" s="3">
        <v>65</v>
      </c>
      <c r="E5022" s="3">
        <v>-1693.945</v>
      </c>
      <c r="F5022" s="4" t="str">
        <f>HYPERLINK("http://141.218.60.56/~jnz1568/getInfo.php?workbook=12_04.xlsx&amp;sheet=A0&amp;row=5022&amp;col=6&amp;number=1.265&amp;sourceID=14","1.265")</f>
        <v>1.265</v>
      </c>
      <c r="G5022" s="4" t="str">
        <f>HYPERLINK("http://141.218.60.56/~jnz1568/getInfo.php?workbook=12_04.xlsx&amp;sheet=A0&amp;row=5022&amp;col=7&amp;number=0&amp;sourceID=14","0")</f>
        <v>0</v>
      </c>
    </row>
    <row r="5023" spans="1:7">
      <c r="A5023" s="3">
        <v>12</v>
      </c>
      <c r="B5023" s="3">
        <v>4</v>
      </c>
      <c r="C5023" s="3">
        <v>106</v>
      </c>
      <c r="D5023" s="3">
        <v>65</v>
      </c>
      <c r="E5023" s="3">
        <v>-1693.281</v>
      </c>
      <c r="F5023" s="4" t="str">
        <f>HYPERLINK("http://141.218.60.56/~jnz1568/getInfo.php?workbook=12_04.xlsx&amp;sheet=A0&amp;row=5023&amp;col=6&amp;number=4.447&amp;sourceID=14","4.447")</f>
        <v>4.447</v>
      </c>
      <c r="G5023" s="4" t="str">
        <f>HYPERLINK("http://141.218.60.56/~jnz1568/getInfo.php?workbook=12_04.xlsx&amp;sheet=A0&amp;row=5023&amp;col=7&amp;number=0&amp;sourceID=14","0")</f>
        <v>0</v>
      </c>
    </row>
    <row r="5024" spans="1:7">
      <c r="A5024" s="3">
        <v>12</v>
      </c>
      <c r="B5024" s="3">
        <v>4</v>
      </c>
      <c r="C5024" s="3">
        <v>107</v>
      </c>
      <c r="D5024" s="3">
        <v>65</v>
      </c>
      <c r="E5024" s="3">
        <v>-1692.273</v>
      </c>
      <c r="F5024" s="4" t="str">
        <f>HYPERLINK("http://141.218.60.56/~jnz1568/getInfo.php?workbook=12_04.xlsx&amp;sheet=A0&amp;row=5024&amp;col=6&amp;number=2.209&amp;sourceID=14","2.209")</f>
        <v>2.209</v>
      </c>
      <c r="G5024" s="4" t="str">
        <f>HYPERLINK("http://141.218.60.56/~jnz1568/getInfo.php?workbook=12_04.xlsx&amp;sheet=A0&amp;row=5024&amp;col=7&amp;number=0&amp;sourceID=14","0")</f>
        <v>0</v>
      </c>
    </row>
    <row r="5025" spans="1:7">
      <c r="A5025" s="3">
        <v>12</v>
      </c>
      <c r="B5025" s="3">
        <v>4</v>
      </c>
      <c r="C5025" s="3">
        <v>108</v>
      </c>
      <c r="D5025" s="3">
        <v>65</v>
      </c>
      <c r="E5025" s="3">
        <v>-1583.073</v>
      </c>
      <c r="F5025" s="4" t="str">
        <f>HYPERLINK("http://141.218.60.56/~jnz1568/getInfo.php?workbook=12_04.xlsx&amp;sheet=A0&amp;row=5025&amp;col=6&amp;number=2.151&amp;sourceID=14","2.151")</f>
        <v>2.151</v>
      </c>
      <c r="G5025" s="4" t="str">
        <f>HYPERLINK("http://141.218.60.56/~jnz1568/getInfo.php?workbook=12_04.xlsx&amp;sheet=A0&amp;row=5025&amp;col=7&amp;number=0&amp;sourceID=14","0")</f>
        <v>0</v>
      </c>
    </row>
    <row r="5026" spans="1:7">
      <c r="A5026" s="3">
        <v>12</v>
      </c>
      <c r="B5026" s="3">
        <v>4</v>
      </c>
      <c r="C5026" s="3">
        <v>99</v>
      </c>
      <c r="D5026" s="3">
        <v>66</v>
      </c>
      <c r="E5026" s="3">
        <v>-2579.972</v>
      </c>
      <c r="F5026" s="4" t="str">
        <f>HYPERLINK("http://141.218.60.56/~jnz1568/getInfo.php?workbook=12_04.xlsx&amp;sheet=A0&amp;row=5026&amp;col=6&amp;number=0.4579&amp;sourceID=14","0.4579")</f>
        <v>0.4579</v>
      </c>
      <c r="G5026" s="4" t="str">
        <f>HYPERLINK("http://141.218.60.56/~jnz1568/getInfo.php?workbook=12_04.xlsx&amp;sheet=A0&amp;row=5026&amp;col=7&amp;number=0&amp;sourceID=14","0")</f>
        <v>0</v>
      </c>
    </row>
    <row r="5027" spans="1:7">
      <c r="A5027" s="3">
        <v>12</v>
      </c>
      <c r="B5027" s="3">
        <v>4</v>
      </c>
      <c r="C5027" s="3">
        <v>100</v>
      </c>
      <c r="D5027" s="3">
        <v>66</v>
      </c>
      <c r="E5027" s="3">
        <v>-1990.47</v>
      </c>
      <c r="F5027" s="4" t="str">
        <f>HYPERLINK("http://141.218.60.56/~jnz1568/getInfo.php?workbook=12_04.xlsx&amp;sheet=A0&amp;row=5027&amp;col=6&amp;number=107000&amp;sourceID=14","107000")</f>
        <v>107000</v>
      </c>
      <c r="G5027" s="4" t="str">
        <f>HYPERLINK("http://141.218.60.56/~jnz1568/getInfo.php?workbook=12_04.xlsx&amp;sheet=A0&amp;row=5027&amp;col=7&amp;number=0&amp;sourceID=14","0")</f>
        <v>0</v>
      </c>
    </row>
    <row r="5028" spans="1:7">
      <c r="A5028" s="3">
        <v>12</v>
      </c>
      <c r="B5028" s="3">
        <v>4</v>
      </c>
      <c r="C5028" s="3">
        <v>101</v>
      </c>
      <c r="D5028" s="3">
        <v>66</v>
      </c>
      <c r="E5028" s="3">
        <v>-1988.647</v>
      </c>
      <c r="F5028" s="4" t="str">
        <f>HYPERLINK("http://141.218.60.56/~jnz1568/getInfo.php?workbook=12_04.xlsx&amp;sheet=A0&amp;row=5028&amp;col=6&amp;number=1034000&amp;sourceID=14","1034000")</f>
        <v>1034000</v>
      </c>
      <c r="G5028" s="4" t="str">
        <f>HYPERLINK("http://141.218.60.56/~jnz1568/getInfo.php?workbook=12_04.xlsx&amp;sheet=A0&amp;row=5028&amp;col=7&amp;number=0&amp;sourceID=14","0")</f>
        <v>0</v>
      </c>
    </row>
    <row r="5029" spans="1:7">
      <c r="A5029" s="3">
        <v>12</v>
      </c>
      <c r="B5029" s="3">
        <v>4</v>
      </c>
      <c r="C5029" s="3">
        <v>102</v>
      </c>
      <c r="D5029" s="3">
        <v>66</v>
      </c>
      <c r="E5029" s="3">
        <v>-1984.48</v>
      </c>
      <c r="F5029" s="4" t="str">
        <f>HYPERLINK("http://141.218.60.56/~jnz1568/getInfo.php?workbook=12_04.xlsx&amp;sheet=A0&amp;row=5029&amp;col=6&amp;number=246300&amp;sourceID=14","246300")</f>
        <v>246300</v>
      </c>
      <c r="G5029" s="4" t="str">
        <f>HYPERLINK("http://141.218.60.56/~jnz1568/getInfo.php?workbook=12_04.xlsx&amp;sheet=A0&amp;row=5029&amp;col=7&amp;number=0&amp;sourceID=14","0")</f>
        <v>0</v>
      </c>
    </row>
    <row r="5030" spans="1:7">
      <c r="A5030" s="3">
        <v>12</v>
      </c>
      <c r="B5030" s="3">
        <v>4</v>
      </c>
      <c r="C5030" s="3">
        <v>103</v>
      </c>
      <c r="D5030" s="3">
        <v>66</v>
      </c>
      <c r="E5030" s="3">
        <v>-2045.891</v>
      </c>
      <c r="F5030" s="4" t="str">
        <f>HYPERLINK("http://141.218.60.56/~jnz1568/getInfo.php?workbook=12_04.xlsx&amp;sheet=A0&amp;row=5030&amp;col=6&amp;number=0.1143&amp;sourceID=14","0.1143")</f>
        <v>0.1143</v>
      </c>
      <c r="G5030" s="4" t="str">
        <f>HYPERLINK("http://141.218.60.56/~jnz1568/getInfo.php?workbook=12_04.xlsx&amp;sheet=A0&amp;row=5030&amp;col=7&amp;number=0&amp;sourceID=14","0")</f>
        <v>0</v>
      </c>
    </row>
    <row r="5031" spans="1:7">
      <c r="A5031" s="3">
        <v>12</v>
      </c>
      <c r="B5031" s="3">
        <v>4</v>
      </c>
      <c r="C5031" s="3">
        <v>104</v>
      </c>
      <c r="D5031" s="3">
        <v>66</v>
      </c>
      <c r="E5031" s="3">
        <v>-1874.574</v>
      </c>
      <c r="F5031" s="4" t="str">
        <f>HYPERLINK("http://141.218.60.56/~jnz1568/getInfo.php?workbook=12_04.xlsx&amp;sheet=A0&amp;row=5031&amp;col=6&amp;number=217700&amp;sourceID=14","217700")</f>
        <v>217700</v>
      </c>
      <c r="G5031" s="4" t="str">
        <f>HYPERLINK("http://141.218.60.56/~jnz1568/getInfo.php?workbook=12_04.xlsx&amp;sheet=A0&amp;row=5031&amp;col=7&amp;number=0&amp;sourceID=14","0")</f>
        <v>0</v>
      </c>
    </row>
    <row r="5032" spans="1:7">
      <c r="A5032" s="3">
        <v>12</v>
      </c>
      <c r="B5032" s="3">
        <v>4</v>
      </c>
      <c r="C5032" s="3">
        <v>105</v>
      </c>
      <c r="D5032" s="3">
        <v>66</v>
      </c>
      <c r="E5032" s="3">
        <v>-1770.482</v>
      </c>
      <c r="F5032" s="4" t="str">
        <f>HYPERLINK("http://141.218.60.56/~jnz1568/getInfo.php?workbook=12_04.xlsx&amp;sheet=A0&amp;row=5032&amp;col=6&amp;number=6.224&amp;sourceID=14","6.224")</f>
        <v>6.224</v>
      </c>
      <c r="G5032" s="4" t="str">
        <f>HYPERLINK("http://141.218.60.56/~jnz1568/getInfo.php?workbook=12_04.xlsx&amp;sheet=A0&amp;row=5032&amp;col=7&amp;number=0&amp;sourceID=14","0")</f>
        <v>0</v>
      </c>
    </row>
    <row r="5033" spans="1:7">
      <c r="A5033" s="3">
        <v>12</v>
      </c>
      <c r="B5033" s="3">
        <v>4</v>
      </c>
      <c r="C5033" s="3">
        <v>106</v>
      </c>
      <c r="D5033" s="3">
        <v>66</v>
      </c>
      <c r="E5033" s="3">
        <v>-1769.756</v>
      </c>
      <c r="F5033" s="4" t="str">
        <f>HYPERLINK("http://141.218.60.56/~jnz1568/getInfo.php?workbook=12_04.xlsx&amp;sheet=A0&amp;row=5033&amp;col=6&amp;number=1.526&amp;sourceID=14","1.526")</f>
        <v>1.526</v>
      </c>
      <c r="G5033" s="4" t="str">
        <f>HYPERLINK("http://141.218.60.56/~jnz1568/getInfo.php?workbook=12_04.xlsx&amp;sheet=A0&amp;row=5033&amp;col=7&amp;number=0&amp;sourceID=14","0")</f>
        <v>0</v>
      </c>
    </row>
    <row r="5034" spans="1:7">
      <c r="A5034" s="3">
        <v>12</v>
      </c>
      <c r="B5034" s="3">
        <v>4</v>
      </c>
      <c r="C5034" s="3">
        <v>107</v>
      </c>
      <c r="D5034" s="3">
        <v>66</v>
      </c>
      <c r="E5034" s="3">
        <v>-1768.656</v>
      </c>
      <c r="F5034" s="4" t="str">
        <f>HYPERLINK("http://141.218.60.56/~jnz1568/getInfo.php?workbook=12_04.xlsx&amp;sheet=A0&amp;row=5034&amp;col=6&amp;number=4.365&amp;sourceID=14","4.365")</f>
        <v>4.365</v>
      </c>
      <c r="G5034" s="4" t="str">
        <f>HYPERLINK("http://141.218.60.56/~jnz1568/getInfo.php?workbook=12_04.xlsx&amp;sheet=A0&amp;row=5034&amp;col=7&amp;number=0&amp;sourceID=14","0")</f>
        <v>0</v>
      </c>
    </row>
    <row r="5035" spans="1:7">
      <c r="A5035" s="3">
        <v>12</v>
      </c>
      <c r="B5035" s="3">
        <v>4</v>
      </c>
      <c r="C5035" s="3">
        <v>108</v>
      </c>
      <c r="D5035" s="3">
        <v>66</v>
      </c>
      <c r="E5035" s="3">
        <v>-1649.722</v>
      </c>
      <c r="F5035" s="4" t="str">
        <f>HYPERLINK("http://141.218.60.56/~jnz1568/getInfo.php?workbook=12_04.xlsx&amp;sheet=A0&amp;row=5035&amp;col=6&amp;number=0.7493&amp;sourceID=14","0.7493")</f>
        <v>0.7493</v>
      </c>
      <c r="G5035" s="4" t="str">
        <f>HYPERLINK("http://141.218.60.56/~jnz1568/getInfo.php?workbook=12_04.xlsx&amp;sheet=A0&amp;row=5035&amp;col=7&amp;number=0&amp;sourceID=14","0")</f>
        <v>0</v>
      </c>
    </row>
    <row r="5036" spans="1:7">
      <c r="A5036" s="3">
        <v>12</v>
      </c>
      <c r="B5036" s="3">
        <v>4</v>
      </c>
      <c r="C5036" s="3">
        <v>99</v>
      </c>
      <c r="D5036" s="3">
        <v>67</v>
      </c>
      <c r="E5036" s="3">
        <v>-2610.345</v>
      </c>
      <c r="F5036" s="4" t="str">
        <f>HYPERLINK("http://141.218.60.56/~jnz1568/getInfo.php?workbook=12_04.xlsx&amp;sheet=A0&amp;row=5036&amp;col=6&amp;number=0.9568&amp;sourceID=14","0.9568")</f>
        <v>0.9568</v>
      </c>
      <c r="G5036" s="4" t="str">
        <f>HYPERLINK("http://141.218.60.56/~jnz1568/getInfo.php?workbook=12_04.xlsx&amp;sheet=A0&amp;row=5036&amp;col=7&amp;number=0&amp;sourceID=14","0")</f>
        <v>0</v>
      </c>
    </row>
    <row r="5037" spans="1:7">
      <c r="A5037" s="3">
        <v>12</v>
      </c>
      <c r="B5037" s="3">
        <v>4</v>
      </c>
      <c r="C5037" s="3">
        <v>101</v>
      </c>
      <c r="D5037" s="3">
        <v>67</v>
      </c>
      <c r="E5037" s="3">
        <v>-2006.644</v>
      </c>
      <c r="F5037" s="4" t="str">
        <f>HYPERLINK("http://141.218.60.56/~jnz1568/getInfo.php?workbook=12_04.xlsx&amp;sheet=A0&amp;row=5037&amp;col=6&amp;number=174600&amp;sourceID=14","174600")</f>
        <v>174600</v>
      </c>
      <c r="G5037" s="4" t="str">
        <f>HYPERLINK("http://141.218.60.56/~jnz1568/getInfo.php?workbook=12_04.xlsx&amp;sheet=A0&amp;row=5037&amp;col=7&amp;number=0&amp;sourceID=14","0")</f>
        <v>0</v>
      </c>
    </row>
    <row r="5038" spans="1:7">
      <c r="A5038" s="3">
        <v>12</v>
      </c>
      <c r="B5038" s="3">
        <v>4</v>
      </c>
      <c r="C5038" s="3">
        <v>102</v>
      </c>
      <c r="D5038" s="3">
        <v>67</v>
      </c>
      <c r="E5038" s="3">
        <v>-2002.401</v>
      </c>
      <c r="F5038" s="4" t="str">
        <f>HYPERLINK("http://141.218.60.56/~jnz1568/getInfo.php?workbook=12_04.xlsx&amp;sheet=A0&amp;row=5038&amp;col=6&amp;number=134400&amp;sourceID=14","134400")</f>
        <v>134400</v>
      </c>
      <c r="G5038" s="4" t="str">
        <f>HYPERLINK("http://141.218.60.56/~jnz1568/getInfo.php?workbook=12_04.xlsx&amp;sheet=A0&amp;row=5038&amp;col=7&amp;number=0&amp;sourceID=14","0")</f>
        <v>0</v>
      </c>
    </row>
    <row r="5039" spans="1:7">
      <c r="A5039" s="3">
        <v>12</v>
      </c>
      <c r="B5039" s="3">
        <v>4</v>
      </c>
      <c r="C5039" s="3">
        <v>103</v>
      </c>
      <c r="D5039" s="3">
        <v>67</v>
      </c>
      <c r="E5039" s="3">
        <v>-2064.944</v>
      </c>
      <c r="F5039" s="4" t="str">
        <f>HYPERLINK("http://141.218.60.56/~jnz1568/getInfo.php?workbook=12_04.xlsx&amp;sheet=A0&amp;row=5039&amp;col=6&amp;number=0.6007&amp;sourceID=14","0.6007")</f>
        <v>0.6007</v>
      </c>
      <c r="G5039" s="4" t="str">
        <f>HYPERLINK("http://141.218.60.56/~jnz1568/getInfo.php?workbook=12_04.xlsx&amp;sheet=A0&amp;row=5039&amp;col=7&amp;number=0&amp;sourceID=14","0")</f>
        <v>0</v>
      </c>
    </row>
    <row r="5040" spans="1:7">
      <c r="A5040" s="3">
        <v>12</v>
      </c>
      <c r="B5040" s="3">
        <v>4</v>
      </c>
      <c r="C5040" s="3">
        <v>104</v>
      </c>
      <c r="D5040" s="3">
        <v>67</v>
      </c>
      <c r="E5040" s="3">
        <v>-1890.558</v>
      </c>
      <c r="F5040" s="4" t="str">
        <f>HYPERLINK("http://141.218.60.56/~jnz1568/getInfo.php?workbook=12_04.xlsx&amp;sheet=A0&amp;row=5040&amp;col=6&amp;number=136300&amp;sourceID=14","136300")</f>
        <v>136300</v>
      </c>
      <c r="G5040" s="4" t="str">
        <f>HYPERLINK("http://141.218.60.56/~jnz1568/getInfo.php?workbook=12_04.xlsx&amp;sheet=A0&amp;row=5040&amp;col=7&amp;number=0&amp;sourceID=14","0")</f>
        <v>0</v>
      </c>
    </row>
    <row r="5041" spans="1:7">
      <c r="A5041" s="3">
        <v>12</v>
      </c>
      <c r="B5041" s="3">
        <v>4</v>
      </c>
      <c r="C5041" s="3">
        <v>105</v>
      </c>
      <c r="D5041" s="3">
        <v>67</v>
      </c>
      <c r="E5041" s="3">
        <v>-1784.733</v>
      </c>
      <c r="F5041" s="4" t="str">
        <f>HYPERLINK("http://141.218.60.56/~jnz1568/getInfo.php?workbook=12_04.xlsx&amp;sheet=A0&amp;row=5041&amp;col=6&amp;number=0.9413&amp;sourceID=14","0.9413")</f>
        <v>0.9413</v>
      </c>
      <c r="G5041" s="4" t="str">
        <f>HYPERLINK("http://141.218.60.56/~jnz1568/getInfo.php?workbook=12_04.xlsx&amp;sheet=A0&amp;row=5041&amp;col=7&amp;number=0&amp;sourceID=14","0")</f>
        <v>0</v>
      </c>
    </row>
    <row r="5042" spans="1:7">
      <c r="A5042" s="3">
        <v>12</v>
      </c>
      <c r="B5042" s="3">
        <v>4</v>
      </c>
      <c r="C5042" s="3">
        <v>106</v>
      </c>
      <c r="D5042" s="3">
        <v>67</v>
      </c>
      <c r="E5042" s="3">
        <v>-1783.996</v>
      </c>
      <c r="F5042" s="4" t="str">
        <f>HYPERLINK("http://141.218.60.56/~jnz1568/getInfo.php?workbook=12_04.xlsx&amp;sheet=A0&amp;row=5042&amp;col=6&amp;number=0.3908&amp;sourceID=14","0.3908")</f>
        <v>0.3908</v>
      </c>
      <c r="G5042" s="4" t="str">
        <f>HYPERLINK("http://141.218.60.56/~jnz1568/getInfo.php?workbook=12_04.xlsx&amp;sheet=A0&amp;row=5042&amp;col=7&amp;number=0&amp;sourceID=14","0")</f>
        <v>0</v>
      </c>
    </row>
    <row r="5043" spans="1:7">
      <c r="A5043" s="3">
        <v>12</v>
      </c>
      <c r="B5043" s="3">
        <v>4</v>
      </c>
      <c r="C5043" s="3">
        <v>107</v>
      </c>
      <c r="D5043" s="3">
        <v>67</v>
      </c>
      <c r="E5043" s="3">
        <v>-1782.877</v>
      </c>
      <c r="F5043" s="4" t="str">
        <f>HYPERLINK("http://141.218.60.56/~jnz1568/getInfo.php?workbook=12_04.xlsx&amp;sheet=A0&amp;row=5043&amp;col=6&amp;number=0.5092&amp;sourceID=14","0.5092")</f>
        <v>0.5092</v>
      </c>
      <c r="G5043" s="4" t="str">
        <f>HYPERLINK("http://141.218.60.56/~jnz1568/getInfo.php?workbook=12_04.xlsx&amp;sheet=A0&amp;row=5043&amp;col=7&amp;number=0&amp;sourceID=14","0")</f>
        <v>0</v>
      </c>
    </row>
    <row r="5044" spans="1:7">
      <c r="A5044" s="3">
        <v>12</v>
      </c>
      <c r="B5044" s="3">
        <v>4</v>
      </c>
      <c r="C5044" s="3">
        <v>108</v>
      </c>
      <c r="D5044" s="3">
        <v>67</v>
      </c>
      <c r="E5044" s="3">
        <v>-1662.088</v>
      </c>
      <c r="F5044" s="4" t="str">
        <f>HYPERLINK("http://141.218.60.56/~jnz1568/getInfo.php?workbook=12_04.xlsx&amp;sheet=A0&amp;row=5044&amp;col=6&amp;number=0.03269&amp;sourceID=14","0.03269")</f>
        <v>0.03269</v>
      </c>
      <c r="G5044" s="4" t="str">
        <f>HYPERLINK("http://141.218.60.56/~jnz1568/getInfo.php?workbook=12_04.xlsx&amp;sheet=A0&amp;row=5044&amp;col=7&amp;number=0&amp;sourceID=14","0")</f>
        <v>0</v>
      </c>
    </row>
    <row r="5045" spans="1:7">
      <c r="A5045" s="3">
        <v>12</v>
      </c>
      <c r="B5045" s="3">
        <v>4</v>
      </c>
      <c r="C5045" s="3">
        <v>99</v>
      </c>
      <c r="D5045" s="3">
        <v>68</v>
      </c>
      <c r="E5045" s="3">
        <v>-2787.913</v>
      </c>
      <c r="F5045" s="4" t="str">
        <f>HYPERLINK("http://141.218.60.56/~jnz1568/getInfo.php?workbook=12_04.xlsx&amp;sheet=A0&amp;row=5045&amp;col=6&amp;number=1.156&amp;sourceID=14","1.156")</f>
        <v>1.156</v>
      </c>
      <c r="G5045" s="4" t="str">
        <f>HYPERLINK("http://141.218.60.56/~jnz1568/getInfo.php?workbook=12_04.xlsx&amp;sheet=A0&amp;row=5045&amp;col=7&amp;number=0&amp;sourceID=14","0")</f>
        <v>0</v>
      </c>
    </row>
    <row r="5046" spans="1:7">
      <c r="A5046" s="3">
        <v>12</v>
      </c>
      <c r="B5046" s="3">
        <v>4</v>
      </c>
      <c r="C5046" s="3">
        <v>102</v>
      </c>
      <c r="D5046" s="3">
        <v>68</v>
      </c>
      <c r="E5046" s="3">
        <v>-2105.261</v>
      </c>
      <c r="F5046" s="4" t="str">
        <f>HYPERLINK("http://141.218.60.56/~jnz1568/getInfo.php?workbook=12_04.xlsx&amp;sheet=A0&amp;row=5046&amp;col=6&amp;number=296600&amp;sourceID=14","296600")</f>
        <v>296600</v>
      </c>
      <c r="G5046" s="4" t="str">
        <f>HYPERLINK("http://141.218.60.56/~jnz1568/getInfo.php?workbook=12_04.xlsx&amp;sheet=A0&amp;row=5046&amp;col=7&amp;number=0&amp;sourceID=14","0")</f>
        <v>0</v>
      </c>
    </row>
    <row r="5047" spans="1:7">
      <c r="A5047" s="3">
        <v>12</v>
      </c>
      <c r="B5047" s="3">
        <v>4</v>
      </c>
      <c r="C5047" s="3">
        <v>105</v>
      </c>
      <c r="D5047" s="3">
        <v>68</v>
      </c>
      <c r="E5047" s="3">
        <v>-1865.992</v>
      </c>
      <c r="F5047" s="4" t="str">
        <f>HYPERLINK("http://141.218.60.56/~jnz1568/getInfo.php?workbook=12_04.xlsx&amp;sheet=A0&amp;row=5047&amp;col=6&amp;number=0.09536&amp;sourceID=14","0.09536")</f>
        <v>0.09536</v>
      </c>
      <c r="G5047" s="4" t="str">
        <f>HYPERLINK("http://141.218.60.56/~jnz1568/getInfo.php?workbook=12_04.xlsx&amp;sheet=A0&amp;row=5047&amp;col=7&amp;number=0&amp;sourceID=14","0")</f>
        <v>0</v>
      </c>
    </row>
    <row r="5048" spans="1:7">
      <c r="A5048" s="3">
        <v>12</v>
      </c>
      <c r="B5048" s="3">
        <v>4</v>
      </c>
      <c r="C5048" s="3">
        <v>106</v>
      </c>
      <c r="D5048" s="3">
        <v>68</v>
      </c>
      <c r="E5048" s="3">
        <v>1811.368</v>
      </c>
      <c r="F5048" s="4" t="str">
        <f>HYPERLINK("http://141.218.60.56/~jnz1568/getInfo.php?workbook=12_04.xlsx&amp;sheet=A0&amp;row=5048&amp;col=6&amp;number=0.6123&amp;sourceID=14","0.6123")</f>
        <v>0.6123</v>
      </c>
      <c r="G5048" s="4" t="str">
        <f>HYPERLINK("http://141.218.60.56/~jnz1568/getInfo.php?workbook=12_04.xlsx&amp;sheet=A0&amp;row=5048&amp;col=7&amp;number=0&amp;sourceID=14","0")</f>
        <v>0</v>
      </c>
    </row>
    <row r="5049" spans="1:7">
      <c r="A5049" s="3">
        <v>12</v>
      </c>
      <c r="B5049" s="3">
        <v>4</v>
      </c>
      <c r="C5049" s="3">
        <v>107</v>
      </c>
      <c r="D5049" s="3">
        <v>68</v>
      </c>
      <c r="E5049" s="3">
        <v>1810.843</v>
      </c>
      <c r="F5049" s="4" t="str">
        <f>HYPERLINK("http://141.218.60.56/~jnz1568/getInfo.php?workbook=12_04.xlsx&amp;sheet=A0&amp;row=5049&amp;col=6&amp;number=1.052&amp;sourceID=14","1.052")</f>
        <v>1.052</v>
      </c>
      <c r="G5049" s="4" t="str">
        <f>HYPERLINK("http://141.218.60.56/~jnz1568/getInfo.php?workbook=12_04.xlsx&amp;sheet=A0&amp;row=5049&amp;col=7&amp;number=0&amp;sourceID=14","0")</f>
        <v>0</v>
      </c>
    </row>
    <row r="5050" spans="1:7">
      <c r="A5050" s="3">
        <v>12</v>
      </c>
      <c r="B5050" s="3">
        <v>4</v>
      </c>
      <c r="C5050" s="3">
        <v>108</v>
      </c>
      <c r="D5050" s="3">
        <v>68</v>
      </c>
      <c r="E5050" s="3">
        <v>1704.946</v>
      </c>
      <c r="F5050" s="4" t="str">
        <f>HYPERLINK("http://141.218.60.56/~jnz1568/getInfo.php?workbook=12_04.xlsx&amp;sheet=A0&amp;row=5050&amp;col=6&amp;number=0.003945&amp;sourceID=14","0.003945")</f>
        <v>0.003945</v>
      </c>
      <c r="G5050" s="4" t="str">
        <f>HYPERLINK("http://141.218.60.56/~jnz1568/getInfo.php?workbook=12_04.xlsx&amp;sheet=A0&amp;row=5050&amp;col=7&amp;number=0&amp;sourceID=14","0")</f>
        <v>0</v>
      </c>
    </row>
    <row r="5051" spans="1:7">
      <c r="A5051" s="3">
        <v>12</v>
      </c>
      <c r="B5051" s="3">
        <v>4</v>
      </c>
      <c r="C5051" s="3">
        <v>99</v>
      </c>
      <c r="D5051" s="3">
        <v>69</v>
      </c>
      <c r="E5051" s="3">
        <v>-3032.773</v>
      </c>
      <c r="F5051" s="4" t="str">
        <f>HYPERLINK("http://141.218.60.56/~jnz1568/getInfo.php?workbook=12_04.xlsx&amp;sheet=A0&amp;row=5051&amp;col=6&amp;number=0.004535&amp;sourceID=14","0.004535")</f>
        <v>0.004535</v>
      </c>
      <c r="G5051" s="4" t="str">
        <f>HYPERLINK("http://141.218.60.56/~jnz1568/getInfo.php?workbook=12_04.xlsx&amp;sheet=A0&amp;row=5051&amp;col=7&amp;number=0&amp;sourceID=14","0")</f>
        <v>0</v>
      </c>
    </row>
    <row r="5052" spans="1:7">
      <c r="A5052" s="3">
        <v>12</v>
      </c>
      <c r="B5052" s="3">
        <v>4</v>
      </c>
      <c r="C5052" s="3">
        <v>100</v>
      </c>
      <c r="D5052" s="3">
        <v>69</v>
      </c>
      <c r="E5052" s="3">
        <v>-2249.597</v>
      </c>
      <c r="F5052" s="4" t="str">
        <f>HYPERLINK("http://141.218.60.56/~jnz1568/getInfo.php?workbook=12_04.xlsx&amp;sheet=A0&amp;row=5052&amp;col=6&amp;number=16210000&amp;sourceID=14","16210000")</f>
        <v>16210000</v>
      </c>
      <c r="G5052" s="4" t="str">
        <f>HYPERLINK("http://141.218.60.56/~jnz1568/getInfo.php?workbook=12_04.xlsx&amp;sheet=A0&amp;row=5052&amp;col=7&amp;number=0&amp;sourceID=14","0")</f>
        <v>0</v>
      </c>
    </row>
    <row r="5053" spans="1:7">
      <c r="A5053" s="3">
        <v>12</v>
      </c>
      <c r="B5053" s="3">
        <v>4</v>
      </c>
      <c r="C5053" s="3">
        <v>101</v>
      </c>
      <c r="D5053" s="3">
        <v>69</v>
      </c>
      <c r="E5053" s="3">
        <v>-2247.268</v>
      </c>
      <c r="F5053" s="4" t="str">
        <f>HYPERLINK("http://141.218.60.56/~jnz1568/getInfo.php?workbook=12_04.xlsx&amp;sheet=A0&amp;row=5053&amp;col=6&amp;number=13840000&amp;sourceID=14","13840000")</f>
        <v>13840000</v>
      </c>
      <c r="G5053" s="4" t="str">
        <f>HYPERLINK("http://141.218.60.56/~jnz1568/getInfo.php?workbook=12_04.xlsx&amp;sheet=A0&amp;row=5053&amp;col=7&amp;number=0&amp;sourceID=14","0")</f>
        <v>0</v>
      </c>
    </row>
    <row r="5054" spans="1:7">
      <c r="A5054" s="3">
        <v>12</v>
      </c>
      <c r="B5054" s="3">
        <v>4</v>
      </c>
      <c r="C5054" s="3">
        <v>102</v>
      </c>
      <c r="D5054" s="3">
        <v>69</v>
      </c>
      <c r="E5054" s="3">
        <v>-2241.949</v>
      </c>
      <c r="F5054" s="4" t="str">
        <f>HYPERLINK("http://141.218.60.56/~jnz1568/getInfo.php?workbook=12_04.xlsx&amp;sheet=A0&amp;row=5054&amp;col=6&amp;number=11210000&amp;sourceID=14","11210000")</f>
        <v>11210000</v>
      </c>
      <c r="G5054" s="4" t="str">
        <f>HYPERLINK("http://141.218.60.56/~jnz1568/getInfo.php?workbook=12_04.xlsx&amp;sheet=A0&amp;row=5054&amp;col=7&amp;number=0&amp;sourceID=14","0")</f>
        <v>0</v>
      </c>
    </row>
    <row r="5055" spans="1:7">
      <c r="A5055" s="3">
        <v>12</v>
      </c>
      <c r="B5055" s="3">
        <v>4</v>
      </c>
      <c r="C5055" s="3">
        <v>103</v>
      </c>
      <c r="D5055" s="3">
        <v>69</v>
      </c>
      <c r="E5055" s="3">
        <v>-2320.644</v>
      </c>
      <c r="F5055" s="4" t="str">
        <f>HYPERLINK("http://141.218.60.56/~jnz1568/getInfo.php?workbook=12_04.xlsx&amp;sheet=A0&amp;row=5055&amp;col=6&amp;number=0.3401&amp;sourceID=14","0.3401")</f>
        <v>0.3401</v>
      </c>
      <c r="G5055" s="4" t="str">
        <f>HYPERLINK("http://141.218.60.56/~jnz1568/getInfo.php?workbook=12_04.xlsx&amp;sheet=A0&amp;row=5055&amp;col=7&amp;number=0&amp;sourceID=14","0")</f>
        <v>0</v>
      </c>
    </row>
    <row r="5056" spans="1:7">
      <c r="A5056" s="3">
        <v>12</v>
      </c>
      <c r="B5056" s="3">
        <v>4</v>
      </c>
      <c r="C5056" s="3">
        <v>104</v>
      </c>
      <c r="D5056" s="3">
        <v>69</v>
      </c>
      <c r="E5056" s="3">
        <v>-2102.676</v>
      </c>
      <c r="F5056" s="4" t="str">
        <f>HYPERLINK("http://141.218.60.56/~jnz1568/getInfo.php?workbook=12_04.xlsx&amp;sheet=A0&amp;row=5056&amp;col=6&amp;number=4941&amp;sourceID=14","4941")</f>
        <v>4941</v>
      </c>
      <c r="G5056" s="4" t="str">
        <f>HYPERLINK("http://141.218.60.56/~jnz1568/getInfo.php?workbook=12_04.xlsx&amp;sheet=A0&amp;row=5056&amp;col=7&amp;number=0&amp;sourceID=14","0")</f>
        <v>0</v>
      </c>
    </row>
    <row r="5057" spans="1:7">
      <c r="A5057" s="3">
        <v>12</v>
      </c>
      <c r="B5057" s="3">
        <v>4</v>
      </c>
      <c r="C5057" s="3">
        <v>105</v>
      </c>
      <c r="D5057" s="3">
        <v>69</v>
      </c>
      <c r="E5057" s="3">
        <v>-1972.589</v>
      </c>
      <c r="F5057" s="4" t="str">
        <f>HYPERLINK("http://141.218.60.56/~jnz1568/getInfo.php?workbook=12_04.xlsx&amp;sheet=A0&amp;row=5057&amp;col=6&amp;number=88.58&amp;sourceID=14","88.58")</f>
        <v>88.58</v>
      </c>
      <c r="G5057" s="4" t="str">
        <f>HYPERLINK("http://141.218.60.56/~jnz1568/getInfo.php?workbook=12_04.xlsx&amp;sheet=A0&amp;row=5057&amp;col=7&amp;number=0&amp;sourceID=14","0")</f>
        <v>0</v>
      </c>
    </row>
    <row r="5058" spans="1:7">
      <c r="A5058" s="3">
        <v>12</v>
      </c>
      <c r="B5058" s="3">
        <v>4</v>
      </c>
      <c r="C5058" s="3">
        <v>106</v>
      </c>
      <c r="D5058" s="3">
        <v>69</v>
      </c>
      <c r="E5058" s="3">
        <v>-1971.688</v>
      </c>
      <c r="F5058" s="4" t="str">
        <f>HYPERLINK("http://141.218.60.56/~jnz1568/getInfo.php?workbook=12_04.xlsx&amp;sheet=A0&amp;row=5058&amp;col=6&amp;number=91.79&amp;sourceID=14","91.79")</f>
        <v>91.79</v>
      </c>
      <c r="G5058" s="4" t="str">
        <f>HYPERLINK("http://141.218.60.56/~jnz1568/getInfo.php?workbook=12_04.xlsx&amp;sheet=A0&amp;row=5058&amp;col=7&amp;number=0&amp;sourceID=14","0")</f>
        <v>0</v>
      </c>
    </row>
    <row r="5059" spans="1:7">
      <c r="A5059" s="3">
        <v>12</v>
      </c>
      <c r="B5059" s="3">
        <v>4</v>
      </c>
      <c r="C5059" s="3">
        <v>107</v>
      </c>
      <c r="D5059" s="3">
        <v>69</v>
      </c>
      <c r="E5059" s="3">
        <v>-1970.322</v>
      </c>
      <c r="F5059" s="4" t="str">
        <f>HYPERLINK("http://141.218.60.56/~jnz1568/getInfo.php?workbook=12_04.xlsx&amp;sheet=A0&amp;row=5059&amp;col=6&amp;number=91.39&amp;sourceID=14","91.39")</f>
        <v>91.39</v>
      </c>
      <c r="G5059" s="4" t="str">
        <f>HYPERLINK("http://141.218.60.56/~jnz1568/getInfo.php?workbook=12_04.xlsx&amp;sheet=A0&amp;row=5059&amp;col=7&amp;number=0&amp;sourceID=14","0")</f>
        <v>0</v>
      </c>
    </row>
    <row r="5060" spans="1:7">
      <c r="A5060" s="3">
        <v>12</v>
      </c>
      <c r="B5060" s="3">
        <v>4</v>
      </c>
      <c r="C5060" s="3">
        <v>108</v>
      </c>
      <c r="D5060" s="3">
        <v>69</v>
      </c>
      <c r="E5060" s="3">
        <v>-1823.842</v>
      </c>
      <c r="F5060" s="4" t="str">
        <f>HYPERLINK("http://141.218.60.56/~jnz1568/getInfo.php?workbook=12_04.xlsx&amp;sheet=A0&amp;row=5060&amp;col=6&amp;number=0.1714&amp;sourceID=14","0.1714")</f>
        <v>0.1714</v>
      </c>
      <c r="G5060" s="4" t="str">
        <f>HYPERLINK("http://141.218.60.56/~jnz1568/getInfo.php?workbook=12_04.xlsx&amp;sheet=A0&amp;row=5060&amp;col=7&amp;number=0&amp;sourceID=14","0")</f>
        <v>0</v>
      </c>
    </row>
    <row r="5061" spans="1:7">
      <c r="A5061" s="3">
        <v>12</v>
      </c>
      <c r="B5061" s="3">
        <v>4</v>
      </c>
      <c r="C5061" s="3">
        <v>99</v>
      </c>
      <c r="D5061" s="3">
        <v>70</v>
      </c>
      <c r="E5061" s="3">
        <v>-3092.038</v>
      </c>
      <c r="F5061" s="4" t="str">
        <f>HYPERLINK("http://141.218.60.56/~jnz1568/getInfo.php?workbook=12_04.xlsx&amp;sheet=A0&amp;row=5061&amp;col=6&amp;number=0.04993&amp;sourceID=14","0.04993")</f>
        <v>0.04993</v>
      </c>
      <c r="G5061" s="4" t="str">
        <f>HYPERLINK("http://141.218.60.56/~jnz1568/getInfo.php?workbook=12_04.xlsx&amp;sheet=A0&amp;row=5061&amp;col=7&amp;number=0&amp;sourceID=14","0")</f>
        <v>0</v>
      </c>
    </row>
    <row r="5062" spans="1:7">
      <c r="A5062" s="3">
        <v>12</v>
      </c>
      <c r="B5062" s="3">
        <v>4</v>
      </c>
      <c r="C5062" s="3">
        <v>101</v>
      </c>
      <c r="D5062" s="3">
        <v>70</v>
      </c>
      <c r="E5062" s="3">
        <v>-2279.646</v>
      </c>
      <c r="F5062" s="4" t="str">
        <f>HYPERLINK("http://141.218.60.56/~jnz1568/getInfo.php?workbook=12_04.xlsx&amp;sheet=A0&amp;row=5062&amp;col=6&amp;number=560900&amp;sourceID=14","560900")</f>
        <v>560900</v>
      </c>
      <c r="G5062" s="4" t="str">
        <f>HYPERLINK("http://141.218.60.56/~jnz1568/getInfo.php?workbook=12_04.xlsx&amp;sheet=A0&amp;row=5062&amp;col=7&amp;number=0&amp;sourceID=14","0")</f>
        <v>0</v>
      </c>
    </row>
    <row r="5063" spans="1:7">
      <c r="A5063" s="3">
        <v>12</v>
      </c>
      <c r="B5063" s="3">
        <v>4</v>
      </c>
      <c r="C5063" s="3">
        <v>104</v>
      </c>
      <c r="D5063" s="3">
        <v>70</v>
      </c>
      <c r="E5063" s="3">
        <v>-2130.994</v>
      </c>
      <c r="F5063" s="4" t="str">
        <f>HYPERLINK("http://141.218.60.56/~jnz1568/getInfo.php?workbook=12_04.xlsx&amp;sheet=A0&amp;row=5063&amp;col=6&amp;number=872900&amp;sourceID=14","872900")</f>
        <v>872900</v>
      </c>
      <c r="G5063" s="4" t="str">
        <f>HYPERLINK("http://141.218.60.56/~jnz1568/getInfo.php?workbook=12_04.xlsx&amp;sheet=A0&amp;row=5063&amp;col=7&amp;number=0&amp;sourceID=14","0")</f>
        <v>0</v>
      </c>
    </row>
    <row r="5064" spans="1:7">
      <c r="A5064" s="3">
        <v>12</v>
      </c>
      <c r="B5064" s="3">
        <v>4</v>
      </c>
      <c r="C5064" s="3">
        <v>105</v>
      </c>
      <c r="D5064" s="3">
        <v>70</v>
      </c>
      <c r="E5064" s="3">
        <v>-1997.492</v>
      </c>
      <c r="F5064" s="4" t="str">
        <f>HYPERLINK("http://141.218.60.56/~jnz1568/getInfo.php?workbook=12_04.xlsx&amp;sheet=A0&amp;row=5064&amp;col=6&amp;number=0.0003102&amp;sourceID=14","0.0003102")</f>
        <v>0.0003102</v>
      </c>
      <c r="G5064" s="4" t="str">
        <f>HYPERLINK("http://141.218.60.56/~jnz1568/getInfo.php?workbook=12_04.xlsx&amp;sheet=A0&amp;row=5064&amp;col=7&amp;number=0&amp;sourceID=14","0")</f>
        <v>0</v>
      </c>
    </row>
    <row r="5065" spans="1:7">
      <c r="A5065" s="3">
        <v>12</v>
      </c>
      <c r="B5065" s="3">
        <v>4</v>
      </c>
      <c r="C5065" s="3">
        <v>106</v>
      </c>
      <c r="D5065" s="3">
        <v>70</v>
      </c>
      <c r="E5065" s="3">
        <v>-1996.568</v>
      </c>
      <c r="F5065" s="4" t="str">
        <f>HYPERLINK("http://141.218.60.56/~jnz1568/getInfo.php?workbook=12_04.xlsx&amp;sheet=A0&amp;row=5065&amp;col=6&amp;number=0.006508&amp;sourceID=14","0.006508")</f>
        <v>0.006508</v>
      </c>
      <c r="G5065" s="4" t="str">
        <f>HYPERLINK("http://141.218.60.56/~jnz1568/getInfo.php?workbook=12_04.xlsx&amp;sheet=A0&amp;row=5065&amp;col=7&amp;number=0&amp;sourceID=14","0")</f>
        <v>0</v>
      </c>
    </row>
    <row r="5066" spans="1:7">
      <c r="A5066" s="3">
        <v>12</v>
      </c>
      <c r="B5066" s="3">
        <v>4</v>
      </c>
      <c r="C5066" s="3">
        <v>108</v>
      </c>
      <c r="D5066" s="3">
        <v>70</v>
      </c>
      <c r="E5066" s="3">
        <v>-1845.11</v>
      </c>
      <c r="F5066" s="4" t="str">
        <f>HYPERLINK("http://141.218.60.56/~jnz1568/getInfo.php?workbook=12_04.xlsx&amp;sheet=A0&amp;row=5066&amp;col=6&amp;number=5.175&amp;sourceID=14","5.175")</f>
        <v>5.175</v>
      </c>
      <c r="G5066" s="4" t="str">
        <f>HYPERLINK("http://141.218.60.56/~jnz1568/getInfo.php?workbook=12_04.xlsx&amp;sheet=A0&amp;row=5066&amp;col=7&amp;number=0&amp;sourceID=14","0")</f>
        <v>0</v>
      </c>
    </row>
    <row r="5067" spans="1:7">
      <c r="A5067" s="3">
        <v>12</v>
      </c>
      <c r="B5067" s="3">
        <v>4</v>
      </c>
      <c r="C5067" s="3">
        <v>99</v>
      </c>
      <c r="D5067" s="3">
        <v>71</v>
      </c>
      <c r="E5067" s="3">
        <v>-3288.378</v>
      </c>
      <c r="F5067" s="4" t="str">
        <f>HYPERLINK("http://141.218.60.56/~jnz1568/getInfo.php?workbook=12_04.xlsx&amp;sheet=A0&amp;row=5067&amp;col=6&amp;number=0.02679&amp;sourceID=14","0.02679")</f>
        <v>0.02679</v>
      </c>
      <c r="G5067" s="4" t="str">
        <f>HYPERLINK("http://141.218.60.56/~jnz1568/getInfo.php?workbook=12_04.xlsx&amp;sheet=A0&amp;row=5067&amp;col=7&amp;number=0&amp;sourceID=14","0")</f>
        <v>0</v>
      </c>
    </row>
    <row r="5068" spans="1:7">
      <c r="A5068" s="3">
        <v>12</v>
      </c>
      <c r="B5068" s="3">
        <v>4</v>
      </c>
      <c r="C5068" s="3">
        <v>100</v>
      </c>
      <c r="D5068" s="3">
        <v>71</v>
      </c>
      <c r="E5068" s="3">
        <v>-2387.238</v>
      </c>
      <c r="F5068" s="4" t="str">
        <f>HYPERLINK("http://141.218.60.56/~jnz1568/getInfo.php?workbook=12_04.xlsx&amp;sheet=A0&amp;row=5068&amp;col=6&amp;number=4736&amp;sourceID=14","4736")</f>
        <v>4736</v>
      </c>
      <c r="G5068" s="4" t="str">
        <f>HYPERLINK("http://141.218.60.56/~jnz1568/getInfo.php?workbook=12_04.xlsx&amp;sheet=A0&amp;row=5068&amp;col=7&amp;number=0&amp;sourceID=14","0")</f>
        <v>0</v>
      </c>
    </row>
    <row r="5069" spans="1:7">
      <c r="A5069" s="3">
        <v>12</v>
      </c>
      <c r="B5069" s="3">
        <v>4</v>
      </c>
      <c r="C5069" s="3">
        <v>101</v>
      </c>
      <c r="D5069" s="3">
        <v>71</v>
      </c>
      <c r="E5069" s="3">
        <v>-2384.616</v>
      </c>
      <c r="F5069" s="4" t="str">
        <f>HYPERLINK("http://141.218.60.56/~jnz1568/getInfo.php?workbook=12_04.xlsx&amp;sheet=A0&amp;row=5069&amp;col=6&amp;number=612200&amp;sourceID=14","612200")</f>
        <v>612200</v>
      </c>
      <c r="G5069" s="4" t="str">
        <f>HYPERLINK("http://141.218.60.56/~jnz1568/getInfo.php?workbook=12_04.xlsx&amp;sheet=A0&amp;row=5069&amp;col=7&amp;number=0&amp;sourceID=14","0")</f>
        <v>0</v>
      </c>
    </row>
    <row r="5070" spans="1:7">
      <c r="A5070" s="3">
        <v>12</v>
      </c>
      <c r="B5070" s="3">
        <v>4</v>
      </c>
      <c r="C5070" s="3">
        <v>102</v>
      </c>
      <c r="D5070" s="3">
        <v>71</v>
      </c>
      <c r="E5070" s="3">
        <v>-2378.627</v>
      </c>
      <c r="F5070" s="4" t="str">
        <f>HYPERLINK("http://141.218.60.56/~jnz1568/getInfo.php?workbook=12_04.xlsx&amp;sheet=A0&amp;row=5070&amp;col=6&amp;number=4173000&amp;sourceID=14","4173000")</f>
        <v>4173000</v>
      </c>
      <c r="G5070" s="4" t="str">
        <f>HYPERLINK("http://141.218.60.56/~jnz1568/getInfo.php?workbook=12_04.xlsx&amp;sheet=A0&amp;row=5070&amp;col=7&amp;number=0&amp;sourceID=14","0")</f>
        <v>0</v>
      </c>
    </row>
    <row r="5071" spans="1:7">
      <c r="A5071" s="3">
        <v>12</v>
      </c>
      <c r="B5071" s="3">
        <v>4</v>
      </c>
      <c r="C5071" s="3">
        <v>103</v>
      </c>
      <c r="D5071" s="3">
        <v>71</v>
      </c>
      <c r="E5071" s="3">
        <v>-2467.401</v>
      </c>
      <c r="F5071" s="4" t="str">
        <f>HYPERLINK("http://141.218.60.56/~jnz1568/getInfo.php?workbook=12_04.xlsx&amp;sheet=A0&amp;row=5071&amp;col=6&amp;number=2.032&amp;sourceID=14","2.032")</f>
        <v>2.032</v>
      </c>
      <c r="G5071" s="4" t="str">
        <f>HYPERLINK("http://141.218.60.56/~jnz1568/getInfo.php?workbook=12_04.xlsx&amp;sheet=A0&amp;row=5071&amp;col=7&amp;number=0&amp;sourceID=14","0")</f>
        <v>0</v>
      </c>
    </row>
    <row r="5072" spans="1:7">
      <c r="A5072" s="3">
        <v>12</v>
      </c>
      <c r="B5072" s="3">
        <v>4</v>
      </c>
      <c r="C5072" s="3">
        <v>104</v>
      </c>
      <c r="D5072" s="3">
        <v>71</v>
      </c>
      <c r="E5072" s="3">
        <v>-2222.447</v>
      </c>
      <c r="F5072" s="4" t="str">
        <f>HYPERLINK("http://141.218.60.56/~jnz1568/getInfo.php?workbook=12_04.xlsx&amp;sheet=A0&amp;row=5072&amp;col=6&amp;number=9129&amp;sourceID=14","9129")</f>
        <v>9129</v>
      </c>
      <c r="G5072" s="4" t="str">
        <f>HYPERLINK("http://141.218.60.56/~jnz1568/getInfo.php?workbook=12_04.xlsx&amp;sheet=A0&amp;row=5072&amp;col=7&amp;number=0&amp;sourceID=14","0")</f>
        <v>0</v>
      </c>
    </row>
    <row r="5073" spans="1:7">
      <c r="A5073" s="3">
        <v>12</v>
      </c>
      <c r="B5073" s="3">
        <v>4</v>
      </c>
      <c r="C5073" s="3">
        <v>105</v>
      </c>
      <c r="D5073" s="3">
        <v>71</v>
      </c>
      <c r="E5073" s="3">
        <v>-2077.629</v>
      </c>
      <c r="F5073" s="4" t="str">
        <f>HYPERLINK("http://141.218.60.56/~jnz1568/getInfo.php?workbook=12_04.xlsx&amp;sheet=A0&amp;row=5073&amp;col=6&amp;number=13.61&amp;sourceID=14","13.61")</f>
        <v>13.61</v>
      </c>
      <c r="G5073" s="4" t="str">
        <f>HYPERLINK("http://141.218.60.56/~jnz1568/getInfo.php?workbook=12_04.xlsx&amp;sheet=A0&amp;row=5073&amp;col=7&amp;number=0&amp;sourceID=14","0")</f>
        <v>0</v>
      </c>
    </row>
    <row r="5074" spans="1:7">
      <c r="A5074" s="3">
        <v>12</v>
      </c>
      <c r="B5074" s="3">
        <v>4</v>
      </c>
      <c r="C5074" s="3">
        <v>106</v>
      </c>
      <c r="D5074" s="3">
        <v>71</v>
      </c>
      <c r="E5074" s="3">
        <v>-2076.629</v>
      </c>
      <c r="F5074" s="4" t="str">
        <f>HYPERLINK("http://141.218.60.56/~jnz1568/getInfo.php?workbook=12_04.xlsx&amp;sheet=A0&amp;row=5074&amp;col=6&amp;number=12.52&amp;sourceID=14","12.52")</f>
        <v>12.52</v>
      </c>
      <c r="G5074" s="4" t="str">
        <f>HYPERLINK("http://141.218.60.56/~jnz1568/getInfo.php?workbook=12_04.xlsx&amp;sheet=A0&amp;row=5074&amp;col=7&amp;number=0&amp;sourceID=14","0")</f>
        <v>0</v>
      </c>
    </row>
    <row r="5075" spans="1:7">
      <c r="A5075" s="3">
        <v>12</v>
      </c>
      <c r="B5075" s="3">
        <v>4</v>
      </c>
      <c r="C5075" s="3">
        <v>107</v>
      </c>
      <c r="D5075" s="3">
        <v>71</v>
      </c>
      <c r="E5075" s="3">
        <v>-2075.113</v>
      </c>
      <c r="F5075" s="4" t="str">
        <f>HYPERLINK("http://141.218.60.56/~jnz1568/getInfo.php?workbook=12_04.xlsx&amp;sheet=A0&amp;row=5075&amp;col=6&amp;number=12.42&amp;sourceID=14","12.42")</f>
        <v>12.42</v>
      </c>
      <c r="G5075" s="4" t="str">
        <f>HYPERLINK("http://141.218.60.56/~jnz1568/getInfo.php?workbook=12_04.xlsx&amp;sheet=A0&amp;row=5075&amp;col=7&amp;number=0&amp;sourceID=14","0")</f>
        <v>0</v>
      </c>
    </row>
    <row r="5076" spans="1:7">
      <c r="A5076" s="3">
        <v>12</v>
      </c>
      <c r="B5076" s="3">
        <v>4</v>
      </c>
      <c r="C5076" s="3">
        <v>108</v>
      </c>
      <c r="D5076" s="3">
        <v>71</v>
      </c>
      <c r="E5076" s="3">
        <v>-1913.279</v>
      </c>
      <c r="F5076" s="4" t="str">
        <f>HYPERLINK("http://141.218.60.56/~jnz1568/getInfo.php?workbook=12_04.xlsx&amp;sheet=A0&amp;row=5076&amp;col=6&amp;number=0.001121&amp;sourceID=14","0.001121")</f>
        <v>0.001121</v>
      </c>
      <c r="G5076" s="4" t="str">
        <f>HYPERLINK("http://141.218.60.56/~jnz1568/getInfo.php?workbook=12_04.xlsx&amp;sheet=A0&amp;row=5076&amp;col=7&amp;number=0&amp;sourceID=14","0")</f>
        <v>0</v>
      </c>
    </row>
    <row r="5077" spans="1:7">
      <c r="A5077" s="3">
        <v>12</v>
      </c>
      <c r="B5077" s="3">
        <v>4</v>
      </c>
      <c r="C5077" s="3">
        <v>99</v>
      </c>
      <c r="D5077" s="3">
        <v>72</v>
      </c>
      <c r="E5077" s="3">
        <v>-3339.664</v>
      </c>
      <c r="F5077" s="4" t="str">
        <f>HYPERLINK("http://141.218.60.56/~jnz1568/getInfo.php?workbook=12_04.xlsx&amp;sheet=A0&amp;row=5077&amp;col=6&amp;number=0.05816&amp;sourceID=14","0.05816")</f>
        <v>0.05816</v>
      </c>
      <c r="G5077" s="4" t="str">
        <f>HYPERLINK("http://141.218.60.56/~jnz1568/getInfo.php?workbook=12_04.xlsx&amp;sheet=A0&amp;row=5077&amp;col=7&amp;number=0&amp;sourceID=14","0")</f>
        <v>0</v>
      </c>
    </row>
    <row r="5078" spans="1:7">
      <c r="A5078" s="3">
        <v>12</v>
      </c>
      <c r="B5078" s="3">
        <v>4</v>
      </c>
      <c r="C5078" s="3">
        <v>101</v>
      </c>
      <c r="D5078" s="3">
        <v>72</v>
      </c>
      <c r="E5078" s="3">
        <v>-2411.47</v>
      </c>
      <c r="F5078" s="4" t="str">
        <f>HYPERLINK("http://141.218.60.56/~jnz1568/getInfo.php?workbook=12_04.xlsx&amp;sheet=A0&amp;row=5078&amp;col=6&amp;number=900500&amp;sourceID=14","900500")</f>
        <v>900500</v>
      </c>
      <c r="G5078" s="4" t="str">
        <f>HYPERLINK("http://141.218.60.56/~jnz1568/getInfo.php?workbook=12_04.xlsx&amp;sheet=A0&amp;row=5078&amp;col=7&amp;number=0&amp;sourceID=14","0")</f>
        <v>0</v>
      </c>
    </row>
    <row r="5079" spans="1:7">
      <c r="A5079" s="3">
        <v>12</v>
      </c>
      <c r="B5079" s="3">
        <v>4</v>
      </c>
      <c r="C5079" s="3">
        <v>102</v>
      </c>
      <c r="D5079" s="3">
        <v>72</v>
      </c>
      <c r="E5079" s="3">
        <v>-2405.346</v>
      </c>
      <c r="F5079" s="4" t="str">
        <f>HYPERLINK("http://141.218.60.56/~jnz1568/getInfo.php?workbook=12_04.xlsx&amp;sheet=A0&amp;row=5079&amp;col=6&amp;number=1299000&amp;sourceID=14","1299000")</f>
        <v>1299000</v>
      </c>
      <c r="G5079" s="4" t="str">
        <f>HYPERLINK("http://141.218.60.56/~jnz1568/getInfo.php?workbook=12_04.xlsx&amp;sheet=A0&amp;row=5079&amp;col=7&amp;number=0&amp;sourceID=14","0")</f>
        <v>0</v>
      </c>
    </row>
    <row r="5080" spans="1:7">
      <c r="A5080" s="3">
        <v>12</v>
      </c>
      <c r="B5080" s="3">
        <v>4</v>
      </c>
      <c r="C5080" s="3">
        <v>103</v>
      </c>
      <c r="D5080" s="3">
        <v>72</v>
      </c>
      <c r="E5080" s="3">
        <v>-2496.163</v>
      </c>
      <c r="F5080" s="4" t="str">
        <f>HYPERLINK("http://141.218.60.56/~jnz1568/getInfo.php?workbook=12_04.xlsx&amp;sheet=A0&amp;row=5080&amp;col=6&amp;number=0.7256&amp;sourceID=14","0.7256")</f>
        <v>0.7256</v>
      </c>
      <c r="G5080" s="4" t="str">
        <f>HYPERLINK("http://141.218.60.56/~jnz1568/getInfo.php?workbook=12_04.xlsx&amp;sheet=A0&amp;row=5080&amp;col=7&amp;number=0&amp;sourceID=14","0")</f>
        <v>0</v>
      </c>
    </row>
    <row r="5081" spans="1:7">
      <c r="A5081" s="3">
        <v>12</v>
      </c>
      <c r="B5081" s="3">
        <v>4</v>
      </c>
      <c r="C5081" s="3">
        <v>104</v>
      </c>
      <c r="D5081" s="3">
        <v>72</v>
      </c>
      <c r="E5081" s="3">
        <v>2197.034</v>
      </c>
      <c r="F5081" s="4" t="str">
        <f>HYPERLINK("http://141.218.60.56/~jnz1568/getInfo.php?workbook=12_04.xlsx&amp;sheet=A0&amp;row=5081&amp;col=6&amp;number=135900&amp;sourceID=14","135900")</f>
        <v>135900</v>
      </c>
      <c r="G5081" s="4" t="str">
        <f>HYPERLINK("http://141.218.60.56/~jnz1568/getInfo.php?workbook=12_04.xlsx&amp;sheet=A0&amp;row=5081&amp;col=7&amp;number=0&amp;sourceID=14","0")</f>
        <v>0</v>
      </c>
    </row>
    <row r="5082" spans="1:7">
      <c r="A5082" s="3">
        <v>12</v>
      </c>
      <c r="B5082" s="3">
        <v>4</v>
      </c>
      <c r="C5082" s="3">
        <v>105</v>
      </c>
      <c r="D5082" s="3">
        <v>72</v>
      </c>
      <c r="E5082" s="3">
        <v>-2097.984</v>
      </c>
      <c r="F5082" s="4" t="str">
        <f>HYPERLINK("http://141.218.60.56/~jnz1568/getInfo.php?workbook=12_04.xlsx&amp;sheet=A0&amp;row=5082&amp;col=6&amp;number=0.02486&amp;sourceID=14","0.02486")</f>
        <v>0.02486</v>
      </c>
      <c r="G5082" s="4" t="str">
        <f>HYPERLINK("http://141.218.60.56/~jnz1568/getInfo.php?workbook=12_04.xlsx&amp;sheet=A0&amp;row=5082&amp;col=7&amp;number=0&amp;sourceID=14","0")</f>
        <v>0</v>
      </c>
    </row>
    <row r="5083" spans="1:7">
      <c r="A5083" s="3">
        <v>12</v>
      </c>
      <c r="B5083" s="3">
        <v>4</v>
      </c>
      <c r="C5083" s="3">
        <v>106</v>
      </c>
      <c r="D5083" s="3">
        <v>72</v>
      </c>
      <c r="E5083" s="3">
        <v>2016.661</v>
      </c>
      <c r="F5083" s="4" t="str">
        <f>HYPERLINK("http://141.218.60.56/~jnz1568/getInfo.php?workbook=12_04.xlsx&amp;sheet=A0&amp;row=5083&amp;col=6&amp;number=0.02458&amp;sourceID=14","0.02458")</f>
        <v>0.02458</v>
      </c>
      <c r="G5083" s="4" t="str">
        <f>HYPERLINK("http://141.218.60.56/~jnz1568/getInfo.php?workbook=12_04.xlsx&amp;sheet=A0&amp;row=5083&amp;col=7&amp;number=0&amp;sourceID=14","0")</f>
        <v>0</v>
      </c>
    </row>
    <row r="5084" spans="1:7">
      <c r="A5084" s="3">
        <v>12</v>
      </c>
      <c r="B5084" s="3">
        <v>4</v>
      </c>
      <c r="C5084" s="3">
        <v>107</v>
      </c>
      <c r="D5084" s="3">
        <v>72</v>
      </c>
      <c r="E5084" s="3">
        <v>2016.011</v>
      </c>
      <c r="F5084" s="4" t="str">
        <f>HYPERLINK("http://141.218.60.56/~jnz1568/getInfo.php?workbook=12_04.xlsx&amp;sheet=A0&amp;row=5084&amp;col=6&amp;number=0.0005541&amp;sourceID=14","0.0005541")</f>
        <v>0.0005541</v>
      </c>
      <c r="G5084" s="4" t="str">
        <f>HYPERLINK("http://141.218.60.56/~jnz1568/getInfo.php?workbook=12_04.xlsx&amp;sheet=A0&amp;row=5084&amp;col=7&amp;number=0&amp;sourceID=14","0")</f>
        <v>0</v>
      </c>
    </row>
    <row r="5085" spans="1:7">
      <c r="A5085" s="3">
        <v>12</v>
      </c>
      <c r="B5085" s="3">
        <v>4</v>
      </c>
      <c r="C5085" s="3">
        <v>108</v>
      </c>
      <c r="D5085" s="3">
        <v>72</v>
      </c>
      <c r="E5085" s="3">
        <v>1885.622</v>
      </c>
      <c r="F5085" s="4" t="str">
        <f>HYPERLINK("http://141.218.60.56/~jnz1568/getInfo.php?workbook=12_04.xlsx&amp;sheet=A0&amp;row=5085&amp;col=6&amp;number=0.03556&amp;sourceID=14","0.03556")</f>
        <v>0.03556</v>
      </c>
      <c r="G5085" s="4" t="str">
        <f>HYPERLINK("http://141.218.60.56/~jnz1568/getInfo.php?workbook=12_04.xlsx&amp;sheet=A0&amp;row=5085&amp;col=7&amp;number=0&amp;sourceID=14","0")</f>
        <v>0</v>
      </c>
    </row>
    <row r="5086" spans="1:7">
      <c r="A5086" s="3">
        <v>12</v>
      </c>
      <c r="B5086" s="3">
        <v>4</v>
      </c>
      <c r="C5086" s="3">
        <v>99</v>
      </c>
      <c r="D5086" s="3">
        <v>73</v>
      </c>
      <c r="E5086" s="3">
        <v>-3716.486</v>
      </c>
      <c r="F5086" s="4" t="str">
        <f>HYPERLINK("http://141.218.60.56/~jnz1568/getInfo.php?workbook=12_04.xlsx&amp;sheet=A0&amp;row=5086&amp;col=6&amp;number=2299&amp;sourceID=14","2299")</f>
        <v>2299</v>
      </c>
      <c r="G5086" s="4" t="str">
        <f>HYPERLINK("http://141.218.60.56/~jnz1568/getInfo.php?workbook=12_04.xlsx&amp;sheet=A0&amp;row=5086&amp;col=7&amp;number=0&amp;sourceID=14","0")</f>
        <v>0</v>
      </c>
    </row>
    <row r="5087" spans="1:7">
      <c r="A5087" s="3">
        <v>12</v>
      </c>
      <c r="B5087" s="3">
        <v>4</v>
      </c>
      <c r="C5087" s="3">
        <v>100</v>
      </c>
      <c r="D5087" s="3">
        <v>73</v>
      </c>
      <c r="E5087" s="3">
        <v>-2605.088</v>
      </c>
      <c r="F5087" s="4" t="str">
        <f>HYPERLINK("http://141.218.60.56/~jnz1568/getInfo.php?workbook=12_04.xlsx&amp;sheet=A0&amp;row=5087&amp;col=6&amp;number=8.773&amp;sourceID=14","8.773")</f>
        <v>8.773</v>
      </c>
      <c r="G5087" s="4" t="str">
        <f>HYPERLINK("http://141.218.60.56/~jnz1568/getInfo.php?workbook=12_04.xlsx&amp;sheet=A0&amp;row=5087&amp;col=7&amp;number=0&amp;sourceID=14","0")</f>
        <v>0</v>
      </c>
    </row>
    <row r="5088" spans="1:7">
      <c r="A5088" s="3">
        <v>12</v>
      </c>
      <c r="B5088" s="3">
        <v>4</v>
      </c>
      <c r="C5088" s="3">
        <v>101</v>
      </c>
      <c r="D5088" s="3">
        <v>73</v>
      </c>
      <c r="E5088" s="3">
        <v>-2601.966</v>
      </c>
      <c r="F5088" s="4" t="str">
        <f>HYPERLINK("http://141.218.60.56/~jnz1568/getInfo.php?workbook=12_04.xlsx&amp;sheet=A0&amp;row=5088&amp;col=6&amp;number=2.169&amp;sourceID=14","2.169")</f>
        <v>2.169</v>
      </c>
      <c r="G5088" s="4" t="str">
        <f>HYPERLINK("http://141.218.60.56/~jnz1568/getInfo.php?workbook=12_04.xlsx&amp;sheet=A0&amp;row=5088&amp;col=7&amp;number=0&amp;sourceID=14","0")</f>
        <v>0</v>
      </c>
    </row>
    <row r="5089" spans="1:7">
      <c r="A5089" s="3">
        <v>12</v>
      </c>
      <c r="B5089" s="3">
        <v>4</v>
      </c>
      <c r="C5089" s="3">
        <v>102</v>
      </c>
      <c r="D5089" s="3">
        <v>73</v>
      </c>
      <c r="E5089" s="3">
        <v>-2594.837</v>
      </c>
      <c r="F5089" s="4" t="str">
        <f>HYPERLINK("http://141.218.60.56/~jnz1568/getInfo.php?workbook=12_04.xlsx&amp;sheet=A0&amp;row=5089&amp;col=6&amp;number=0.3967&amp;sourceID=14","0.3967")</f>
        <v>0.3967</v>
      </c>
      <c r="G5089" s="4" t="str">
        <f>HYPERLINK("http://141.218.60.56/~jnz1568/getInfo.php?workbook=12_04.xlsx&amp;sheet=A0&amp;row=5089&amp;col=7&amp;number=0&amp;sourceID=14","0")</f>
        <v>0</v>
      </c>
    </row>
    <row r="5090" spans="1:7">
      <c r="A5090" s="3">
        <v>12</v>
      </c>
      <c r="B5090" s="3">
        <v>4</v>
      </c>
      <c r="C5090" s="3">
        <v>104</v>
      </c>
      <c r="D5090" s="3">
        <v>73</v>
      </c>
      <c r="E5090" s="3">
        <v>-2410.076</v>
      </c>
      <c r="F5090" s="4" t="str">
        <f>HYPERLINK("http://141.218.60.56/~jnz1568/getInfo.php?workbook=12_04.xlsx&amp;sheet=A0&amp;row=5090&amp;col=6&amp;number=0.002913&amp;sourceID=14","0.002913")</f>
        <v>0.002913</v>
      </c>
      <c r="G5090" s="4" t="str">
        <f>HYPERLINK("http://141.218.60.56/~jnz1568/getInfo.php?workbook=12_04.xlsx&amp;sheet=A0&amp;row=5090&amp;col=7&amp;number=0&amp;sourceID=14","0")</f>
        <v>0</v>
      </c>
    </row>
    <row r="5091" spans="1:7">
      <c r="A5091" s="3">
        <v>12</v>
      </c>
      <c r="B5091" s="3">
        <v>4</v>
      </c>
      <c r="C5091" s="3">
        <v>105</v>
      </c>
      <c r="D5091" s="3">
        <v>73</v>
      </c>
      <c r="E5091" s="3">
        <v>-2240.705</v>
      </c>
      <c r="F5091" s="4" t="str">
        <f>HYPERLINK("http://141.218.60.56/~jnz1568/getInfo.php?workbook=12_04.xlsx&amp;sheet=A0&amp;row=5091&amp;col=6&amp;number=6570000&amp;sourceID=14","6570000")</f>
        <v>6570000</v>
      </c>
      <c r="G5091" s="4" t="str">
        <f>HYPERLINK("http://141.218.60.56/~jnz1568/getInfo.php?workbook=12_04.xlsx&amp;sheet=A0&amp;row=5091&amp;col=7&amp;number=0&amp;sourceID=14","0")</f>
        <v>0</v>
      </c>
    </row>
    <row r="5092" spans="1:7">
      <c r="A5092" s="3">
        <v>12</v>
      </c>
      <c r="B5092" s="3">
        <v>4</v>
      </c>
      <c r="C5092" s="3">
        <v>106</v>
      </c>
      <c r="D5092" s="3">
        <v>73</v>
      </c>
      <c r="E5092" s="3">
        <v>-2239.543</v>
      </c>
      <c r="F5092" s="4" t="str">
        <f>HYPERLINK("http://141.218.60.56/~jnz1568/getInfo.php?workbook=12_04.xlsx&amp;sheet=A0&amp;row=5092&amp;col=6&amp;number=525400&amp;sourceID=14","525400")</f>
        <v>525400</v>
      </c>
      <c r="G5092" s="4" t="str">
        <f>HYPERLINK("http://141.218.60.56/~jnz1568/getInfo.php?workbook=12_04.xlsx&amp;sheet=A0&amp;row=5092&amp;col=7&amp;number=0&amp;sourceID=14","0")</f>
        <v>0</v>
      </c>
    </row>
    <row r="5093" spans="1:7">
      <c r="A5093" s="3">
        <v>12</v>
      </c>
      <c r="B5093" s="3">
        <v>4</v>
      </c>
      <c r="C5093" s="3">
        <v>107</v>
      </c>
      <c r="D5093" s="3">
        <v>73</v>
      </c>
      <c r="E5093" s="3">
        <v>-2237.78</v>
      </c>
      <c r="F5093" s="4" t="str">
        <f>HYPERLINK("http://141.218.60.56/~jnz1568/getInfo.php?workbook=12_04.xlsx&amp;sheet=A0&amp;row=5093&amp;col=6&amp;number=116300&amp;sourceID=14","116300")</f>
        <v>116300</v>
      </c>
      <c r="G5093" s="4" t="str">
        <f>HYPERLINK("http://141.218.60.56/~jnz1568/getInfo.php?workbook=12_04.xlsx&amp;sheet=A0&amp;row=5093&amp;col=7&amp;number=0&amp;sourceID=14","0")</f>
        <v>0</v>
      </c>
    </row>
    <row r="5094" spans="1:7">
      <c r="A5094" s="3">
        <v>12</v>
      </c>
      <c r="B5094" s="3">
        <v>4</v>
      </c>
      <c r="C5094" s="3">
        <v>108</v>
      </c>
      <c r="D5094" s="3">
        <v>73</v>
      </c>
      <c r="E5094" s="3">
        <v>-2050.722</v>
      </c>
      <c r="F5094" s="4" t="str">
        <f>HYPERLINK("http://141.218.60.56/~jnz1568/getInfo.php?workbook=12_04.xlsx&amp;sheet=A0&amp;row=5094&amp;col=6&amp;number=45970&amp;sourceID=14","45970")</f>
        <v>45970</v>
      </c>
      <c r="G5094" s="4" t="str">
        <f>HYPERLINK("http://141.218.60.56/~jnz1568/getInfo.php?workbook=12_04.xlsx&amp;sheet=A0&amp;row=5094&amp;col=7&amp;number=0&amp;sourceID=14","0")</f>
        <v>0</v>
      </c>
    </row>
    <row r="5095" spans="1:7">
      <c r="A5095" s="3">
        <v>12</v>
      </c>
      <c r="B5095" s="3">
        <v>4</v>
      </c>
      <c r="C5095" s="3">
        <v>101</v>
      </c>
      <c r="D5095" s="3">
        <v>74</v>
      </c>
      <c r="E5095" s="3">
        <v>-2738.039</v>
      </c>
      <c r="F5095" s="4" t="str">
        <f>HYPERLINK("http://141.218.60.56/~jnz1568/getInfo.php?workbook=12_04.xlsx&amp;sheet=A0&amp;row=5095&amp;col=6&amp;number=5.354&amp;sourceID=14","5.354")</f>
        <v>5.354</v>
      </c>
      <c r="G5095" s="4" t="str">
        <f>HYPERLINK("http://141.218.60.56/~jnz1568/getInfo.php?workbook=12_04.xlsx&amp;sheet=A0&amp;row=5095&amp;col=7&amp;number=0&amp;sourceID=14","0")</f>
        <v>0</v>
      </c>
    </row>
    <row r="5096" spans="1:7">
      <c r="A5096" s="3">
        <v>12</v>
      </c>
      <c r="B5096" s="3">
        <v>4</v>
      </c>
      <c r="C5096" s="3">
        <v>102</v>
      </c>
      <c r="D5096" s="3">
        <v>74</v>
      </c>
      <c r="E5096" s="3">
        <v>-2730.147</v>
      </c>
      <c r="F5096" s="4" t="str">
        <f>HYPERLINK("http://141.218.60.56/~jnz1568/getInfo.php?workbook=12_04.xlsx&amp;sheet=A0&amp;row=5096&amp;col=6&amp;number=2.027&amp;sourceID=14","2.027")</f>
        <v>2.027</v>
      </c>
      <c r="G5096" s="4" t="str">
        <f>HYPERLINK("http://141.218.60.56/~jnz1568/getInfo.php?workbook=12_04.xlsx&amp;sheet=A0&amp;row=5096&amp;col=7&amp;number=0&amp;sourceID=14","0")</f>
        <v>0</v>
      </c>
    </row>
    <row r="5097" spans="1:7">
      <c r="A5097" s="3">
        <v>12</v>
      </c>
      <c r="B5097" s="3">
        <v>4</v>
      </c>
      <c r="C5097" s="3">
        <v>104</v>
      </c>
      <c r="D5097" s="3">
        <v>74</v>
      </c>
      <c r="E5097" s="3">
        <v>-2526.371</v>
      </c>
      <c r="F5097" s="4" t="str">
        <f>HYPERLINK("http://141.218.60.56/~jnz1568/getInfo.php?workbook=12_04.xlsx&amp;sheet=A0&amp;row=5097&amp;col=6&amp;number=0.6781&amp;sourceID=14","0.6781")</f>
        <v>0.6781</v>
      </c>
      <c r="G5097" s="4" t="str">
        <f>HYPERLINK("http://141.218.60.56/~jnz1568/getInfo.php?workbook=12_04.xlsx&amp;sheet=A0&amp;row=5097&amp;col=7&amp;number=0&amp;sourceID=14","0")</f>
        <v>0</v>
      </c>
    </row>
    <row r="5098" spans="1:7">
      <c r="A5098" s="3">
        <v>12</v>
      </c>
      <c r="B5098" s="3">
        <v>4</v>
      </c>
      <c r="C5098" s="3">
        <v>106</v>
      </c>
      <c r="D5098" s="3">
        <v>74</v>
      </c>
      <c r="E5098" s="3">
        <v>-2339.621</v>
      </c>
      <c r="F5098" s="4" t="str">
        <f>HYPERLINK("http://141.218.60.56/~jnz1568/getInfo.php?workbook=12_04.xlsx&amp;sheet=A0&amp;row=5098&amp;col=6&amp;number=7019000&amp;sourceID=14","7019000")</f>
        <v>7019000</v>
      </c>
      <c r="G5098" s="4" t="str">
        <f>HYPERLINK("http://141.218.60.56/~jnz1568/getInfo.php?workbook=12_04.xlsx&amp;sheet=A0&amp;row=5098&amp;col=7&amp;number=0&amp;sourceID=14","0")</f>
        <v>0</v>
      </c>
    </row>
    <row r="5099" spans="1:7">
      <c r="A5099" s="3">
        <v>12</v>
      </c>
      <c r="B5099" s="3">
        <v>4</v>
      </c>
      <c r="C5099" s="3">
        <v>107</v>
      </c>
      <c r="D5099" s="3">
        <v>74</v>
      </c>
      <c r="E5099" s="3">
        <v>-2337.697</v>
      </c>
      <c r="F5099" s="4" t="str">
        <f>HYPERLINK("http://141.218.60.56/~jnz1568/getInfo.php?workbook=12_04.xlsx&amp;sheet=A0&amp;row=5099&amp;col=6&amp;number=615500&amp;sourceID=14","615500")</f>
        <v>615500</v>
      </c>
      <c r="G5099" s="4" t="str">
        <f>HYPERLINK("http://141.218.60.56/~jnz1568/getInfo.php?workbook=12_04.xlsx&amp;sheet=A0&amp;row=5099&amp;col=7&amp;number=0&amp;sourceID=14","0")</f>
        <v>0</v>
      </c>
    </row>
    <row r="5100" spans="1:7">
      <c r="A5100" s="3">
        <v>12</v>
      </c>
      <c r="B5100" s="3">
        <v>4</v>
      </c>
      <c r="C5100" s="3">
        <v>108</v>
      </c>
      <c r="D5100" s="3">
        <v>74</v>
      </c>
      <c r="E5100" s="3">
        <v>-2134.321</v>
      </c>
      <c r="F5100" s="4" t="str">
        <f>HYPERLINK("http://141.218.60.56/~jnz1568/getInfo.php?workbook=12_04.xlsx&amp;sheet=A0&amp;row=5100&amp;col=6&amp;number=337000&amp;sourceID=14","337000")</f>
        <v>337000</v>
      </c>
      <c r="G5100" s="4" t="str">
        <f>HYPERLINK("http://141.218.60.56/~jnz1568/getInfo.php?workbook=12_04.xlsx&amp;sheet=A0&amp;row=5100&amp;col=7&amp;number=0&amp;sourceID=14","0")</f>
        <v>0</v>
      </c>
    </row>
    <row r="5101" spans="1:7">
      <c r="A5101" s="3">
        <v>12</v>
      </c>
      <c r="B5101" s="3">
        <v>4</v>
      </c>
      <c r="C5101" s="3">
        <v>99</v>
      </c>
      <c r="D5101" s="3">
        <v>75</v>
      </c>
      <c r="E5101" s="3">
        <v>-4099.177</v>
      </c>
      <c r="F5101" s="4" t="str">
        <f>HYPERLINK("http://141.218.60.56/~jnz1568/getInfo.php?workbook=12_04.xlsx&amp;sheet=A0&amp;row=5101&amp;col=6&amp;number=22840&amp;sourceID=14","22840")</f>
        <v>22840</v>
      </c>
      <c r="G5101" s="4" t="str">
        <f>HYPERLINK("http://141.218.60.56/~jnz1568/getInfo.php?workbook=12_04.xlsx&amp;sheet=A0&amp;row=5101&amp;col=7&amp;number=0&amp;sourceID=14","0")</f>
        <v>0</v>
      </c>
    </row>
    <row r="5102" spans="1:7">
      <c r="A5102" s="3">
        <v>12</v>
      </c>
      <c r="B5102" s="3">
        <v>4</v>
      </c>
      <c r="C5102" s="3">
        <v>100</v>
      </c>
      <c r="D5102" s="3">
        <v>75</v>
      </c>
      <c r="E5102" s="3">
        <v>-2787.502</v>
      </c>
      <c r="F5102" s="4" t="str">
        <f>HYPERLINK("http://141.218.60.56/~jnz1568/getInfo.php?workbook=12_04.xlsx&amp;sheet=A0&amp;row=5102&amp;col=6&amp;number=0.5032&amp;sourceID=14","0.5032")</f>
        <v>0.5032</v>
      </c>
      <c r="G5102" s="4" t="str">
        <f>HYPERLINK("http://141.218.60.56/~jnz1568/getInfo.php?workbook=12_04.xlsx&amp;sheet=A0&amp;row=5102&amp;col=7&amp;number=0&amp;sourceID=14","0")</f>
        <v>0</v>
      </c>
    </row>
    <row r="5103" spans="1:7">
      <c r="A5103" s="3">
        <v>12</v>
      </c>
      <c r="B5103" s="3">
        <v>4</v>
      </c>
      <c r="C5103" s="3">
        <v>101</v>
      </c>
      <c r="D5103" s="3">
        <v>75</v>
      </c>
      <c r="E5103" s="3">
        <v>-2783.927</v>
      </c>
      <c r="F5103" s="4" t="str">
        <f>HYPERLINK("http://141.218.60.56/~jnz1568/getInfo.php?workbook=12_04.xlsx&amp;sheet=A0&amp;row=5103&amp;col=6&amp;number=1.909&amp;sourceID=14","1.909")</f>
        <v>1.909</v>
      </c>
      <c r="G5103" s="4" t="str">
        <f>HYPERLINK("http://141.218.60.56/~jnz1568/getInfo.php?workbook=12_04.xlsx&amp;sheet=A0&amp;row=5103&amp;col=7&amp;number=0&amp;sourceID=14","0")</f>
        <v>0</v>
      </c>
    </row>
    <row r="5104" spans="1:7">
      <c r="A5104" s="3">
        <v>12</v>
      </c>
      <c r="B5104" s="3">
        <v>4</v>
      </c>
      <c r="C5104" s="3">
        <v>102</v>
      </c>
      <c r="D5104" s="3">
        <v>75</v>
      </c>
      <c r="E5104" s="3">
        <v>-2775.768</v>
      </c>
      <c r="F5104" s="4" t="str">
        <f>HYPERLINK("http://141.218.60.56/~jnz1568/getInfo.php?workbook=12_04.xlsx&amp;sheet=A0&amp;row=5104&amp;col=6&amp;number=0.06121&amp;sourceID=14","0.06121")</f>
        <v>0.06121</v>
      </c>
      <c r="G5104" s="4" t="str">
        <f>HYPERLINK("http://141.218.60.56/~jnz1568/getInfo.php?workbook=12_04.xlsx&amp;sheet=A0&amp;row=5104&amp;col=7&amp;number=0&amp;sourceID=14","0")</f>
        <v>0</v>
      </c>
    </row>
    <row r="5105" spans="1:7">
      <c r="A5105" s="3">
        <v>12</v>
      </c>
      <c r="B5105" s="3">
        <v>4</v>
      </c>
      <c r="C5105" s="3">
        <v>104</v>
      </c>
      <c r="D5105" s="3">
        <v>75</v>
      </c>
      <c r="E5105" s="3">
        <v>2521.691</v>
      </c>
      <c r="F5105" s="4" t="str">
        <f>HYPERLINK("http://141.218.60.56/~jnz1568/getInfo.php?workbook=12_04.xlsx&amp;sheet=A0&amp;row=5105&amp;col=6&amp;number=0.1135&amp;sourceID=14","0.1135")</f>
        <v>0.1135</v>
      </c>
      <c r="G5105" s="4" t="str">
        <f>HYPERLINK("http://141.218.60.56/~jnz1568/getInfo.php?workbook=12_04.xlsx&amp;sheet=A0&amp;row=5105&amp;col=7&amp;number=0&amp;sourceID=14","0")</f>
        <v>0</v>
      </c>
    </row>
    <row r="5106" spans="1:7">
      <c r="A5106" s="3">
        <v>12</v>
      </c>
      <c r="B5106" s="3">
        <v>4</v>
      </c>
      <c r="C5106" s="3">
        <v>105</v>
      </c>
      <c r="D5106" s="3">
        <v>75</v>
      </c>
      <c r="E5106" s="3">
        <v>-2374.349</v>
      </c>
      <c r="F5106" s="4" t="str">
        <f>HYPERLINK("http://141.218.60.56/~jnz1568/getInfo.php?workbook=12_04.xlsx&amp;sheet=A0&amp;row=5106&amp;col=6&amp;number=1592000&amp;sourceID=14","1592000")</f>
        <v>1592000</v>
      </c>
      <c r="G5106" s="4" t="str">
        <f>HYPERLINK("http://141.218.60.56/~jnz1568/getInfo.php?workbook=12_04.xlsx&amp;sheet=A0&amp;row=5106&amp;col=7&amp;number=0&amp;sourceID=14","0")</f>
        <v>0</v>
      </c>
    </row>
    <row r="5107" spans="1:7">
      <c r="A5107" s="3">
        <v>12</v>
      </c>
      <c r="B5107" s="3">
        <v>4</v>
      </c>
      <c r="C5107" s="3">
        <v>106</v>
      </c>
      <c r="D5107" s="3">
        <v>75</v>
      </c>
      <c r="E5107" s="3">
        <v>2286.921</v>
      </c>
      <c r="F5107" s="4" t="str">
        <f>HYPERLINK("http://141.218.60.56/~jnz1568/getInfo.php?workbook=12_04.xlsx&amp;sheet=A0&amp;row=5107&amp;col=6&amp;number=719900&amp;sourceID=14","719900")</f>
        <v>719900</v>
      </c>
      <c r="G5107" s="4" t="str">
        <f>HYPERLINK("http://141.218.60.56/~jnz1568/getInfo.php?workbook=12_04.xlsx&amp;sheet=A0&amp;row=5107&amp;col=7&amp;number=0&amp;sourceID=14","0")</f>
        <v>0</v>
      </c>
    </row>
    <row r="5108" spans="1:7">
      <c r="A5108" s="3">
        <v>12</v>
      </c>
      <c r="B5108" s="3">
        <v>4</v>
      </c>
      <c r="C5108" s="3">
        <v>107</v>
      </c>
      <c r="D5108" s="3">
        <v>75</v>
      </c>
      <c r="E5108" s="3">
        <v>2286.084</v>
      </c>
      <c r="F5108" s="4" t="str">
        <f>HYPERLINK("http://141.218.60.56/~jnz1568/getInfo.php?workbook=12_04.xlsx&amp;sheet=A0&amp;row=5108&amp;col=6&amp;number=470700&amp;sourceID=14","470700")</f>
        <v>470700</v>
      </c>
      <c r="G5108" s="4" t="str">
        <f>HYPERLINK("http://141.218.60.56/~jnz1568/getInfo.php?workbook=12_04.xlsx&amp;sheet=A0&amp;row=5108&amp;col=7&amp;number=0&amp;sourceID=14","0")</f>
        <v>0</v>
      </c>
    </row>
    <row r="5109" spans="1:7">
      <c r="A5109" s="3">
        <v>12</v>
      </c>
      <c r="B5109" s="3">
        <v>4</v>
      </c>
      <c r="C5109" s="3">
        <v>108</v>
      </c>
      <c r="D5109" s="3">
        <v>75</v>
      </c>
      <c r="E5109" s="3">
        <v>2119.861</v>
      </c>
      <c r="F5109" s="4" t="str">
        <f>HYPERLINK("http://141.218.60.56/~jnz1568/getInfo.php?workbook=12_04.xlsx&amp;sheet=A0&amp;row=5109&amp;col=6&amp;number=111000&amp;sourceID=14","111000")</f>
        <v>111000</v>
      </c>
      <c r="G5109" s="4" t="str">
        <f>HYPERLINK("http://141.218.60.56/~jnz1568/getInfo.php?workbook=12_04.xlsx&amp;sheet=A0&amp;row=5109&amp;col=7&amp;number=0&amp;sourceID=14","0")</f>
        <v>0</v>
      </c>
    </row>
    <row r="5110" spans="1:7">
      <c r="A5110" s="3">
        <v>12</v>
      </c>
      <c r="B5110" s="3">
        <v>4</v>
      </c>
      <c r="C5110" s="3">
        <v>102</v>
      </c>
      <c r="D5110" s="3">
        <v>77</v>
      </c>
      <c r="E5110" s="3">
        <v>-2902.499</v>
      </c>
      <c r="F5110" s="4" t="str">
        <f>HYPERLINK("http://141.218.60.56/~jnz1568/getInfo.php?workbook=12_04.xlsx&amp;sheet=A0&amp;row=5110&amp;col=6&amp;number=5.773&amp;sourceID=14","5.773")</f>
        <v>5.773</v>
      </c>
      <c r="G5110" s="4" t="str">
        <f>HYPERLINK("http://141.218.60.56/~jnz1568/getInfo.php?workbook=12_04.xlsx&amp;sheet=A0&amp;row=5110&amp;col=7&amp;number=0&amp;sourceID=14","0")</f>
        <v>0</v>
      </c>
    </row>
    <row r="5111" spans="1:7">
      <c r="A5111" s="3">
        <v>12</v>
      </c>
      <c r="B5111" s="3">
        <v>4</v>
      </c>
      <c r="C5111" s="3">
        <v>107</v>
      </c>
      <c r="D5111" s="3">
        <v>77</v>
      </c>
      <c r="E5111" s="3">
        <v>-2462.924</v>
      </c>
      <c r="F5111" s="4" t="str">
        <f>HYPERLINK("http://141.218.60.56/~jnz1568/getInfo.php?workbook=12_04.xlsx&amp;sheet=A0&amp;row=5111&amp;col=6&amp;number=7084000&amp;sourceID=14","7084000")</f>
        <v>7084000</v>
      </c>
      <c r="G5111" s="4" t="str">
        <f>HYPERLINK("http://141.218.60.56/~jnz1568/getInfo.php?workbook=12_04.xlsx&amp;sheet=A0&amp;row=5111&amp;col=7&amp;number=0&amp;sourceID=14","0")</f>
        <v>0</v>
      </c>
    </row>
    <row r="5112" spans="1:7">
      <c r="A5112" s="3">
        <v>12</v>
      </c>
      <c r="B5112" s="3">
        <v>4</v>
      </c>
      <c r="C5112" s="3">
        <v>99</v>
      </c>
      <c r="D5112" s="3">
        <v>76</v>
      </c>
      <c r="E5112" s="3">
        <v>-4288.322</v>
      </c>
      <c r="F5112" s="4" t="str">
        <f>HYPERLINK("http://141.218.60.56/~jnz1568/getInfo.php?workbook=12_04.xlsx&amp;sheet=A0&amp;row=5112&amp;col=6&amp;number=0.001741&amp;sourceID=14","0.001741")</f>
        <v>0.001741</v>
      </c>
      <c r="G5112" s="4" t="str">
        <f>HYPERLINK("http://141.218.60.56/~jnz1568/getInfo.php?workbook=12_04.xlsx&amp;sheet=A0&amp;row=5112&amp;col=7&amp;number=0&amp;sourceID=14","0")</f>
        <v>0</v>
      </c>
    </row>
    <row r="5113" spans="1:7">
      <c r="A5113" s="3">
        <v>12</v>
      </c>
      <c r="B5113" s="3">
        <v>4</v>
      </c>
      <c r="C5113" s="3">
        <v>101</v>
      </c>
      <c r="D5113" s="3">
        <v>76</v>
      </c>
      <c r="E5113" s="3">
        <v>-2869.894</v>
      </c>
      <c r="F5113" s="4" t="str">
        <f>HYPERLINK("http://141.218.60.56/~jnz1568/getInfo.php?workbook=12_04.xlsx&amp;sheet=A0&amp;row=5113&amp;col=6&amp;number=231&amp;sourceID=14","231")</f>
        <v>231</v>
      </c>
      <c r="G5113" s="4" t="str">
        <f>HYPERLINK("http://141.218.60.56/~jnz1568/getInfo.php?workbook=12_04.xlsx&amp;sheet=A0&amp;row=5113&amp;col=7&amp;number=0&amp;sourceID=14","0")</f>
        <v>0</v>
      </c>
    </row>
    <row r="5114" spans="1:7">
      <c r="A5114" s="3">
        <v>12</v>
      </c>
      <c r="B5114" s="3">
        <v>4</v>
      </c>
      <c r="C5114" s="3">
        <v>102</v>
      </c>
      <c r="D5114" s="3">
        <v>76</v>
      </c>
      <c r="E5114" s="3">
        <v>-2861.225</v>
      </c>
      <c r="F5114" s="4" t="str">
        <f>HYPERLINK("http://141.218.60.56/~jnz1568/getInfo.php?workbook=12_04.xlsx&amp;sheet=A0&amp;row=5114&amp;col=6&amp;number=29180&amp;sourceID=14","29180")</f>
        <v>29180</v>
      </c>
      <c r="G5114" s="4" t="str">
        <f>HYPERLINK("http://141.218.60.56/~jnz1568/getInfo.php?workbook=12_04.xlsx&amp;sheet=A0&amp;row=5114&amp;col=7&amp;number=0&amp;sourceID=14","0")</f>
        <v>0</v>
      </c>
    </row>
    <row r="5115" spans="1:7">
      <c r="A5115" s="3">
        <v>12</v>
      </c>
      <c r="B5115" s="3">
        <v>4</v>
      </c>
      <c r="C5115" s="3">
        <v>103</v>
      </c>
      <c r="D5115" s="3">
        <v>76</v>
      </c>
      <c r="E5115" s="3">
        <v>-2990.655</v>
      </c>
      <c r="F5115" s="4" t="str">
        <f>HYPERLINK("http://141.218.60.56/~jnz1568/getInfo.php?workbook=12_04.xlsx&amp;sheet=A0&amp;row=5115&amp;col=6&amp;number=25.84&amp;sourceID=14","25.84")</f>
        <v>25.84</v>
      </c>
      <c r="G5115" s="4" t="str">
        <f>HYPERLINK("http://141.218.60.56/~jnz1568/getInfo.php?workbook=12_04.xlsx&amp;sheet=A0&amp;row=5115&amp;col=7&amp;number=0&amp;sourceID=14","0")</f>
        <v>0</v>
      </c>
    </row>
    <row r="5116" spans="1:7">
      <c r="A5116" s="3">
        <v>12</v>
      </c>
      <c r="B5116" s="3">
        <v>4</v>
      </c>
      <c r="C5116" s="3">
        <v>104</v>
      </c>
      <c r="D5116" s="3">
        <v>76</v>
      </c>
      <c r="E5116" s="3">
        <v>2513.452</v>
      </c>
      <c r="F5116" s="4" t="str">
        <f>HYPERLINK("http://141.218.60.56/~jnz1568/getInfo.php?workbook=12_04.xlsx&amp;sheet=A0&amp;row=5116&amp;col=6&amp;number=8569000&amp;sourceID=14","8569000")</f>
        <v>8569000</v>
      </c>
      <c r="G5116" s="4" t="str">
        <f>HYPERLINK("http://141.218.60.56/~jnz1568/getInfo.php?workbook=12_04.xlsx&amp;sheet=A0&amp;row=5116&amp;col=7&amp;number=0&amp;sourceID=14","0")</f>
        <v>0</v>
      </c>
    </row>
    <row r="5117" spans="1:7">
      <c r="A5117" s="3">
        <v>12</v>
      </c>
      <c r="B5117" s="3">
        <v>4</v>
      </c>
      <c r="C5117" s="3">
        <v>105</v>
      </c>
      <c r="D5117" s="3">
        <v>76</v>
      </c>
      <c r="E5117" s="3">
        <v>-2436.599</v>
      </c>
      <c r="F5117" s="4" t="str">
        <f>HYPERLINK("http://141.218.60.56/~jnz1568/getInfo.php?workbook=12_04.xlsx&amp;sheet=A0&amp;row=5117&amp;col=6&amp;number=0.004148&amp;sourceID=14","0.004148")</f>
        <v>0.004148</v>
      </c>
      <c r="G5117" s="4" t="str">
        <f>HYPERLINK("http://141.218.60.56/~jnz1568/getInfo.php?workbook=12_04.xlsx&amp;sheet=A0&amp;row=5117&amp;col=7&amp;number=0&amp;sourceID=14","0")</f>
        <v>0</v>
      </c>
    </row>
    <row r="5118" spans="1:7">
      <c r="A5118" s="3">
        <v>12</v>
      </c>
      <c r="B5118" s="3">
        <v>4</v>
      </c>
      <c r="C5118" s="3">
        <v>106</v>
      </c>
      <c r="D5118" s="3">
        <v>76</v>
      </c>
      <c r="E5118" s="3">
        <v>2280.142</v>
      </c>
      <c r="F5118" s="4" t="str">
        <f>HYPERLINK("http://141.218.60.56/~jnz1568/getInfo.php?workbook=12_04.xlsx&amp;sheet=A0&amp;row=5118&amp;col=6&amp;number=0.001716&amp;sourceID=14","0.001716")</f>
        <v>0.001716</v>
      </c>
      <c r="G5118" s="4" t="str">
        <f>HYPERLINK("http://141.218.60.56/~jnz1568/getInfo.php?workbook=12_04.xlsx&amp;sheet=A0&amp;row=5118&amp;col=7&amp;number=0&amp;sourceID=14","0")</f>
        <v>0</v>
      </c>
    </row>
    <row r="5119" spans="1:7">
      <c r="A5119" s="3">
        <v>12</v>
      </c>
      <c r="B5119" s="3">
        <v>4</v>
      </c>
      <c r="C5119" s="3">
        <v>107</v>
      </c>
      <c r="D5119" s="3">
        <v>76</v>
      </c>
      <c r="E5119" s="3">
        <v>2279.31</v>
      </c>
      <c r="F5119" s="4" t="str">
        <f>HYPERLINK("http://141.218.60.56/~jnz1568/getInfo.php?workbook=12_04.xlsx&amp;sheet=A0&amp;row=5119&amp;col=6&amp;number=0.003491&amp;sourceID=14","0.003491")</f>
        <v>0.003491</v>
      </c>
      <c r="G5119" s="4" t="str">
        <f>HYPERLINK("http://141.218.60.56/~jnz1568/getInfo.php?workbook=12_04.xlsx&amp;sheet=A0&amp;row=5119&amp;col=7&amp;number=0&amp;sourceID=14","0")</f>
        <v>0</v>
      </c>
    </row>
    <row r="5120" spans="1:7">
      <c r="A5120" s="3">
        <v>12</v>
      </c>
      <c r="B5120" s="3">
        <v>4</v>
      </c>
      <c r="C5120" s="3">
        <v>108</v>
      </c>
      <c r="D5120" s="3">
        <v>76</v>
      </c>
      <c r="E5120" s="3">
        <v>2114.035</v>
      </c>
      <c r="F5120" s="4" t="str">
        <f>HYPERLINK("http://141.218.60.56/~jnz1568/getInfo.php?workbook=12_04.xlsx&amp;sheet=A0&amp;row=5120&amp;col=6&amp;number=1.126&amp;sourceID=14","1.126")</f>
        <v>1.126</v>
      </c>
      <c r="G5120" s="4" t="str">
        <f>HYPERLINK("http://141.218.60.56/~jnz1568/getInfo.php?workbook=12_04.xlsx&amp;sheet=A0&amp;row=5120&amp;col=7&amp;number=0&amp;sourceID=14","0")</f>
        <v>0</v>
      </c>
    </row>
    <row r="5121" spans="1:7">
      <c r="A5121" s="3">
        <v>12</v>
      </c>
      <c r="B5121" s="3">
        <v>4</v>
      </c>
      <c r="C5121" s="3">
        <v>99</v>
      </c>
      <c r="D5121" s="3">
        <v>78</v>
      </c>
      <c r="E5121" s="3">
        <v>-5045.879</v>
      </c>
      <c r="F5121" s="4" t="str">
        <f>HYPERLINK("http://141.218.60.56/~jnz1568/getInfo.php?workbook=12_04.xlsx&amp;sheet=A0&amp;row=5121&amp;col=6&amp;number=30810&amp;sourceID=14","30810")</f>
        <v>30810</v>
      </c>
      <c r="G5121" s="4" t="str">
        <f>HYPERLINK("http://141.218.60.56/~jnz1568/getInfo.php?workbook=12_04.xlsx&amp;sheet=A0&amp;row=5121&amp;col=7&amp;number=0&amp;sourceID=14","0")</f>
        <v>0</v>
      </c>
    </row>
    <row r="5122" spans="1:7">
      <c r="A5122" s="3">
        <v>12</v>
      </c>
      <c r="B5122" s="3">
        <v>4</v>
      </c>
      <c r="C5122" s="3">
        <v>100</v>
      </c>
      <c r="D5122" s="3">
        <v>78</v>
      </c>
      <c r="E5122" s="3">
        <v>-3195.151</v>
      </c>
      <c r="F5122" s="4" t="str">
        <f>HYPERLINK("http://141.218.60.56/~jnz1568/getInfo.php?workbook=12_04.xlsx&amp;sheet=A0&amp;row=5122&amp;col=6&amp;number=0.09607&amp;sourceID=14","0.09607")</f>
        <v>0.09607</v>
      </c>
      <c r="G5122" s="4" t="str">
        <f>HYPERLINK("http://141.218.60.56/~jnz1568/getInfo.php?workbook=12_04.xlsx&amp;sheet=A0&amp;row=5122&amp;col=7&amp;number=0&amp;sourceID=14","0")</f>
        <v>0</v>
      </c>
    </row>
    <row r="5123" spans="1:7">
      <c r="A5123" s="3">
        <v>12</v>
      </c>
      <c r="B5123" s="3">
        <v>4</v>
      </c>
      <c r="C5123" s="3">
        <v>101</v>
      </c>
      <c r="D5123" s="3">
        <v>78</v>
      </c>
      <c r="E5123" s="3">
        <v>-3190.455</v>
      </c>
      <c r="F5123" s="4" t="str">
        <f>HYPERLINK("http://141.218.60.56/~jnz1568/getInfo.php?workbook=12_04.xlsx&amp;sheet=A0&amp;row=5123&amp;col=6&amp;number=0.6327&amp;sourceID=14","0.6327")</f>
        <v>0.6327</v>
      </c>
      <c r="G5123" s="4" t="str">
        <f>HYPERLINK("http://141.218.60.56/~jnz1568/getInfo.php?workbook=12_04.xlsx&amp;sheet=A0&amp;row=5123&amp;col=7&amp;number=0&amp;sourceID=14","0")</f>
        <v>0</v>
      </c>
    </row>
    <row r="5124" spans="1:7">
      <c r="A5124" s="3">
        <v>12</v>
      </c>
      <c r="B5124" s="3">
        <v>4</v>
      </c>
      <c r="C5124" s="3">
        <v>102</v>
      </c>
      <c r="D5124" s="3">
        <v>78</v>
      </c>
      <c r="E5124" s="3">
        <v>-3179.744</v>
      </c>
      <c r="F5124" s="4" t="str">
        <f>HYPERLINK("http://141.218.60.56/~jnz1568/getInfo.php?workbook=12_04.xlsx&amp;sheet=A0&amp;row=5124&amp;col=6&amp;number=0.1664&amp;sourceID=14","0.1664")</f>
        <v>0.1664</v>
      </c>
      <c r="G5124" s="4" t="str">
        <f>HYPERLINK("http://141.218.60.56/~jnz1568/getInfo.php?workbook=12_04.xlsx&amp;sheet=A0&amp;row=5124&amp;col=7&amp;number=0&amp;sourceID=14","0")</f>
        <v>0</v>
      </c>
    </row>
    <row r="5125" spans="1:7">
      <c r="A5125" s="3">
        <v>12</v>
      </c>
      <c r="B5125" s="3">
        <v>4</v>
      </c>
      <c r="C5125" s="3">
        <v>103</v>
      </c>
      <c r="D5125" s="3">
        <v>78</v>
      </c>
      <c r="E5125" s="3">
        <v>-3340.404</v>
      </c>
      <c r="F5125" s="4" t="str">
        <f>HYPERLINK("http://141.218.60.56/~jnz1568/getInfo.php?workbook=12_04.xlsx&amp;sheet=A0&amp;row=5125&amp;col=6&amp;number=17770&amp;sourceID=14","17770")</f>
        <v>17770</v>
      </c>
      <c r="G5125" s="4" t="str">
        <f>HYPERLINK("http://141.218.60.56/~jnz1568/getInfo.php?workbook=12_04.xlsx&amp;sheet=A0&amp;row=5125&amp;col=7&amp;number=0&amp;sourceID=14","0")</f>
        <v>0</v>
      </c>
    </row>
    <row r="5126" spans="1:7">
      <c r="A5126" s="3">
        <v>12</v>
      </c>
      <c r="B5126" s="3">
        <v>4</v>
      </c>
      <c r="C5126" s="3">
        <v>104</v>
      </c>
      <c r="D5126" s="3">
        <v>78</v>
      </c>
      <c r="E5126" s="3">
        <v>-2906.683</v>
      </c>
      <c r="F5126" s="4" t="str">
        <f>HYPERLINK("http://141.218.60.56/~jnz1568/getInfo.php?workbook=12_04.xlsx&amp;sheet=A0&amp;row=5126&amp;col=6&amp;number=0.1218&amp;sourceID=14","0.1218")</f>
        <v>0.1218</v>
      </c>
      <c r="G5126" s="4" t="str">
        <f>HYPERLINK("http://141.218.60.56/~jnz1568/getInfo.php?workbook=12_04.xlsx&amp;sheet=A0&amp;row=5126&amp;col=7&amp;number=0&amp;sourceID=14","0")</f>
        <v>0</v>
      </c>
    </row>
    <row r="5127" spans="1:7">
      <c r="A5127" s="3">
        <v>12</v>
      </c>
      <c r="B5127" s="3">
        <v>4</v>
      </c>
      <c r="C5127" s="3">
        <v>105</v>
      </c>
      <c r="D5127" s="3">
        <v>78</v>
      </c>
      <c r="E5127" s="3">
        <v>-2663.838</v>
      </c>
      <c r="F5127" s="4" t="str">
        <f>HYPERLINK("http://141.218.60.56/~jnz1568/getInfo.php?workbook=12_04.xlsx&amp;sheet=A0&amp;row=5127&amp;col=6&amp;number=553000&amp;sourceID=14","553000")</f>
        <v>553000</v>
      </c>
      <c r="G5127" s="4" t="str">
        <f>HYPERLINK("http://141.218.60.56/~jnz1568/getInfo.php?workbook=12_04.xlsx&amp;sheet=A0&amp;row=5127&amp;col=7&amp;number=0&amp;sourceID=14","0")</f>
        <v>0</v>
      </c>
    </row>
    <row r="5128" spans="1:7">
      <c r="A5128" s="3">
        <v>12</v>
      </c>
      <c r="B5128" s="3">
        <v>4</v>
      </c>
      <c r="C5128" s="3">
        <v>106</v>
      </c>
      <c r="D5128" s="3">
        <v>78</v>
      </c>
      <c r="E5128" s="3">
        <v>-2662.195</v>
      </c>
      <c r="F5128" s="4" t="str">
        <f>HYPERLINK("http://141.218.60.56/~jnz1568/getInfo.php?workbook=12_04.xlsx&amp;sheet=A0&amp;row=5128&amp;col=6&amp;number=1093000&amp;sourceID=14","1093000")</f>
        <v>1093000</v>
      </c>
      <c r="G5128" s="4" t="str">
        <f>HYPERLINK("http://141.218.60.56/~jnz1568/getInfo.php?workbook=12_04.xlsx&amp;sheet=A0&amp;row=5128&amp;col=7&amp;number=0&amp;sourceID=14","0")</f>
        <v>0</v>
      </c>
    </row>
    <row r="5129" spans="1:7">
      <c r="A5129" s="3">
        <v>12</v>
      </c>
      <c r="B5129" s="3">
        <v>4</v>
      </c>
      <c r="C5129" s="3">
        <v>108</v>
      </c>
      <c r="D5129" s="3">
        <v>78</v>
      </c>
      <c r="E5129" s="3">
        <v>-2399.559</v>
      </c>
      <c r="F5129" s="4" t="str">
        <f>HYPERLINK("http://141.218.60.56/~jnz1568/getInfo.php?workbook=12_04.xlsx&amp;sheet=A0&amp;row=5129&amp;col=6&amp;number=314000&amp;sourceID=14","314000")</f>
        <v>314000</v>
      </c>
      <c r="G5129" s="4" t="str">
        <f>HYPERLINK("http://141.218.60.56/~jnz1568/getInfo.php?workbook=12_04.xlsx&amp;sheet=A0&amp;row=5129&amp;col=7&amp;number=0&amp;sourceID=14","0")</f>
        <v>0</v>
      </c>
    </row>
    <row r="5130" spans="1:7">
      <c r="A5130" s="3">
        <v>12</v>
      </c>
      <c r="B5130" s="3">
        <v>4</v>
      </c>
      <c r="C5130" s="3">
        <v>99</v>
      </c>
      <c r="D5130" s="3">
        <v>79</v>
      </c>
      <c r="E5130" s="3">
        <v>-5208.563</v>
      </c>
      <c r="F5130" s="4" t="str">
        <f>HYPERLINK("http://141.218.60.56/~jnz1568/getInfo.php?workbook=12_04.xlsx&amp;sheet=A0&amp;row=5130&amp;col=6&amp;number=113500&amp;sourceID=14","113500")</f>
        <v>113500</v>
      </c>
      <c r="G5130" s="4" t="str">
        <f>HYPERLINK("http://141.218.60.56/~jnz1568/getInfo.php?workbook=12_04.xlsx&amp;sheet=A0&amp;row=5130&amp;col=7&amp;number=0&amp;sourceID=14","0")</f>
        <v>0</v>
      </c>
    </row>
    <row r="5131" spans="1:7">
      <c r="A5131" s="3">
        <v>12</v>
      </c>
      <c r="B5131" s="3">
        <v>4</v>
      </c>
      <c r="C5131" s="3">
        <v>100</v>
      </c>
      <c r="D5131" s="3">
        <v>79</v>
      </c>
      <c r="E5131" s="3">
        <v>-3259.62</v>
      </c>
      <c r="F5131" s="4" t="str">
        <f>HYPERLINK("http://141.218.60.56/~jnz1568/getInfo.php?workbook=12_04.xlsx&amp;sheet=A0&amp;row=5131&amp;col=6&amp;number=4.063&amp;sourceID=14","4.063")</f>
        <v>4.063</v>
      </c>
      <c r="G5131" s="4" t="str">
        <f>HYPERLINK("http://141.218.60.56/~jnz1568/getInfo.php?workbook=12_04.xlsx&amp;sheet=A0&amp;row=5131&amp;col=7&amp;number=0&amp;sourceID=14","0")</f>
        <v>0</v>
      </c>
    </row>
    <row r="5132" spans="1:7">
      <c r="A5132" s="3">
        <v>12</v>
      </c>
      <c r="B5132" s="3">
        <v>4</v>
      </c>
      <c r="C5132" s="3">
        <v>101</v>
      </c>
      <c r="D5132" s="3">
        <v>79</v>
      </c>
      <c r="E5132" s="3">
        <v>-3254.732</v>
      </c>
      <c r="F5132" s="4" t="str">
        <f>HYPERLINK("http://141.218.60.56/~jnz1568/getInfo.php?workbook=12_04.xlsx&amp;sheet=A0&amp;row=5132&amp;col=6&amp;number=0.9627&amp;sourceID=14","0.9627")</f>
        <v>0.9627</v>
      </c>
      <c r="G5132" s="4" t="str">
        <f>HYPERLINK("http://141.218.60.56/~jnz1568/getInfo.php?workbook=12_04.xlsx&amp;sheet=A0&amp;row=5132&amp;col=7&amp;number=0&amp;sourceID=14","0")</f>
        <v>0</v>
      </c>
    </row>
    <row r="5133" spans="1:7">
      <c r="A5133" s="3">
        <v>12</v>
      </c>
      <c r="B5133" s="3">
        <v>4</v>
      </c>
      <c r="C5133" s="3">
        <v>102</v>
      </c>
      <c r="D5133" s="3">
        <v>79</v>
      </c>
      <c r="E5133" s="3">
        <v>-3243.586</v>
      </c>
      <c r="F5133" s="4" t="str">
        <f>HYPERLINK("http://141.218.60.56/~jnz1568/getInfo.php?workbook=12_04.xlsx&amp;sheet=A0&amp;row=5133&amp;col=6&amp;number=0.2774&amp;sourceID=14","0.2774")</f>
        <v>0.2774</v>
      </c>
      <c r="G5133" s="4" t="str">
        <f>HYPERLINK("http://141.218.60.56/~jnz1568/getInfo.php?workbook=12_04.xlsx&amp;sheet=A0&amp;row=5133&amp;col=7&amp;number=0&amp;sourceID=14","0")</f>
        <v>0</v>
      </c>
    </row>
    <row r="5134" spans="1:7">
      <c r="A5134" s="3">
        <v>12</v>
      </c>
      <c r="B5134" s="3">
        <v>4</v>
      </c>
      <c r="C5134" s="3">
        <v>104</v>
      </c>
      <c r="D5134" s="3">
        <v>79</v>
      </c>
      <c r="E5134" s="3">
        <v>-2959.939</v>
      </c>
      <c r="F5134" s="4" t="str">
        <f>HYPERLINK("http://141.218.60.56/~jnz1568/getInfo.php?workbook=12_04.xlsx&amp;sheet=A0&amp;row=5134&amp;col=6&amp;number=0.1906&amp;sourceID=14","0.1906")</f>
        <v>0.1906</v>
      </c>
      <c r="G5134" s="4" t="str">
        <f>HYPERLINK("http://141.218.60.56/~jnz1568/getInfo.php?workbook=12_04.xlsx&amp;sheet=A0&amp;row=5134&amp;col=7&amp;number=0&amp;sourceID=14","0")</f>
        <v>0</v>
      </c>
    </row>
    <row r="5135" spans="1:7">
      <c r="A5135" s="3">
        <v>12</v>
      </c>
      <c r="B5135" s="3">
        <v>4</v>
      </c>
      <c r="C5135" s="3">
        <v>105</v>
      </c>
      <c r="D5135" s="3">
        <v>79</v>
      </c>
      <c r="E5135" s="3">
        <v>-2708.499</v>
      </c>
      <c r="F5135" s="4" t="str">
        <f>HYPERLINK("http://141.218.60.56/~jnz1568/getInfo.php?workbook=12_04.xlsx&amp;sheet=A0&amp;row=5135&amp;col=6&amp;number=497400&amp;sourceID=14","497400")</f>
        <v>497400</v>
      </c>
      <c r="G5135" s="4" t="str">
        <f>HYPERLINK("http://141.218.60.56/~jnz1568/getInfo.php?workbook=12_04.xlsx&amp;sheet=A0&amp;row=5135&amp;col=7&amp;number=0&amp;sourceID=14","0")</f>
        <v>0</v>
      </c>
    </row>
    <row r="5136" spans="1:7">
      <c r="A5136" s="3">
        <v>12</v>
      </c>
      <c r="B5136" s="3">
        <v>4</v>
      </c>
      <c r="C5136" s="3">
        <v>106</v>
      </c>
      <c r="D5136" s="3">
        <v>79</v>
      </c>
      <c r="E5136" s="3">
        <v>-2706.8</v>
      </c>
      <c r="F5136" s="4" t="str">
        <f>HYPERLINK("http://141.218.60.56/~jnz1568/getInfo.php?workbook=12_04.xlsx&amp;sheet=A0&amp;row=5136&amp;col=6&amp;number=566100&amp;sourceID=14","566100")</f>
        <v>566100</v>
      </c>
      <c r="G5136" s="4" t="str">
        <f>HYPERLINK("http://141.218.60.56/~jnz1568/getInfo.php?workbook=12_04.xlsx&amp;sheet=A0&amp;row=5136&amp;col=7&amp;number=0&amp;sourceID=14","0")</f>
        <v>0</v>
      </c>
    </row>
    <row r="5137" spans="1:7">
      <c r="A5137" s="3">
        <v>12</v>
      </c>
      <c r="B5137" s="3">
        <v>4</v>
      </c>
      <c r="C5137" s="3">
        <v>107</v>
      </c>
      <c r="D5137" s="3">
        <v>79</v>
      </c>
      <c r="E5137" s="3">
        <v>-2704.226</v>
      </c>
      <c r="F5137" s="4" t="str">
        <f>HYPERLINK("http://141.218.60.56/~jnz1568/getInfo.php?workbook=12_04.xlsx&amp;sheet=A0&amp;row=5137&amp;col=6&amp;number=3441000&amp;sourceID=14","3441000")</f>
        <v>3441000</v>
      </c>
      <c r="G5137" s="4" t="str">
        <f>HYPERLINK("http://141.218.60.56/~jnz1568/getInfo.php?workbook=12_04.xlsx&amp;sheet=A0&amp;row=5137&amp;col=7&amp;number=0&amp;sourceID=14","0")</f>
        <v>0</v>
      </c>
    </row>
    <row r="5138" spans="1:7">
      <c r="A5138" s="3">
        <v>12</v>
      </c>
      <c r="B5138" s="3">
        <v>4</v>
      </c>
      <c r="C5138" s="3">
        <v>108</v>
      </c>
      <c r="D5138" s="3">
        <v>79</v>
      </c>
      <c r="E5138" s="3">
        <v>-2435.738</v>
      </c>
      <c r="F5138" s="4" t="str">
        <f>HYPERLINK("http://141.218.60.56/~jnz1568/getInfo.php?workbook=12_04.xlsx&amp;sheet=A0&amp;row=5138&amp;col=6&amp;number=7901&amp;sourceID=14","7901")</f>
        <v>7901</v>
      </c>
      <c r="G5138" s="4" t="str">
        <f>HYPERLINK("http://141.218.60.56/~jnz1568/getInfo.php?workbook=12_04.xlsx&amp;sheet=A0&amp;row=5138&amp;col=7&amp;number=0&amp;sourceID=14","0")</f>
        <v>0</v>
      </c>
    </row>
    <row r="5139" spans="1:7">
      <c r="A5139" s="3">
        <v>12</v>
      </c>
      <c r="B5139" s="3">
        <v>4</v>
      </c>
      <c r="C5139" s="3">
        <v>101</v>
      </c>
      <c r="D5139" s="3">
        <v>81</v>
      </c>
      <c r="E5139" s="3">
        <v>-3394.837</v>
      </c>
      <c r="F5139" s="4" t="str">
        <f>HYPERLINK("http://141.218.60.56/~jnz1568/getInfo.php?workbook=12_04.xlsx&amp;sheet=A0&amp;row=5139&amp;col=6&amp;number=0.4385&amp;sourceID=14","0.4385")</f>
        <v>0.4385</v>
      </c>
      <c r="G5139" s="4" t="str">
        <f>HYPERLINK("http://141.218.60.56/~jnz1568/getInfo.php?workbook=12_04.xlsx&amp;sheet=A0&amp;row=5139&amp;col=7&amp;number=0&amp;sourceID=14","0")</f>
        <v>0</v>
      </c>
    </row>
    <row r="5140" spans="1:7">
      <c r="A5140" s="3">
        <v>12</v>
      </c>
      <c r="B5140" s="3">
        <v>4</v>
      </c>
      <c r="C5140" s="3">
        <v>102</v>
      </c>
      <c r="D5140" s="3">
        <v>81</v>
      </c>
      <c r="E5140" s="3">
        <v>-3382.712</v>
      </c>
      <c r="F5140" s="4" t="str">
        <f>HYPERLINK("http://141.218.60.56/~jnz1568/getInfo.php?workbook=12_04.xlsx&amp;sheet=A0&amp;row=5140&amp;col=6&amp;number=0.08644&amp;sourceID=14","0.08644")</f>
        <v>0.08644</v>
      </c>
      <c r="G5140" s="4" t="str">
        <f>HYPERLINK("http://141.218.60.56/~jnz1568/getInfo.php?workbook=12_04.xlsx&amp;sheet=A0&amp;row=5140&amp;col=7&amp;number=0&amp;sourceID=14","0")</f>
        <v>0</v>
      </c>
    </row>
    <row r="5141" spans="1:7">
      <c r="A5141" s="3">
        <v>12</v>
      </c>
      <c r="B5141" s="3">
        <v>4</v>
      </c>
      <c r="C5141" s="3">
        <v>104</v>
      </c>
      <c r="D5141" s="3">
        <v>81</v>
      </c>
      <c r="E5141" s="3">
        <v>3065.986</v>
      </c>
      <c r="F5141" s="4" t="str">
        <f>HYPERLINK("http://141.218.60.56/~jnz1568/getInfo.php?workbook=12_04.xlsx&amp;sheet=A0&amp;row=5141&amp;col=6&amp;number=0.1389&amp;sourceID=14","0.1389")</f>
        <v>0.1389</v>
      </c>
      <c r="G5141" s="4" t="str">
        <f>HYPERLINK("http://141.218.60.56/~jnz1568/getInfo.php?workbook=12_04.xlsx&amp;sheet=A0&amp;row=5141&amp;col=7&amp;number=0&amp;sourceID=14","0")</f>
        <v>0</v>
      </c>
    </row>
    <row r="5142" spans="1:7">
      <c r="A5142" s="3">
        <v>12</v>
      </c>
      <c r="B5142" s="3">
        <v>4</v>
      </c>
      <c r="C5142" s="3">
        <v>106</v>
      </c>
      <c r="D5142" s="3">
        <v>81</v>
      </c>
      <c r="E5142" s="3">
        <v>2725.766</v>
      </c>
      <c r="F5142" s="4" t="str">
        <f>HYPERLINK("http://141.218.60.56/~jnz1568/getInfo.php?workbook=12_04.xlsx&amp;sheet=A0&amp;row=5142&amp;col=6&amp;number=190000&amp;sourceID=14","190000")</f>
        <v>190000</v>
      </c>
      <c r="G5142" s="4" t="str">
        <f>HYPERLINK("http://141.218.60.56/~jnz1568/getInfo.php?workbook=12_04.xlsx&amp;sheet=A0&amp;row=5142&amp;col=7&amp;number=0&amp;sourceID=14","0")</f>
        <v>0</v>
      </c>
    </row>
    <row r="5143" spans="1:7">
      <c r="A5143" s="3">
        <v>12</v>
      </c>
      <c r="B5143" s="3">
        <v>4</v>
      </c>
      <c r="C5143" s="3">
        <v>107</v>
      </c>
      <c r="D5143" s="3">
        <v>81</v>
      </c>
      <c r="E5143" s="3">
        <v>2724.578</v>
      </c>
      <c r="F5143" s="4" t="str">
        <f>HYPERLINK("http://141.218.60.56/~jnz1568/getInfo.php?workbook=12_04.xlsx&amp;sheet=A0&amp;row=5143&amp;col=6&amp;number=24600&amp;sourceID=14","24600")</f>
        <v>24600</v>
      </c>
      <c r="G5143" s="4" t="str">
        <f>HYPERLINK("http://141.218.60.56/~jnz1568/getInfo.php?workbook=12_04.xlsx&amp;sheet=A0&amp;row=5143&amp;col=7&amp;number=0&amp;sourceID=14","0")</f>
        <v>0</v>
      </c>
    </row>
    <row r="5144" spans="1:7">
      <c r="A5144" s="3">
        <v>12</v>
      </c>
      <c r="B5144" s="3">
        <v>4</v>
      </c>
      <c r="C5144" s="3">
        <v>108</v>
      </c>
      <c r="D5144" s="3">
        <v>81</v>
      </c>
      <c r="E5144" s="3">
        <v>2491.72</v>
      </c>
      <c r="F5144" s="4" t="str">
        <f>HYPERLINK("http://141.218.60.56/~jnz1568/getInfo.php?workbook=12_04.xlsx&amp;sheet=A0&amp;row=5144&amp;col=6&amp;number=182200&amp;sourceID=14","182200")</f>
        <v>182200</v>
      </c>
      <c r="G5144" s="4" t="str">
        <f>HYPERLINK("http://141.218.60.56/~jnz1568/getInfo.php?workbook=12_04.xlsx&amp;sheet=A0&amp;row=5144&amp;col=7&amp;number=0&amp;sourceID=14","0")</f>
        <v>0</v>
      </c>
    </row>
    <row r="5145" spans="1:7">
      <c r="A5145" s="3">
        <v>12</v>
      </c>
      <c r="B5145" s="3">
        <v>4</v>
      </c>
      <c r="C5145" s="3">
        <v>99</v>
      </c>
      <c r="D5145" s="3">
        <v>85</v>
      </c>
      <c r="E5145" s="3">
        <v>-6333.861</v>
      </c>
      <c r="F5145" s="4" t="str">
        <f>HYPERLINK("http://141.218.60.56/~jnz1568/getInfo.php?workbook=12_04.xlsx&amp;sheet=A0&amp;row=5145&amp;col=6&amp;number=256900&amp;sourceID=14","256900")</f>
        <v>256900</v>
      </c>
      <c r="G5145" s="4" t="str">
        <f>HYPERLINK("http://141.218.60.56/~jnz1568/getInfo.php?workbook=12_04.xlsx&amp;sheet=A0&amp;row=5145&amp;col=7&amp;number=0&amp;sourceID=14","0")</f>
        <v>0</v>
      </c>
    </row>
    <row r="5146" spans="1:7">
      <c r="A5146" s="3">
        <v>12</v>
      </c>
      <c r="B5146" s="3">
        <v>4</v>
      </c>
      <c r="C5146" s="3">
        <v>100</v>
      </c>
      <c r="D5146" s="3">
        <v>85</v>
      </c>
      <c r="E5146" s="3">
        <v>-3667.379</v>
      </c>
      <c r="F5146" s="4" t="str">
        <f>HYPERLINK("http://141.218.60.56/~jnz1568/getInfo.php?workbook=12_04.xlsx&amp;sheet=A0&amp;row=5146&amp;col=6&amp;number=2.098&amp;sourceID=14","2.098")</f>
        <v>2.098</v>
      </c>
      <c r="G5146" s="4" t="str">
        <f>HYPERLINK("http://141.218.60.56/~jnz1568/getInfo.php?workbook=12_04.xlsx&amp;sheet=A0&amp;row=5146&amp;col=7&amp;number=0&amp;sourceID=14","0")</f>
        <v>0</v>
      </c>
    </row>
    <row r="5147" spans="1:7">
      <c r="A5147" s="3">
        <v>12</v>
      </c>
      <c r="B5147" s="3">
        <v>4</v>
      </c>
      <c r="C5147" s="3">
        <v>101</v>
      </c>
      <c r="D5147" s="3">
        <v>85</v>
      </c>
      <c r="E5147" s="3">
        <v>-3661.193</v>
      </c>
      <c r="F5147" s="4" t="str">
        <f>HYPERLINK("http://141.218.60.56/~jnz1568/getInfo.php?workbook=12_04.xlsx&amp;sheet=A0&amp;row=5147&amp;col=6&amp;number=2.321&amp;sourceID=14","2.321")</f>
        <v>2.321</v>
      </c>
      <c r="G5147" s="4" t="str">
        <f>HYPERLINK("http://141.218.60.56/~jnz1568/getInfo.php?workbook=12_04.xlsx&amp;sheet=A0&amp;row=5147&amp;col=7&amp;number=0&amp;sourceID=14","0")</f>
        <v>0</v>
      </c>
    </row>
    <row r="5148" spans="1:7">
      <c r="A5148" s="3">
        <v>12</v>
      </c>
      <c r="B5148" s="3">
        <v>4</v>
      </c>
      <c r="C5148" s="3">
        <v>102</v>
      </c>
      <c r="D5148" s="3">
        <v>85</v>
      </c>
      <c r="E5148" s="3">
        <v>-3647.095</v>
      </c>
      <c r="F5148" s="4" t="str">
        <f>HYPERLINK("http://141.218.60.56/~jnz1568/getInfo.php?workbook=12_04.xlsx&amp;sheet=A0&amp;row=5148&amp;col=6&amp;number=1.469&amp;sourceID=14","1.469")</f>
        <v>1.469</v>
      </c>
      <c r="G5148" s="4" t="str">
        <f>HYPERLINK("http://141.218.60.56/~jnz1568/getInfo.php?workbook=12_04.xlsx&amp;sheet=A0&amp;row=5148&amp;col=7&amp;number=0&amp;sourceID=14","0")</f>
        <v>0</v>
      </c>
    </row>
    <row r="5149" spans="1:7">
      <c r="A5149" s="3">
        <v>12</v>
      </c>
      <c r="B5149" s="3">
        <v>4</v>
      </c>
      <c r="C5149" s="3">
        <v>104</v>
      </c>
      <c r="D5149" s="3">
        <v>85</v>
      </c>
      <c r="E5149" s="3">
        <v>3183.097</v>
      </c>
      <c r="F5149" s="4" t="str">
        <f>HYPERLINK("http://141.218.60.56/~jnz1568/getInfo.php?workbook=12_04.xlsx&amp;sheet=A0&amp;row=5149&amp;col=6&amp;number=0.006707&amp;sourceID=14","0.006707")</f>
        <v>0.006707</v>
      </c>
      <c r="G5149" s="4" t="str">
        <f>HYPERLINK("http://141.218.60.56/~jnz1568/getInfo.php?workbook=12_04.xlsx&amp;sheet=A0&amp;row=5149&amp;col=7&amp;number=0&amp;sourceID=14","0")</f>
        <v>0</v>
      </c>
    </row>
    <row r="5150" spans="1:7">
      <c r="A5150" s="3">
        <v>12</v>
      </c>
      <c r="B5150" s="3">
        <v>4</v>
      </c>
      <c r="C5150" s="3">
        <v>105</v>
      </c>
      <c r="D5150" s="3">
        <v>85</v>
      </c>
      <c r="E5150" s="3">
        <v>-2984.2</v>
      </c>
      <c r="F5150" s="4" t="str">
        <f>HYPERLINK("http://141.218.60.56/~jnz1568/getInfo.php?workbook=12_04.xlsx&amp;sheet=A0&amp;row=5150&amp;col=6&amp;number=160300&amp;sourceID=14","160300")</f>
        <v>160300</v>
      </c>
      <c r="G5150" s="4" t="str">
        <f>HYPERLINK("http://141.218.60.56/~jnz1568/getInfo.php?workbook=12_04.xlsx&amp;sheet=A0&amp;row=5150&amp;col=7&amp;number=0&amp;sourceID=14","0")</f>
        <v>0</v>
      </c>
    </row>
    <row r="5151" spans="1:7">
      <c r="A5151" s="3">
        <v>12</v>
      </c>
      <c r="B5151" s="3">
        <v>4</v>
      </c>
      <c r="C5151" s="3">
        <v>106</v>
      </c>
      <c r="D5151" s="3">
        <v>85</v>
      </c>
      <c r="E5151" s="3">
        <v>2817.939</v>
      </c>
      <c r="F5151" s="4" t="str">
        <f>HYPERLINK("http://141.218.60.56/~jnz1568/getInfo.php?workbook=12_04.xlsx&amp;sheet=A0&amp;row=5151&amp;col=6&amp;number=2513000&amp;sourceID=14","2513000")</f>
        <v>2513000</v>
      </c>
      <c r="G5151" s="4" t="str">
        <f>HYPERLINK("http://141.218.60.56/~jnz1568/getInfo.php?workbook=12_04.xlsx&amp;sheet=A0&amp;row=5151&amp;col=7&amp;number=0&amp;sourceID=14","0")</f>
        <v>0</v>
      </c>
    </row>
    <row r="5152" spans="1:7">
      <c r="A5152" s="3">
        <v>12</v>
      </c>
      <c r="B5152" s="3">
        <v>4</v>
      </c>
      <c r="C5152" s="3">
        <v>107</v>
      </c>
      <c r="D5152" s="3">
        <v>85</v>
      </c>
      <c r="E5152" s="3">
        <v>2816.669</v>
      </c>
      <c r="F5152" s="4" t="str">
        <f>HYPERLINK("http://141.218.60.56/~jnz1568/getInfo.php?workbook=12_04.xlsx&amp;sheet=A0&amp;row=5152&amp;col=6&amp;number=9469000&amp;sourceID=14","9469000")</f>
        <v>9469000</v>
      </c>
      <c r="G5152" s="4" t="str">
        <f>HYPERLINK("http://141.218.60.56/~jnz1568/getInfo.php?workbook=12_04.xlsx&amp;sheet=A0&amp;row=5152&amp;col=7&amp;number=0&amp;sourceID=14","0")</f>
        <v>0</v>
      </c>
    </row>
    <row r="5153" spans="1:7">
      <c r="A5153" s="3">
        <v>12</v>
      </c>
      <c r="B5153" s="3">
        <v>4</v>
      </c>
      <c r="C5153" s="3">
        <v>108</v>
      </c>
      <c r="D5153" s="3">
        <v>85</v>
      </c>
      <c r="E5153" s="3">
        <v>2568.52</v>
      </c>
      <c r="F5153" s="4" t="str">
        <f>HYPERLINK("http://141.218.60.56/~jnz1568/getInfo.php?workbook=12_04.xlsx&amp;sheet=A0&amp;row=5153&amp;col=6&amp;number=1871&amp;sourceID=14","1871")</f>
        <v>1871</v>
      </c>
      <c r="G5153" s="4" t="str">
        <f>HYPERLINK("http://141.218.60.56/~jnz1568/getInfo.php?workbook=12_04.xlsx&amp;sheet=A0&amp;row=5153&amp;col=7&amp;number=0&amp;sourceID=14","0")</f>
        <v>0</v>
      </c>
    </row>
    <row r="5154" spans="1:7">
      <c r="A5154" s="3">
        <v>12</v>
      </c>
      <c r="B5154" s="3">
        <v>4</v>
      </c>
      <c r="C5154" s="3">
        <v>99</v>
      </c>
      <c r="D5154" s="3">
        <v>86</v>
      </c>
      <c r="E5154" s="3">
        <v>-6592.757</v>
      </c>
      <c r="F5154" s="4" t="str">
        <f>HYPERLINK("http://141.218.60.56/~jnz1568/getInfo.php?workbook=12_04.xlsx&amp;sheet=A0&amp;row=5154&amp;col=6&amp;number=189800&amp;sourceID=14","189800")</f>
        <v>189800</v>
      </c>
      <c r="G5154" s="4" t="str">
        <f>HYPERLINK("http://141.218.60.56/~jnz1568/getInfo.php?workbook=12_04.xlsx&amp;sheet=A0&amp;row=5154&amp;col=7&amp;number=0&amp;sourceID=14","0")</f>
        <v>0</v>
      </c>
    </row>
    <row r="5155" spans="1:7">
      <c r="A5155" s="3">
        <v>12</v>
      </c>
      <c r="B5155" s="3">
        <v>4</v>
      </c>
      <c r="C5155" s="3">
        <v>100</v>
      </c>
      <c r="D5155" s="3">
        <v>86</v>
      </c>
      <c r="E5155" s="3">
        <v>-3752.706</v>
      </c>
      <c r="F5155" s="4" t="str">
        <f>HYPERLINK("http://141.218.60.56/~jnz1568/getInfo.php?workbook=12_04.xlsx&amp;sheet=A0&amp;row=5155&amp;col=6&amp;number=0.003183&amp;sourceID=14","0.003183")</f>
        <v>0.003183</v>
      </c>
      <c r="G5155" s="4" t="str">
        <f>HYPERLINK("http://141.218.60.56/~jnz1568/getInfo.php?workbook=12_04.xlsx&amp;sheet=A0&amp;row=5155&amp;col=7&amp;number=0&amp;sourceID=14","0")</f>
        <v>0</v>
      </c>
    </row>
    <row r="5156" spans="1:7">
      <c r="A5156" s="3">
        <v>12</v>
      </c>
      <c r="B5156" s="3">
        <v>4</v>
      </c>
      <c r="C5156" s="3">
        <v>101</v>
      </c>
      <c r="D5156" s="3">
        <v>86</v>
      </c>
      <c r="E5156" s="3">
        <v>-3746.23</v>
      </c>
      <c r="F5156" s="4" t="str">
        <f>HYPERLINK("http://141.218.60.56/~jnz1568/getInfo.php?workbook=12_04.xlsx&amp;sheet=A0&amp;row=5156&amp;col=6&amp;number=0.7624&amp;sourceID=14","0.7624")</f>
        <v>0.7624</v>
      </c>
      <c r="G5156" s="4" t="str">
        <f>HYPERLINK("http://141.218.60.56/~jnz1568/getInfo.php?workbook=12_04.xlsx&amp;sheet=A0&amp;row=5156&amp;col=7&amp;number=0&amp;sourceID=14","0")</f>
        <v>0</v>
      </c>
    </row>
    <row r="5157" spans="1:7">
      <c r="A5157" s="3">
        <v>12</v>
      </c>
      <c r="B5157" s="3">
        <v>4</v>
      </c>
      <c r="C5157" s="3">
        <v>102</v>
      </c>
      <c r="D5157" s="3">
        <v>86</v>
      </c>
      <c r="E5157" s="3">
        <v>-3731.471</v>
      </c>
      <c r="F5157" s="4" t="str">
        <f>HYPERLINK("http://141.218.60.56/~jnz1568/getInfo.php?workbook=12_04.xlsx&amp;sheet=A0&amp;row=5157&amp;col=6&amp;number=1.898&amp;sourceID=14","1.898")</f>
        <v>1.898</v>
      </c>
      <c r="G5157" s="4" t="str">
        <f>HYPERLINK("http://141.218.60.56/~jnz1568/getInfo.php?workbook=12_04.xlsx&amp;sheet=A0&amp;row=5157&amp;col=7&amp;number=0&amp;sourceID=14","0")</f>
        <v>0</v>
      </c>
    </row>
    <row r="5158" spans="1:7">
      <c r="A5158" s="3">
        <v>12</v>
      </c>
      <c r="B5158" s="3">
        <v>4</v>
      </c>
      <c r="C5158" s="3">
        <v>103</v>
      </c>
      <c r="D5158" s="3">
        <v>86</v>
      </c>
      <c r="E5158" s="3">
        <v>-3954.678</v>
      </c>
      <c r="F5158" s="4" t="str">
        <f>HYPERLINK("http://141.218.60.56/~jnz1568/getInfo.php?workbook=12_04.xlsx&amp;sheet=A0&amp;row=5158&amp;col=6&amp;number=1995&amp;sourceID=14","1995")</f>
        <v>1995</v>
      </c>
      <c r="G5158" s="4" t="str">
        <f>HYPERLINK("http://141.218.60.56/~jnz1568/getInfo.php?workbook=12_04.xlsx&amp;sheet=A0&amp;row=5158&amp;col=7&amp;number=0&amp;sourceID=14","0")</f>
        <v>0</v>
      </c>
    </row>
    <row r="5159" spans="1:7">
      <c r="A5159" s="3">
        <v>12</v>
      </c>
      <c r="B5159" s="3">
        <v>4</v>
      </c>
      <c r="C5159" s="3">
        <v>104</v>
      </c>
      <c r="D5159" s="3">
        <v>86</v>
      </c>
      <c r="E5159" s="3">
        <v>3236.671</v>
      </c>
      <c r="F5159" s="4" t="str">
        <f>HYPERLINK("http://141.218.60.56/~jnz1568/getInfo.php?workbook=12_04.xlsx&amp;sheet=A0&amp;row=5159&amp;col=6&amp;number=0.04561&amp;sourceID=14","0.04561")</f>
        <v>0.04561</v>
      </c>
      <c r="G5159" s="4" t="str">
        <f>HYPERLINK("http://141.218.60.56/~jnz1568/getInfo.php?workbook=12_04.xlsx&amp;sheet=A0&amp;row=5159&amp;col=7&amp;number=0&amp;sourceID=14","0")</f>
        <v>0</v>
      </c>
    </row>
    <row r="5160" spans="1:7">
      <c r="A5160" s="3">
        <v>12</v>
      </c>
      <c r="B5160" s="3">
        <v>4</v>
      </c>
      <c r="C5160" s="3">
        <v>105</v>
      </c>
      <c r="D5160" s="3">
        <v>86</v>
      </c>
      <c r="E5160" s="3">
        <v>-3040.454</v>
      </c>
      <c r="F5160" s="4" t="str">
        <f>HYPERLINK("http://141.218.60.56/~jnz1568/getInfo.php?workbook=12_04.xlsx&amp;sheet=A0&amp;row=5160&amp;col=6&amp;number=4656000&amp;sourceID=14","4656000")</f>
        <v>4656000</v>
      </c>
      <c r="G5160" s="4" t="str">
        <f>HYPERLINK("http://141.218.60.56/~jnz1568/getInfo.php?workbook=12_04.xlsx&amp;sheet=A0&amp;row=5160&amp;col=7&amp;number=0&amp;sourceID=14","0")</f>
        <v>0</v>
      </c>
    </row>
    <row r="5161" spans="1:7">
      <c r="A5161" s="3">
        <v>12</v>
      </c>
      <c r="B5161" s="3">
        <v>4</v>
      </c>
      <c r="C5161" s="3">
        <v>106</v>
      </c>
      <c r="D5161" s="3">
        <v>86</v>
      </c>
      <c r="E5161" s="3">
        <v>2859.845</v>
      </c>
      <c r="F5161" s="4" t="str">
        <f>HYPERLINK("http://141.218.60.56/~jnz1568/getInfo.php?workbook=12_04.xlsx&amp;sheet=A0&amp;row=5161&amp;col=6&amp;number=8359000&amp;sourceID=14","8359000")</f>
        <v>8359000</v>
      </c>
      <c r="G5161" s="4" t="str">
        <f>HYPERLINK("http://141.218.60.56/~jnz1568/getInfo.php?workbook=12_04.xlsx&amp;sheet=A0&amp;row=5161&amp;col=7&amp;number=0&amp;sourceID=14","0")</f>
        <v>0</v>
      </c>
    </row>
    <row r="5162" spans="1:7">
      <c r="A5162" s="3">
        <v>12</v>
      </c>
      <c r="B5162" s="3">
        <v>4</v>
      </c>
      <c r="C5162" s="3">
        <v>108</v>
      </c>
      <c r="D5162" s="3">
        <v>86</v>
      </c>
      <c r="E5162" s="3">
        <v>2603.29</v>
      </c>
      <c r="F5162" s="4" t="str">
        <f>HYPERLINK("http://141.218.60.56/~jnz1568/getInfo.php?workbook=12_04.xlsx&amp;sheet=A0&amp;row=5162&amp;col=6&amp;number=29800&amp;sourceID=14","29800")</f>
        <v>29800</v>
      </c>
      <c r="G5162" s="4" t="str">
        <f>HYPERLINK("http://141.218.60.56/~jnz1568/getInfo.php?workbook=12_04.xlsx&amp;sheet=A0&amp;row=5162&amp;col=7&amp;number=0&amp;sourceID=14","0")</f>
        <v>0</v>
      </c>
    </row>
    <row r="5163" spans="1:7">
      <c r="A5163" s="3">
        <v>12</v>
      </c>
      <c r="B5163" s="3">
        <v>4</v>
      </c>
      <c r="C5163" s="3">
        <v>99</v>
      </c>
      <c r="D5163" s="3">
        <v>95</v>
      </c>
      <c r="E5163" s="3">
        <v>-11304.325</v>
      </c>
      <c r="F5163" s="4" t="str">
        <f>HYPERLINK("http://141.218.60.56/~jnz1568/getInfo.php?workbook=12_04.xlsx&amp;sheet=A0&amp;row=5163&amp;col=6&amp;number=9.732e-05&amp;sourceID=14","9.732e-05")</f>
        <v>9.732e-05</v>
      </c>
      <c r="G5163" s="4" t="str">
        <f>HYPERLINK("http://141.218.60.56/~jnz1568/getInfo.php?workbook=12_04.xlsx&amp;sheet=A0&amp;row=5163&amp;col=7&amp;number=0&amp;sourceID=14","0")</f>
        <v>0</v>
      </c>
    </row>
    <row r="5164" spans="1:7">
      <c r="A5164" s="3">
        <v>12</v>
      </c>
      <c r="B5164" s="3">
        <v>4</v>
      </c>
      <c r="C5164" s="3">
        <v>101</v>
      </c>
      <c r="D5164" s="3">
        <v>95</v>
      </c>
      <c r="E5164" s="3">
        <v>-4908.815</v>
      </c>
      <c r="F5164" s="4" t="str">
        <f>HYPERLINK("http://141.218.60.56/~jnz1568/getInfo.php?workbook=12_04.xlsx&amp;sheet=A0&amp;row=5164&amp;col=6&amp;number=108100&amp;sourceID=14","108100")</f>
        <v>108100</v>
      </c>
      <c r="G5164" s="4" t="str">
        <f>HYPERLINK("http://141.218.60.56/~jnz1568/getInfo.php?workbook=12_04.xlsx&amp;sheet=A0&amp;row=5164&amp;col=7&amp;number=0&amp;sourceID=14","0")</f>
        <v>0</v>
      </c>
    </row>
    <row r="5165" spans="1:7">
      <c r="A5165" s="3">
        <v>12</v>
      </c>
      <c r="B5165" s="3">
        <v>4</v>
      </c>
      <c r="C5165" s="3">
        <v>104</v>
      </c>
      <c r="D5165" s="3">
        <v>95</v>
      </c>
      <c r="E5165" s="3">
        <v>-4267.76</v>
      </c>
      <c r="F5165" s="4" t="str">
        <f>HYPERLINK("http://141.218.60.56/~jnz1568/getInfo.php?workbook=12_04.xlsx&amp;sheet=A0&amp;row=5165&amp;col=6&amp;number=44690000&amp;sourceID=14","44690000")</f>
        <v>44690000</v>
      </c>
      <c r="G5165" s="4" t="str">
        <f>HYPERLINK("http://141.218.60.56/~jnz1568/getInfo.php?workbook=12_04.xlsx&amp;sheet=A0&amp;row=5165&amp;col=7&amp;number=0&amp;sourceID=14","0")</f>
        <v>0</v>
      </c>
    </row>
    <row r="5166" spans="1:7">
      <c r="A5166" s="3">
        <v>12</v>
      </c>
      <c r="B5166" s="3">
        <v>4</v>
      </c>
      <c r="C5166" s="3">
        <v>105</v>
      </c>
      <c r="D5166" s="3">
        <v>95</v>
      </c>
      <c r="E5166" s="3">
        <v>-3763.95</v>
      </c>
      <c r="F5166" s="4" t="str">
        <f>HYPERLINK("http://141.218.60.56/~jnz1568/getInfo.php?workbook=12_04.xlsx&amp;sheet=A0&amp;row=5166&amp;col=6&amp;number=1.379e-06&amp;sourceID=14","1.379e-06")</f>
        <v>1.379e-06</v>
      </c>
      <c r="G5166" s="4" t="str">
        <f>HYPERLINK("http://141.218.60.56/~jnz1568/getInfo.php?workbook=12_04.xlsx&amp;sheet=A0&amp;row=5166&amp;col=7&amp;number=0&amp;sourceID=14","0")</f>
        <v>0</v>
      </c>
    </row>
    <row r="5167" spans="1:7">
      <c r="A5167" s="3">
        <v>12</v>
      </c>
      <c r="B5167" s="3">
        <v>4</v>
      </c>
      <c r="C5167" s="3">
        <v>106</v>
      </c>
      <c r="D5167" s="3">
        <v>95</v>
      </c>
      <c r="E5167" s="3">
        <v>-3760.67</v>
      </c>
      <c r="F5167" s="4" t="str">
        <f>HYPERLINK("http://141.218.60.56/~jnz1568/getInfo.php?workbook=12_04.xlsx&amp;sheet=A0&amp;row=5167&amp;col=6&amp;number=0.003824&amp;sourceID=14","0.003824")</f>
        <v>0.003824</v>
      </c>
      <c r="G5167" s="4" t="str">
        <f>HYPERLINK("http://141.218.60.56/~jnz1568/getInfo.php?workbook=12_04.xlsx&amp;sheet=A0&amp;row=5167&amp;col=7&amp;number=0&amp;sourceID=14","0")</f>
        <v>0</v>
      </c>
    </row>
    <row r="5168" spans="1:7">
      <c r="A5168" s="3">
        <v>12</v>
      </c>
      <c r="B5168" s="3">
        <v>4</v>
      </c>
      <c r="C5168" s="3">
        <v>108</v>
      </c>
      <c r="D5168" s="3">
        <v>95</v>
      </c>
      <c r="E5168" s="3">
        <v>-3257.08</v>
      </c>
      <c r="F5168" s="4" t="str">
        <f>HYPERLINK("http://141.218.60.56/~jnz1568/getInfo.php?workbook=12_04.xlsx&amp;sheet=A0&amp;row=5168&amp;col=6&amp;number=161.4&amp;sourceID=14","161.4")</f>
        <v>161.4</v>
      </c>
      <c r="G5168" s="4" t="str">
        <f>HYPERLINK("http://141.218.60.56/~jnz1568/getInfo.php?workbook=12_04.xlsx&amp;sheet=A0&amp;row=5168&amp;col=7&amp;number=0&amp;sourceID=14","0")</f>
        <v>0</v>
      </c>
    </row>
    <row r="5169" spans="1:7">
      <c r="A5169" s="3">
        <v>12</v>
      </c>
      <c r="B5169" s="3">
        <v>4</v>
      </c>
      <c r="C5169" s="3">
        <v>99</v>
      </c>
      <c r="D5169" s="3">
        <v>87</v>
      </c>
      <c r="E5169" s="3">
        <v>-6740.288</v>
      </c>
      <c r="F5169" s="4" t="str">
        <f>HYPERLINK("http://141.218.60.56/~jnz1568/getInfo.php?workbook=12_04.xlsx&amp;sheet=A0&amp;row=5169&amp;col=6&amp;number=70540&amp;sourceID=14","70540")</f>
        <v>70540</v>
      </c>
      <c r="G5169" s="4" t="str">
        <f>HYPERLINK("http://141.218.60.56/~jnz1568/getInfo.php?workbook=12_04.xlsx&amp;sheet=A0&amp;row=5169&amp;col=7&amp;number=0&amp;sourceID=14","0")</f>
        <v>0</v>
      </c>
    </row>
    <row r="5170" spans="1:7">
      <c r="A5170" s="3">
        <v>12</v>
      </c>
      <c r="B5170" s="3">
        <v>4</v>
      </c>
      <c r="C5170" s="3">
        <v>101</v>
      </c>
      <c r="D5170" s="3">
        <v>87</v>
      </c>
      <c r="E5170" s="3">
        <v>-3793.41</v>
      </c>
      <c r="F5170" s="4" t="str">
        <f>HYPERLINK("http://141.218.60.56/~jnz1568/getInfo.php?workbook=12_04.xlsx&amp;sheet=A0&amp;row=5170&amp;col=6&amp;number=0.005124&amp;sourceID=14","0.005124")</f>
        <v>0.005124</v>
      </c>
      <c r="G5170" s="4" t="str">
        <f>HYPERLINK("http://141.218.60.56/~jnz1568/getInfo.php?workbook=12_04.xlsx&amp;sheet=A0&amp;row=5170&amp;col=7&amp;number=0&amp;sourceID=14","0")</f>
        <v>0</v>
      </c>
    </row>
    <row r="5171" spans="1:7">
      <c r="A5171" s="3">
        <v>12</v>
      </c>
      <c r="B5171" s="3">
        <v>4</v>
      </c>
      <c r="C5171" s="3">
        <v>102</v>
      </c>
      <c r="D5171" s="3">
        <v>87</v>
      </c>
      <c r="E5171" s="3">
        <v>-3778.278</v>
      </c>
      <c r="F5171" s="4" t="str">
        <f>HYPERLINK("http://141.218.60.56/~jnz1568/getInfo.php?workbook=12_04.xlsx&amp;sheet=A0&amp;row=5171&amp;col=6&amp;number=0.8634&amp;sourceID=14","0.8634")</f>
        <v>0.8634</v>
      </c>
      <c r="G5171" s="4" t="str">
        <f>HYPERLINK("http://141.218.60.56/~jnz1568/getInfo.php?workbook=12_04.xlsx&amp;sheet=A0&amp;row=5171&amp;col=7&amp;number=0&amp;sourceID=14","0")</f>
        <v>0</v>
      </c>
    </row>
    <row r="5172" spans="1:7">
      <c r="A5172" s="3">
        <v>12</v>
      </c>
      <c r="B5172" s="3">
        <v>4</v>
      </c>
      <c r="C5172" s="3">
        <v>104</v>
      </c>
      <c r="D5172" s="3">
        <v>87</v>
      </c>
      <c r="E5172" s="3">
        <v>-3398.877</v>
      </c>
      <c r="F5172" s="4" t="str">
        <f>HYPERLINK("http://141.218.60.56/~jnz1568/getInfo.php?workbook=12_04.xlsx&amp;sheet=A0&amp;row=5172&amp;col=6&amp;number=0.01479&amp;sourceID=14","0.01479")</f>
        <v>0.01479</v>
      </c>
      <c r="G5172" s="4" t="str">
        <f>HYPERLINK("http://141.218.60.56/~jnz1568/getInfo.php?workbook=12_04.xlsx&amp;sheet=A0&amp;row=5172&amp;col=7&amp;number=0&amp;sourceID=14","0")</f>
        <v>0</v>
      </c>
    </row>
    <row r="5173" spans="1:7">
      <c r="A5173" s="3">
        <v>12</v>
      </c>
      <c r="B5173" s="3">
        <v>4</v>
      </c>
      <c r="C5173" s="3">
        <v>105</v>
      </c>
      <c r="D5173" s="3">
        <v>87</v>
      </c>
      <c r="E5173" s="3">
        <v>-3071.458</v>
      </c>
      <c r="F5173" s="4" t="str">
        <f>HYPERLINK("http://141.218.60.56/~jnz1568/getInfo.php?workbook=12_04.xlsx&amp;sheet=A0&amp;row=5173&amp;col=6&amp;number=6922000&amp;sourceID=14","6922000")</f>
        <v>6922000</v>
      </c>
      <c r="G5173" s="4" t="str">
        <f>HYPERLINK("http://141.218.60.56/~jnz1568/getInfo.php?workbook=12_04.xlsx&amp;sheet=A0&amp;row=5173&amp;col=7&amp;number=0&amp;sourceID=14","0")</f>
        <v>0</v>
      </c>
    </row>
    <row r="5174" spans="1:7">
      <c r="A5174" s="3">
        <v>12</v>
      </c>
      <c r="B5174" s="3">
        <v>4</v>
      </c>
      <c r="C5174" s="3">
        <v>101</v>
      </c>
      <c r="D5174" s="3">
        <v>97</v>
      </c>
      <c r="E5174" s="3">
        <v>-5784.52</v>
      </c>
      <c r="F5174" s="4" t="str">
        <f>HYPERLINK("http://141.218.60.56/~jnz1568/getInfo.php?workbook=12_04.xlsx&amp;sheet=A0&amp;row=5174&amp;col=6&amp;number=0.01303&amp;sourceID=14","0.01303")</f>
        <v>0.01303</v>
      </c>
      <c r="G5174" s="4" t="str">
        <f>HYPERLINK("http://141.218.60.56/~jnz1568/getInfo.php?workbook=12_04.xlsx&amp;sheet=A0&amp;row=5174&amp;col=7&amp;number=0&amp;sourceID=14","0")</f>
        <v>0</v>
      </c>
    </row>
    <row r="5175" spans="1:7">
      <c r="A5175" s="3">
        <v>12</v>
      </c>
      <c r="B5175" s="3">
        <v>4</v>
      </c>
      <c r="C5175" s="3">
        <v>102</v>
      </c>
      <c r="D5175" s="3">
        <v>97</v>
      </c>
      <c r="E5175" s="3">
        <v>-5749.405</v>
      </c>
      <c r="F5175" s="4" t="str">
        <f>HYPERLINK("http://141.218.60.56/~jnz1568/getInfo.php?workbook=12_04.xlsx&amp;sheet=A0&amp;row=5175&amp;col=6&amp;number=0.002184&amp;sourceID=14","0.002184")</f>
        <v>0.002184</v>
      </c>
      <c r="G5175" s="4" t="str">
        <f>HYPERLINK("http://141.218.60.56/~jnz1568/getInfo.php?workbook=12_04.xlsx&amp;sheet=A0&amp;row=5175&amp;col=7&amp;number=0&amp;sourceID=14","0")</f>
        <v>0</v>
      </c>
    </row>
    <row r="5176" spans="1:7">
      <c r="A5176" s="3">
        <v>12</v>
      </c>
      <c r="B5176" s="3">
        <v>4</v>
      </c>
      <c r="C5176" s="3">
        <v>104</v>
      </c>
      <c r="D5176" s="3">
        <v>97</v>
      </c>
      <c r="E5176" s="3">
        <v>4115.912</v>
      </c>
      <c r="F5176" s="4" t="str">
        <f>HYPERLINK("http://141.218.60.56/~jnz1568/getInfo.php?workbook=12_04.xlsx&amp;sheet=A0&amp;row=5176&amp;col=6&amp;number=9.925&amp;sourceID=14","9.925")</f>
        <v>9.925</v>
      </c>
      <c r="G5176" s="4" t="str">
        <f>HYPERLINK("http://141.218.60.56/~jnz1568/getInfo.php?workbook=12_04.xlsx&amp;sheet=A0&amp;row=5176&amp;col=7&amp;number=0&amp;sourceID=14","0")</f>
        <v>0</v>
      </c>
    </row>
    <row r="5177" spans="1:7">
      <c r="A5177" s="3">
        <v>12</v>
      </c>
      <c r="B5177" s="3">
        <v>4</v>
      </c>
      <c r="C5177" s="3">
        <v>106</v>
      </c>
      <c r="D5177" s="3">
        <v>97</v>
      </c>
      <c r="E5177" s="3">
        <v>3525.229</v>
      </c>
      <c r="F5177" s="4" t="str">
        <f>HYPERLINK("http://141.218.60.56/~jnz1568/getInfo.php?workbook=12_04.xlsx&amp;sheet=A0&amp;row=5177&amp;col=6&amp;number=37150&amp;sourceID=14","37150")</f>
        <v>37150</v>
      </c>
      <c r="G5177" s="4" t="str">
        <f>HYPERLINK("http://141.218.60.56/~jnz1568/getInfo.php?workbook=12_04.xlsx&amp;sheet=A0&amp;row=5177&amp;col=7&amp;number=0&amp;sourceID=14","0")</f>
        <v>0</v>
      </c>
    </row>
    <row r="5178" spans="1:7">
      <c r="A5178" s="3">
        <v>12</v>
      </c>
      <c r="B5178" s="3">
        <v>4</v>
      </c>
      <c r="C5178" s="3">
        <v>107</v>
      </c>
      <c r="D5178" s="3">
        <v>97</v>
      </c>
      <c r="E5178" s="3">
        <v>3523.242</v>
      </c>
      <c r="F5178" s="4" t="str">
        <f>HYPERLINK("http://141.218.60.56/~jnz1568/getInfo.php?workbook=12_04.xlsx&amp;sheet=A0&amp;row=5178&amp;col=6&amp;number=2311&amp;sourceID=14","2311")</f>
        <v>2311</v>
      </c>
      <c r="G5178" s="4" t="str">
        <f>HYPERLINK("http://141.218.60.56/~jnz1568/getInfo.php?workbook=12_04.xlsx&amp;sheet=A0&amp;row=5178&amp;col=7&amp;number=0&amp;sourceID=14","0")</f>
        <v>0</v>
      </c>
    </row>
    <row r="5179" spans="1:7">
      <c r="A5179" s="3">
        <v>12</v>
      </c>
      <c r="B5179" s="3">
        <v>4</v>
      </c>
      <c r="C5179" s="3">
        <v>108</v>
      </c>
      <c r="D5179" s="3">
        <v>97</v>
      </c>
      <c r="E5179" s="3">
        <v>3143.375</v>
      </c>
      <c r="F5179" s="4" t="str">
        <f>HYPERLINK("http://141.218.60.56/~jnz1568/getInfo.php?workbook=12_04.xlsx&amp;sheet=A0&amp;row=5179&amp;col=6&amp;number=25630000&amp;sourceID=14","25630000")</f>
        <v>25630000</v>
      </c>
      <c r="G5179" s="4" t="str">
        <f>HYPERLINK("http://141.218.60.56/~jnz1568/getInfo.php?workbook=12_04.xlsx&amp;sheet=A0&amp;row=5179&amp;col=7&amp;number=0&amp;sourceID=14","0")</f>
        <v>0</v>
      </c>
    </row>
    <row r="5180" spans="1:7">
      <c r="A5180" s="3">
        <v>12</v>
      </c>
      <c r="B5180" s="3">
        <v>4</v>
      </c>
      <c r="C5180" s="3">
        <v>99</v>
      </c>
      <c r="D5180" s="3">
        <v>98</v>
      </c>
      <c r="E5180" s="3">
        <v>-21900.146</v>
      </c>
      <c r="F5180" s="4" t="str">
        <f>HYPERLINK("http://141.218.60.56/~jnz1568/getInfo.php?workbook=12_04.xlsx&amp;sheet=A0&amp;row=5180&amp;col=6&amp;number=225&amp;sourceID=14","225")</f>
        <v>225</v>
      </c>
      <c r="G5180" s="4" t="str">
        <f>HYPERLINK("http://141.218.60.56/~jnz1568/getInfo.php?workbook=12_04.xlsx&amp;sheet=A0&amp;row=5180&amp;col=7&amp;number=0&amp;sourceID=14","0")</f>
        <v>0</v>
      </c>
    </row>
    <row r="5181" spans="1:7">
      <c r="A5181" s="3">
        <v>12</v>
      </c>
      <c r="B5181" s="3">
        <v>4</v>
      </c>
      <c r="C5181" s="3">
        <v>100</v>
      </c>
      <c r="D5181" s="3">
        <v>98</v>
      </c>
      <c r="E5181" s="3">
        <v>-6232.295</v>
      </c>
      <c r="F5181" s="4" t="str">
        <f>HYPERLINK("http://141.218.60.56/~jnz1568/getInfo.php?workbook=12_04.xlsx&amp;sheet=A0&amp;row=5181&amp;col=6&amp;number=0.01219&amp;sourceID=14","0.01219")</f>
        <v>0.01219</v>
      </c>
      <c r="G5181" s="4" t="str">
        <f>HYPERLINK("http://141.218.60.56/~jnz1568/getInfo.php?workbook=12_04.xlsx&amp;sheet=A0&amp;row=5181&amp;col=7&amp;number=0&amp;sourceID=14","0")</f>
        <v>0</v>
      </c>
    </row>
    <row r="5182" spans="1:7">
      <c r="A5182" s="3">
        <v>12</v>
      </c>
      <c r="B5182" s="3">
        <v>4</v>
      </c>
      <c r="C5182" s="3">
        <v>101</v>
      </c>
      <c r="D5182" s="3">
        <v>98</v>
      </c>
      <c r="E5182" s="3">
        <v>-6214.453</v>
      </c>
      <c r="F5182" s="4" t="str">
        <f>HYPERLINK("http://141.218.60.56/~jnz1568/getInfo.php?workbook=12_04.xlsx&amp;sheet=A0&amp;row=5182&amp;col=6&amp;number=0.00982&amp;sourceID=14","0.00982")</f>
        <v>0.00982</v>
      </c>
      <c r="G5182" s="4" t="str">
        <f>HYPERLINK("http://141.218.60.56/~jnz1568/getInfo.php?workbook=12_04.xlsx&amp;sheet=A0&amp;row=5182&amp;col=7&amp;number=0&amp;sourceID=14","0")</f>
        <v>0</v>
      </c>
    </row>
    <row r="5183" spans="1:7">
      <c r="A5183" s="3">
        <v>12</v>
      </c>
      <c r="B5183" s="3">
        <v>4</v>
      </c>
      <c r="C5183" s="3">
        <v>102</v>
      </c>
      <c r="D5183" s="3">
        <v>98</v>
      </c>
      <c r="E5183" s="3">
        <v>-6173.943</v>
      </c>
      <c r="F5183" s="4" t="str">
        <f>HYPERLINK("http://141.218.60.56/~jnz1568/getInfo.php?workbook=12_04.xlsx&amp;sheet=A0&amp;row=5183&amp;col=6&amp;number=0.007633&amp;sourceID=14","0.007633")</f>
        <v>0.007633</v>
      </c>
      <c r="G5183" s="4" t="str">
        <f>HYPERLINK("http://141.218.60.56/~jnz1568/getInfo.php?workbook=12_04.xlsx&amp;sheet=A0&amp;row=5183&amp;col=7&amp;number=0&amp;sourceID=14","0")</f>
        <v>0</v>
      </c>
    </row>
    <row r="5184" spans="1:7">
      <c r="A5184" s="3">
        <v>12</v>
      </c>
      <c r="B5184" s="3">
        <v>4</v>
      </c>
      <c r="C5184" s="3">
        <v>103</v>
      </c>
      <c r="D5184" s="3">
        <v>98</v>
      </c>
      <c r="E5184" s="3">
        <v>-6809.889</v>
      </c>
      <c r="F5184" s="4" t="str">
        <f>HYPERLINK("http://141.218.60.56/~jnz1568/getInfo.php?workbook=12_04.xlsx&amp;sheet=A0&amp;row=5184&amp;col=6&amp;number=245400&amp;sourceID=14","245400")</f>
        <v>245400</v>
      </c>
      <c r="G5184" s="4" t="str">
        <f>HYPERLINK("http://141.218.60.56/~jnz1568/getInfo.php?workbook=12_04.xlsx&amp;sheet=A0&amp;row=5184&amp;col=7&amp;number=0&amp;sourceID=14","0")</f>
        <v>0</v>
      </c>
    </row>
    <row r="5185" spans="1:7">
      <c r="A5185" s="3">
        <v>12</v>
      </c>
      <c r="B5185" s="3">
        <v>4</v>
      </c>
      <c r="C5185" s="3">
        <v>104</v>
      </c>
      <c r="D5185" s="3">
        <v>98</v>
      </c>
      <c r="E5185" s="3">
        <v>4433.418</v>
      </c>
      <c r="F5185" s="4" t="str">
        <f>HYPERLINK("http://141.218.60.56/~jnz1568/getInfo.php?workbook=12_04.xlsx&amp;sheet=A0&amp;row=5185&amp;col=6&amp;number=1.583&amp;sourceID=14","1.583")</f>
        <v>1.583</v>
      </c>
      <c r="G5185" s="4" t="str">
        <f>HYPERLINK("http://141.218.60.56/~jnz1568/getInfo.php?workbook=12_04.xlsx&amp;sheet=A0&amp;row=5185&amp;col=7&amp;number=0&amp;sourceID=14","0")</f>
        <v>0</v>
      </c>
    </row>
    <row r="5186" spans="1:7">
      <c r="A5186" s="3">
        <v>12</v>
      </c>
      <c r="B5186" s="3">
        <v>4</v>
      </c>
      <c r="C5186" s="3">
        <v>105</v>
      </c>
      <c r="D5186" s="3">
        <v>98</v>
      </c>
      <c r="E5186" s="3">
        <v>-4486.751</v>
      </c>
      <c r="F5186" s="4" t="str">
        <f>HYPERLINK("http://141.218.60.56/~jnz1568/getInfo.php?workbook=12_04.xlsx&amp;sheet=A0&amp;row=5186&amp;col=6&amp;number=23670&amp;sourceID=14","23670")</f>
        <v>23670</v>
      </c>
      <c r="G5186" s="4" t="str">
        <f>HYPERLINK("http://141.218.60.56/~jnz1568/getInfo.php?workbook=12_04.xlsx&amp;sheet=A0&amp;row=5186&amp;col=7&amp;number=0&amp;sourceID=14","0")</f>
        <v>0</v>
      </c>
    </row>
    <row r="5187" spans="1:7">
      <c r="A5187" s="3">
        <v>12</v>
      </c>
      <c r="B5187" s="3">
        <v>4</v>
      </c>
      <c r="C5187" s="3">
        <v>106</v>
      </c>
      <c r="D5187" s="3">
        <v>98</v>
      </c>
      <c r="E5187" s="3">
        <v>3755.593</v>
      </c>
      <c r="F5187" s="4" t="str">
        <f>HYPERLINK("http://141.218.60.56/~jnz1568/getInfo.php?workbook=12_04.xlsx&amp;sheet=A0&amp;row=5187&amp;col=6&amp;number=47120&amp;sourceID=14","47120")</f>
        <v>47120</v>
      </c>
      <c r="G5187" s="4" t="str">
        <f>HYPERLINK("http://141.218.60.56/~jnz1568/getInfo.php?workbook=12_04.xlsx&amp;sheet=A0&amp;row=5187&amp;col=7&amp;number=0&amp;sourceID=14","0")</f>
        <v>0</v>
      </c>
    </row>
    <row r="5188" spans="1:7">
      <c r="A5188" s="3">
        <v>12</v>
      </c>
      <c r="B5188" s="3">
        <v>4</v>
      </c>
      <c r="C5188" s="3">
        <v>108</v>
      </c>
      <c r="D5188" s="3">
        <v>98</v>
      </c>
      <c r="E5188" s="3">
        <v>3325.248</v>
      </c>
      <c r="F5188" s="4" t="str">
        <f>HYPERLINK("http://141.218.60.56/~jnz1568/getInfo.php?workbook=12_04.xlsx&amp;sheet=A0&amp;row=5188&amp;col=6&amp;number=17760000&amp;sourceID=14","17760000")</f>
        <v>17760000</v>
      </c>
      <c r="G5188" s="4" t="str">
        <f>HYPERLINK("http://141.218.60.56/~jnz1568/getInfo.php?workbook=12_04.xlsx&amp;sheet=A0&amp;row=5188&amp;col=7&amp;number=0&amp;sourceID=14","0")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12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HYPERLINK("http://141.218.60.56/~jnz1568/getInfo.php?workbook=12_04.xlsx&amp;sheet=U0&amp;row=4&amp;col=6&amp;number=3&amp;sourceID=14","3")</f>
        <v>3</v>
      </c>
      <c r="G4" s="4" t="str">
        <f>HYPERLINK("http://141.218.60.56/~jnz1568/getInfo.php?workbook=12_04.xlsx&amp;sheet=U0&amp;row=4&amp;col=7&amp;number=0.011&amp;sourceID=14","0.011")</f>
        <v>0.011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HYPERLINK("http://141.218.60.56/~jnz1568/getInfo.php?workbook=12_04.xlsx&amp;sheet=U0&amp;row=5&amp;col=6&amp;number=3.1&amp;sourceID=14","3.1")</f>
        <v>3.1</v>
      </c>
      <c r="G5" s="4" t="str">
        <f>HYPERLINK("http://141.218.60.56/~jnz1568/getInfo.php?workbook=12_04.xlsx&amp;sheet=U0&amp;row=5&amp;col=7&amp;number=0.0111&amp;sourceID=14","0.0111")</f>
        <v>0.0111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HYPERLINK("http://141.218.60.56/~jnz1568/getInfo.php?workbook=12_04.xlsx&amp;sheet=U0&amp;row=6&amp;col=6&amp;number=3.2&amp;sourceID=14","3.2")</f>
        <v>3.2</v>
      </c>
      <c r="G6" s="4" t="str">
        <f>HYPERLINK("http://141.218.60.56/~jnz1568/getInfo.php?workbook=12_04.xlsx&amp;sheet=U0&amp;row=6&amp;col=7&amp;number=0.0111&amp;sourceID=14","0.0111")</f>
        <v>0.0111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HYPERLINK("http://141.218.60.56/~jnz1568/getInfo.php?workbook=12_04.xlsx&amp;sheet=U0&amp;row=7&amp;col=6&amp;number=3.3&amp;sourceID=14","3.3")</f>
        <v>3.3</v>
      </c>
      <c r="G7" s="4" t="str">
        <f>HYPERLINK("http://141.218.60.56/~jnz1568/getInfo.php?workbook=12_04.xlsx&amp;sheet=U0&amp;row=7&amp;col=7&amp;number=0.0112&amp;sourceID=14","0.0112")</f>
        <v>0.0112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HYPERLINK("http://141.218.60.56/~jnz1568/getInfo.php?workbook=12_04.xlsx&amp;sheet=U0&amp;row=8&amp;col=6&amp;number=3.4&amp;sourceID=14","3.4")</f>
        <v>3.4</v>
      </c>
      <c r="G8" s="4" t="str">
        <f>HYPERLINK("http://141.218.60.56/~jnz1568/getInfo.php?workbook=12_04.xlsx&amp;sheet=U0&amp;row=8&amp;col=7&amp;number=0.0112&amp;sourceID=14","0.0112")</f>
        <v>0.0112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HYPERLINK("http://141.218.60.56/~jnz1568/getInfo.php?workbook=12_04.xlsx&amp;sheet=U0&amp;row=9&amp;col=6&amp;number=3.5&amp;sourceID=14","3.5")</f>
        <v>3.5</v>
      </c>
      <c r="G9" s="4" t="str">
        <f>HYPERLINK("http://141.218.60.56/~jnz1568/getInfo.php?workbook=12_04.xlsx&amp;sheet=U0&amp;row=9&amp;col=7&amp;number=0.0113&amp;sourceID=14","0.0113")</f>
        <v>0.0113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HYPERLINK("http://141.218.60.56/~jnz1568/getInfo.php?workbook=12_04.xlsx&amp;sheet=U0&amp;row=10&amp;col=6&amp;number=3.6&amp;sourceID=14","3.6")</f>
        <v>3.6</v>
      </c>
      <c r="G10" s="4" t="str">
        <f>HYPERLINK("http://141.218.60.56/~jnz1568/getInfo.php?workbook=12_04.xlsx&amp;sheet=U0&amp;row=10&amp;col=7&amp;number=0.0114&amp;sourceID=14","0.0114")</f>
        <v>0.0114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HYPERLINK("http://141.218.60.56/~jnz1568/getInfo.php?workbook=12_04.xlsx&amp;sheet=U0&amp;row=11&amp;col=6&amp;number=3.7&amp;sourceID=14","3.7")</f>
        <v>3.7</v>
      </c>
      <c r="G11" s="4" t="str">
        <f>HYPERLINK("http://141.218.60.56/~jnz1568/getInfo.php?workbook=12_04.xlsx&amp;sheet=U0&amp;row=11&amp;col=7&amp;number=0.0115&amp;sourceID=14","0.0115")</f>
        <v>0.0115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HYPERLINK("http://141.218.60.56/~jnz1568/getInfo.php?workbook=12_04.xlsx&amp;sheet=U0&amp;row=12&amp;col=6&amp;number=3.8&amp;sourceID=14","3.8")</f>
        <v>3.8</v>
      </c>
      <c r="G12" s="4" t="str">
        <f>HYPERLINK("http://141.218.60.56/~jnz1568/getInfo.php?workbook=12_04.xlsx&amp;sheet=U0&amp;row=12&amp;col=7&amp;number=0.0116&amp;sourceID=14","0.0116")</f>
        <v>0.0116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HYPERLINK("http://141.218.60.56/~jnz1568/getInfo.php?workbook=12_04.xlsx&amp;sheet=U0&amp;row=13&amp;col=6&amp;number=3.9&amp;sourceID=14","3.9")</f>
        <v>3.9</v>
      </c>
      <c r="G13" s="4" t="str">
        <f>HYPERLINK("http://141.218.60.56/~jnz1568/getInfo.php?workbook=12_04.xlsx&amp;sheet=U0&amp;row=13&amp;col=7&amp;number=0.0118&amp;sourceID=14","0.0118")</f>
        <v>0.0118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HYPERLINK("http://141.218.60.56/~jnz1568/getInfo.php?workbook=12_04.xlsx&amp;sheet=U0&amp;row=14&amp;col=6&amp;number=4&amp;sourceID=14","4")</f>
        <v>4</v>
      </c>
      <c r="G14" s="4" t="str">
        <f>HYPERLINK("http://141.218.60.56/~jnz1568/getInfo.php?workbook=12_04.xlsx&amp;sheet=U0&amp;row=14&amp;col=7&amp;number=0.012&amp;sourceID=14","0.012")</f>
        <v>0.012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HYPERLINK("http://141.218.60.56/~jnz1568/getInfo.php?workbook=12_04.xlsx&amp;sheet=U0&amp;row=15&amp;col=6&amp;number=4.1&amp;sourceID=14","4.1")</f>
        <v>4.1</v>
      </c>
      <c r="G15" s="4" t="str">
        <f>HYPERLINK("http://141.218.60.56/~jnz1568/getInfo.php?workbook=12_04.xlsx&amp;sheet=U0&amp;row=15&amp;col=7&amp;number=0.0123&amp;sourceID=14","0.0123")</f>
        <v>0.0123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HYPERLINK("http://141.218.60.56/~jnz1568/getInfo.php?workbook=12_04.xlsx&amp;sheet=U0&amp;row=16&amp;col=6&amp;number=4.2&amp;sourceID=14","4.2")</f>
        <v>4.2</v>
      </c>
      <c r="G16" s="4" t="str">
        <f>HYPERLINK("http://141.218.60.56/~jnz1568/getInfo.php?workbook=12_04.xlsx&amp;sheet=U0&amp;row=16&amp;col=7&amp;number=0.0126&amp;sourceID=14","0.0126")</f>
        <v>0.0126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HYPERLINK("http://141.218.60.56/~jnz1568/getInfo.php?workbook=12_04.xlsx&amp;sheet=U0&amp;row=17&amp;col=6&amp;number=4.3&amp;sourceID=14","4.3")</f>
        <v>4.3</v>
      </c>
      <c r="G17" s="4" t="str">
        <f>HYPERLINK("http://141.218.60.56/~jnz1568/getInfo.php?workbook=12_04.xlsx&amp;sheet=U0&amp;row=17&amp;col=7&amp;number=0.013&amp;sourceID=14","0.013")</f>
        <v>0.013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HYPERLINK("http://141.218.60.56/~jnz1568/getInfo.php?workbook=12_04.xlsx&amp;sheet=U0&amp;row=18&amp;col=6&amp;number=4.4&amp;sourceID=14","4.4")</f>
        <v>4.4</v>
      </c>
      <c r="G18" s="4" t="str">
        <f>HYPERLINK("http://141.218.60.56/~jnz1568/getInfo.php?workbook=12_04.xlsx&amp;sheet=U0&amp;row=18&amp;col=7&amp;number=0.0135&amp;sourceID=14","0.0135")</f>
        <v>0.0135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HYPERLINK("http://141.218.60.56/~jnz1568/getInfo.php?workbook=12_04.xlsx&amp;sheet=U0&amp;row=19&amp;col=6&amp;number=4.5&amp;sourceID=14","4.5")</f>
        <v>4.5</v>
      </c>
      <c r="G19" s="4" t="str">
        <f>HYPERLINK("http://141.218.60.56/~jnz1568/getInfo.php?workbook=12_04.xlsx&amp;sheet=U0&amp;row=19&amp;col=7&amp;number=0.0141&amp;sourceID=14","0.0141")</f>
        <v>0.0141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HYPERLINK("http://141.218.60.56/~jnz1568/getInfo.php?workbook=12_04.xlsx&amp;sheet=U0&amp;row=20&amp;col=6&amp;number=4.6&amp;sourceID=14","4.6")</f>
        <v>4.6</v>
      </c>
      <c r="G20" s="4" t="str">
        <f>HYPERLINK("http://141.218.60.56/~jnz1568/getInfo.php?workbook=12_04.xlsx&amp;sheet=U0&amp;row=20&amp;col=7&amp;number=0.0147&amp;sourceID=14","0.0147")</f>
        <v>0.0147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HYPERLINK("http://141.218.60.56/~jnz1568/getInfo.php?workbook=12_04.xlsx&amp;sheet=U0&amp;row=21&amp;col=6&amp;number=4.7&amp;sourceID=14","4.7")</f>
        <v>4.7</v>
      </c>
      <c r="G21" s="4" t="str">
        <f>HYPERLINK("http://141.218.60.56/~jnz1568/getInfo.php?workbook=12_04.xlsx&amp;sheet=U0&amp;row=21&amp;col=7&amp;number=0.0154&amp;sourceID=14","0.0154")</f>
        <v>0.0154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HYPERLINK("http://141.218.60.56/~jnz1568/getInfo.php?workbook=12_04.xlsx&amp;sheet=U0&amp;row=22&amp;col=6&amp;number=4.8&amp;sourceID=14","4.8")</f>
        <v>4.8</v>
      </c>
      <c r="G22" s="4" t="str">
        <f>HYPERLINK("http://141.218.60.56/~jnz1568/getInfo.php?workbook=12_04.xlsx&amp;sheet=U0&amp;row=22&amp;col=7&amp;number=0.0161&amp;sourceID=14","0.0161")</f>
        <v>0.0161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HYPERLINK("http://141.218.60.56/~jnz1568/getInfo.php?workbook=12_04.xlsx&amp;sheet=U0&amp;row=23&amp;col=6&amp;number=4.9&amp;sourceID=14","4.9")</f>
        <v>4.9</v>
      </c>
      <c r="G23" s="4" t="str">
        <f>HYPERLINK("http://141.218.60.56/~jnz1568/getInfo.php?workbook=12_04.xlsx&amp;sheet=U0&amp;row=23&amp;col=7&amp;number=0.0166&amp;sourceID=14","0.0166")</f>
        <v>0.0166</v>
      </c>
    </row>
    <row r="24" spans="1:7">
      <c r="A24" s="3">
        <v>12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HYPERLINK("http://141.218.60.56/~jnz1568/getInfo.php?workbook=12_04.xlsx&amp;sheet=U0&amp;row=24&amp;col=6&amp;number=3&amp;sourceID=14","3")</f>
        <v>3</v>
      </c>
      <c r="G24" s="4" t="str">
        <f>HYPERLINK("http://141.218.60.56/~jnz1568/getInfo.php?workbook=12_04.xlsx&amp;sheet=U0&amp;row=24&amp;col=7&amp;number=0.0424&amp;sourceID=14","0.0424")</f>
        <v>0.0424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HYPERLINK("http://141.218.60.56/~jnz1568/getInfo.php?workbook=12_04.xlsx&amp;sheet=U0&amp;row=25&amp;col=6&amp;number=3.1&amp;sourceID=14","3.1")</f>
        <v>3.1</v>
      </c>
      <c r="G25" s="4" t="str">
        <f>HYPERLINK("http://141.218.60.56/~jnz1568/getInfo.php?workbook=12_04.xlsx&amp;sheet=U0&amp;row=25&amp;col=7&amp;number=0.0424&amp;sourceID=14","0.0424")</f>
        <v>0.0424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HYPERLINK("http://141.218.60.56/~jnz1568/getInfo.php?workbook=12_04.xlsx&amp;sheet=U0&amp;row=26&amp;col=6&amp;number=3.2&amp;sourceID=14","3.2")</f>
        <v>3.2</v>
      </c>
      <c r="G26" s="4" t="str">
        <f>HYPERLINK("http://141.218.60.56/~jnz1568/getInfo.php?workbook=12_04.xlsx&amp;sheet=U0&amp;row=26&amp;col=7&amp;number=0.0424&amp;sourceID=14","0.0424")</f>
        <v>0.0424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HYPERLINK("http://141.218.60.56/~jnz1568/getInfo.php?workbook=12_04.xlsx&amp;sheet=U0&amp;row=27&amp;col=6&amp;number=3.3&amp;sourceID=14","3.3")</f>
        <v>3.3</v>
      </c>
      <c r="G27" s="4" t="str">
        <f>HYPERLINK("http://141.218.60.56/~jnz1568/getInfo.php?workbook=12_04.xlsx&amp;sheet=U0&amp;row=27&amp;col=7&amp;number=0.0425&amp;sourceID=14","0.0425")</f>
        <v>0.0425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HYPERLINK("http://141.218.60.56/~jnz1568/getInfo.php?workbook=12_04.xlsx&amp;sheet=U0&amp;row=28&amp;col=6&amp;number=3.4&amp;sourceID=14","3.4")</f>
        <v>3.4</v>
      </c>
      <c r="G28" s="4" t="str">
        <f>HYPERLINK("http://141.218.60.56/~jnz1568/getInfo.php?workbook=12_04.xlsx&amp;sheet=U0&amp;row=28&amp;col=7&amp;number=0.0425&amp;sourceID=14","0.0425")</f>
        <v>0.0425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HYPERLINK("http://141.218.60.56/~jnz1568/getInfo.php?workbook=12_04.xlsx&amp;sheet=U0&amp;row=29&amp;col=6&amp;number=3.5&amp;sourceID=14","3.5")</f>
        <v>3.5</v>
      </c>
      <c r="G29" s="4" t="str">
        <f>HYPERLINK("http://141.218.60.56/~jnz1568/getInfo.php?workbook=12_04.xlsx&amp;sheet=U0&amp;row=29&amp;col=7&amp;number=0.0426&amp;sourceID=14","0.0426")</f>
        <v>0.0426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HYPERLINK("http://141.218.60.56/~jnz1568/getInfo.php?workbook=12_04.xlsx&amp;sheet=U0&amp;row=30&amp;col=6&amp;number=3.6&amp;sourceID=14","3.6")</f>
        <v>3.6</v>
      </c>
      <c r="G30" s="4" t="str">
        <f>HYPERLINK("http://141.218.60.56/~jnz1568/getInfo.php?workbook=12_04.xlsx&amp;sheet=U0&amp;row=30&amp;col=7&amp;number=0.0427&amp;sourceID=14","0.0427")</f>
        <v>0.0427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HYPERLINK("http://141.218.60.56/~jnz1568/getInfo.php?workbook=12_04.xlsx&amp;sheet=U0&amp;row=31&amp;col=6&amp;number=3.7&amp;sourceID=14","3.7")</f>
        <v>3.7</v>
      </c>
      <c r="G31" s="4" t="str">
        <f>HYPERLINK("http://141.218.60.56/~jnz1568/getInfo.php?workbook=12_04.xlsx&amp;sheet=U0&amp;row=31&amp;col=7&amp;number=0.0428&amp;sourceID=14","0.0428")</f>
        <v>0.0428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HYPERLINK("http://141.218.60.56/~jnz1568/getInfo.php?workbook=12_04.xlsx&amp;sheet=U0&amp;row=32&amp;col=6&amp;number=3.8&amp;sourceID=14","3.8")</f>
        <v>3.8</v>
      </c>
      <c r="G32" s="4" t="str">
        <f>HYPERLINK("http://141.218.60.56/~jnz1568/getInfo.php?workbook=12_04.xlsx&amp;sheet=U0&amp;row=32&amp;col=7&amp;number=0.043&amp;sourceID=14","0.043")</f>
        <v>0.043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HYPERLINK("http://141.218.60.56/~jnz1568/getInfo.php?workbook=12_04.xlsx&amp;sheet=U0&amp;row=33&amp;col=6&amp;number=3.9&amp;sourceID=14","3.9")</f>
        <v>3.9</v>
      </c>
      <c r="G33" s="4" t="str">
        <f>HYPERLINK("http://141.218.60.56/~jnz1568/getInfo.php?workbook=12_04.xlsx&amp;sheet=U0&amp;row=33&amp;col=7&amp;number=0.0432&amp;sourceID=14","0.0432")</f>
        <v>0.0432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HYPERLINK("http://141.218.60.56/~jnz1568/getInfo.php?workbook=12_04.xlsx&amp;sheet=U0&amp;row=34&amp;col=6&amp;number=4&amp;sourceID=14","4")</f>
        <v>4</v>
      </c>
      <c r="G34" s="4" t="str">
        <f>HYPERLINK("http://141.218.60.56/~jnz1568/getInfo.php?workbook=12_04.xlsx&amp;sheet=U0&amp;row=34&amp;col=7&amp;number=0.0434&amp;sourceID=14","0.0434")</f>
        <v>0.0434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HYPERLINK("http://141.218.60.56/~jnz1568/getInfo.php?workbook=12_04.xlsx&amp;sheet=U0&amp;row=35&amp;col=6&amp;number=4.1&amp;sourceID=14","4.1")</f>
        <v>4.1</v>
      </c>
      <c r="G35" s="4" t="str">
        <f>HYPERLINK("http://141.218.60.56/~jnz1568/getInfo.php?workbook=12_04.xlsx&amp;sheet=U0&amp;row=35&amp;col=7&amp;number=0.0437&amp;sourceID=14","0.0437")</f>
        <v>0.0437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HYPERLINK("http://141.218.60.56/~jnz1568/getInfo.php?workbook=12_04.xlsx&amp;sheet=U0&amp;row=36&amp;col=6&amp;number=4.2&amp;sourceID=14","4.2")</f>
        <v>4.2</v>
      </c>
      <c r="G36" s="4" t="str">
        <f>HYPERLINK("http://141.218.60.56/~jnz1568/getInfo.php?workbook=12_04.xlsx&amp;sheet=U0&amp;row=36&amp;col=7&amp;number=0.0441&amp;sourceID=14","0.0441")</f>
        <v>0.0441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HYPERLINK("http://141.218.60.56/~jnz1568/getInfo.php?workbook=12_04.xlsx&amp;sheet=U0&amp;row=37&amp;col=6&amp;number=4.3&amp;sourceID=14","4.3")</f>
        <v>4.3</v>
      </c>
      <c r="G37" s="4" t="str">
        <f>HYPERLINK("http://141.218.60.56/~jnz1568/getInfo.php?workbook=12_04.xlsx&amp;sheet=U0&amp;row=37&amp;col=7&amp;number=0.0446&amp;sourceID=14","0.0446")</f>
        <v>0.0446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HYPERLINK("http://141.218.60.56/~jnz1568/getInfo.php?workbook=12_04.xlsx&amp;sheet=U0&amp;row=38&amp;col=6&amp;number=4.4&amp;sourceID=14","4.4")</f>
        <v>4.4</v>
      </c>
      <c r="G38" s="4" t="str">
        <f>HYPERLINK("http://141.218.60.56/~jnz1568/getInfo.php?workbook=12_04.xlsx&amp;sheet=U0&amp;row=38&amp;col=7&amp;number=0.0451&amp;sourceID=14","0.0451")</f>
        <v>0.0451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HYPERLINK("http://141.218.60.56/~jnz1568/getInfo.php?workbook=12_04.xlsx&amp;sheet=U0&amp;row=39&amp;col=6&amp;number=4.5&amp;sourceID=14","4.5")</f>
        <v>4.5</v>
      </c>
      <c r="G39" s="4" t="str">
        <f>HYPERLINK("http://141.218.60.56/~jnz1568/getInfo.php?workbook=12_04.xlsx&amp;sheet=U0&amp;row=39&amp;col=7&amp;number=0.0458&amp;sourceID=14","0.0458")</f>
        <v>0.0458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HYPERLINK("http://141.218.60.56/~jnz1568/getInfo.php?workbook=12_04.xlsx&amp;sheet=U0&amp;row=40&amp;col=6&amp;number=4.6&amp;sourceID=14","4.6")</f>
        <v>4.6</v>
      </c>
      <c r="G40" s="4" t="str">
        <f>HYPERLINK("http://141.218.60.56/~jnz1568/getInfo.php?workbook=12_04.xlsx&amp;sheet=U0&amp;row=40&amp;col=7&amp;number=0.0466&amp;sourceID=14","0.0466")</f>
        <v>0.0466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HYPERLINK("http://141.218.60.56/~jnz1568/getInfo.php?workbook=12_04.xlsx&amp;sheet=U0&amp;row=41&amp;col=6&amp;number=4.7&amp;sourceID=14","4.7")</f>
        <v>4.7</v>
      </c>
      <c r="G41" s="4" t="str">
        <f>HYPERLINK("http://141.218.60.56/~jnz1568/getInfo.php?workbook=12_04.xlsx&amp;sheet=U0&amp;row=41&amp;col=7&amp;number=0.0475&amp;sourceID=14","0.0475")</f>
        <v>0.0475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HYPERLINK("http://141.218.60.56/~jnz1568/getInfo.php?workbook=12_04.xlsx&amp;sheet=U0&amp;row=42&amp;col=6&amp;number=4.8&amp;sourceID=14","4.8")</f>
        <v>4.8</v>
      </c>
      <c r="G42" s="4" t="str">
        <f>HYPERLINK("http://141.218.60.56/~jnz1568/getInfo.php?workbook=12_04.xlsx&amp;sheet=U0&amp;row=42&amp;col=7&amp;number=0.0484&amp;sourceID=14","0.0484")</f>
        <v>0.0484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HYPERLINK("http://141.218.60.56/~jnz1568/getInfo.php?workbook=12_04.xlsx&amp;sheet=U0&amp;row=43&amp;col=6&amp;number=4.9&amp;sourceID=14","4.9")</f>
        <v>4.9</v>
      </c>
      <c r="G43" s="4" t="str">
        <f>HYPERLINK("http://141.218.60.56/~jnz1568/getInfo.php?workbook=12_04.xlsx&amp;sheet=U0&amp;row=43&amp;col=7&amp;number=0.0493&amp;sourceID=14","0.0493")</f>
        <v>0.0493</v>
      </c>
    </row>
    <row r="44" spans="1:7">
      <c r="A44" s="3">
        <v>12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HYPERLINK("http://141.218.60.56/~jnz1568/getInfo.php?workbook=12_04.xlsx&amp;sheet=U0&amp;row=44&amp;col=6&amp;number=3&amp;sourceID=14","3")</f>
        <v>3</v>
      </c>
      <c r="G44" s="4" t="str">
        <f>HYPERLINK("http://141.218.60.56/~jnz1568/getInfo.php?workbook=12_04.xlsx&amp;sheet=U0&amp;row=44&amp;col=7&amp;number=0.0531&amp;sourceID=14","0.0531")</f>
        <v>0.0531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HYPERLINK("http://141.218.60.56/~jnz1568/getInfo.php?workbook=12_04.xlsx&amp;sheet=U0&amp;row=45&amp;col=6&amp;number=3.1&amp;sourceID=14","3.1")</f>
        <v>3.1</v>
      </c>
      <c r="G45" s="4" t="str">
        <f>HYPERLINK("http://141.218.60.56/~jnz1568/getInfo.php?workbook=12_04.xlsx&amp;sheet=U0&amp;row=45&amp;col=7&amp;number=0.0532&amp;sourceID=14","0.0532")</f>
        <v>0.0532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HYPERLINK("http://141.218.60.56/~jnz1568/getInfo.php?workbook=12_04.xlsx&amp;sheet=U0&amp;row=46&amp;col=6&amp;number=3.2&amp;sourceID=14","3.2")</f>
        <v>3.2</v>
      </c>
      <c r="G46" s="4" t="str">
        <f>HYPERLINK("http://141.218.60.56/~jnz1568/getInfo.php?workbook=12_04.xlsx&amp;sheet=U0&amp;row=46&amp;col=7&amp;number=0.0534&amp;sourceID=14","0.0534")</f>
        <v>0.0534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HYPERLINK("http://141.218.60.56/~jnz1568/getInfo.php?workbook=12_04.xlsx&amp;sheet=U0&amp;row=47&amp;col=6&amp;number=3.3&amp;sourceID=14","3.3")</f>
        <v>3.3</v>
      </c>
      <c r="G47" s="4" t="str">
        <f>HYPERLINK("http://141.218.60.56/~jnz1568/getInfo.php?workbook=12_04.xlsx&amp;sheet=U0&amp;row=47&amp;col=7&amp;number=0.0536&amp;sourceID=14","0.0536")</f>
        <v>0.0536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HYPERLINK("http://141.218.60.56/~jnz1568/getInfo.php?workbook=12_04.xlsx&amp;sheet=U0&amp;row=48&amp;col=6&amp;number=3.4&amp;sourceID=14","3.4")</f>
        <v>3.4</v>
      </c>
      <c r="G48" s="4" t="str">
        <f>HYPERLINK("http://141.218.60.56/~jnz1568/getInfo.php?workbook=12_04.xlsx&amp;sheet=U0&amp;row=48&amp;col=7&amp;number=0.0538&amp;sourceID=14","0.0538")</f>
        <v>0.0538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HYPERLINK("http://141.218.60.56/~jnz1568/getInfo.php?workbook=12_04.xlsx&amp;sheet=U0&amp;row=49&amp;col=6&amp;number=3.5&amp;sourceID=14","3.5")</f>
        <v>3.5</v>
      </c>
      <c r="G49" s="4" t="str">
        <f>HYPERLINK("http://141.218.60.56/~jnz1568/getInfo.php?workbook=12_04.xlsx&amp;sheet=U0&amp;row=49&amp;col=7&amp;number=0.0541&amp;sourceID=14","0.0541")</f>
        <v>0.0541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HYPERLINK("http://141.218.60.56/~jnz1568/getInfo.php?workbook=12_04.xlsx&amp;sheet=U0&amp;row=50&amp;col=6&amp;number=3.6&amp;sourceID=14","3.6")</f>
        <v>3.6</v>
      </c>
      <c r="G50" s="4" t="str">
        <f>HYPERLINK("http://141.218.60.56/~jnz1568/getInfo.php?workbook=12_04.xlsx&amp;sheet=U0&amp;row=50&amp;col=7&amp;number=0.0545&amp;sourceID=14","0.0545")</f>
        <v>0.0545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HYPERLINK("http://141.218.60.56/~jnz1568/getInfo.php?workbook=12_04.xlsx&amp;sheet=U0&amp;row=51&amp;col=6&amp;number=3.7&amp;sourceID=14","3.7")</f>
        <v>3.7</v>
      </c>
      <c r="G51" s="4" t="str">
        <f>HYPERLINK("http://141.218.60.56/~jnz1568/getInfo.php?workbook=12_04.xlsx&amp;sheet=U0&amp;row=51&amp;col=7&amp;number=0.055&amp;sourceID=14","0.055")</f>
        <v>0.055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HYPERLINK("http://141.218.60.56/~jnz1568/getInfo.php?workbook=12_04.xlsx&amp;sheet=U0&amp;row=52&amp;col=6&amp;number=3.8&amp;sourceID=14","3.8")</f>
        <v>3.8</v>
      </c>
      <c r="G52" s="4" t="str">
        <f>HYPERLINK("http://141.218.60.56/~jnz1568/getInfo.php?workbook=12_04.xlsx&amp;sheet=U0&amp;row=52&amp;col=7&amp;number=0.0556&amp;sourceID=14","0.0556")</f>
        <v>0.0556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HYPERLINK("http://141.218.60.56/~jnz1568/getInfo.php?workbook=12_04.xlsx&amp;sheet=U0&amp;row=53&amp;col=6&amp;number=3.9&amp;sourceID=14","3.9")</f>
        <v>3.9</v>
      </c>
      <c r="G53" s="4" t="str">
        <f>HYPERLINK("http://141.218.60.56/~jnz1568/getInfo.php?workbook=12_04.xlsx&amp;sheet=U0&amp;row=53&amp;col=7&amp;number=0.0564&amp;sourceID=14","0.0564")</f>
        <v>0.0564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HYPERLINK("http://141.218.60.56/~jnz1568/getInfo.php?workbook=12_04.xlsx&amp;sheet=U0&amp;row=54&amp;col=6&amp;number=4&amp;sourceID=14","4")</f>
        <v>4</v>
      </c>
      <c r="G54" s="4" t="str">
        <f>HYPERLINK("http://141.218.60.56/~jnz1568/getInfo.php?workbook=12_04.xlsx&amp;sheet=U0&amp;row=54&amp;col=7&amp;number=0.0573&amp;sourceID=14","0.0573")</f>
        <v>0.0573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HYPERLINK("http://141.218.60.56/~jnz1568/getInfo.php?workbook=12_04.xlsx&amp;sheet=U0&amp;row=55&amp;col=6&amp;number=4.1&amp;sourceID=14","4.1")</f>
        <v>4.1</v>
      </c>
      <c r="G55" s="4" t="str">
        <f>HYPERLINK("http://141.218.60.56/~jnz1568/getInfo.php?workbook=12_04.xlsx&amp;sheet=U0&amp;row=55&amp;col=7&amp;number=0.0585&amp;sourceID=14","0.0585")</f>
        <v>0.0585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HYPERLINK("http://141.218.60.56/~jnz1568/getInfo.php?workbook=12_04.xlsx&amp;sheet=U0&amp;row=56&amp;col=6&amp;number=4.2&amp;sourceID=14","4.2")</f>
        <v>4.2</v>
      </c>
      <c r="G56" s="4" t="str">
        <f>HYPERLINK("http://141.218.60.56/~jnz1568/getInfo.php?workbook=12_04.xlsx&amp;sheet=U0&amp;row=56&amp;col=7&amp;number=0.06&amp;sourceID=14","0.06")</f>
        <v>0.06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HYPERLINK("http://141.218.60.56/~jnz1568/getInfo.php?workbook=12_04.xlsx&amp;sheet=U0&amp;row=57&amp;col=6&amp;number=4.3&amp;sourceID=14","4.3")</f>
        <v>4.3</v>
      </c>
      <c r="G57" s="4" t="str">
        <f>HYPERLINK("http://141.218.60.56/~jnz1568/getInfo.php?workbook=12_04.xlsx&amp;sheet=U0&amp;row=57&amp;col=7&amp;number=0.0618&amp;sourceID=14","0.0618")</f>
        <v>0.0618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HYPERLINK("http://141.218.60.56/~jnz1568/getInfo.php?workbook=12_04.xlsx&amp;sheet=U0&amp;row=58&amp;col=6&amp;number=4.4&amp;sourceID=14","4.4")</f>
        <v>4.4</v>
      </c>
      <c r="G58" s="4" t="str">
        <f>HYPERLINK("http://141.218.60.56/~jnz1568/getInfo.php?workbook=12_04.xlsx&amp;sheet=U0&amp;row=58&amp;col=7&amp;number=0.064&amp;sourceID=14","0.064")</f>
        <v>0.064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HYPERLINK("http://141.218.60.56/~jnz1568/getInfo.php?workbook=12_04.xlsx&amp;sheet=U0&amp;row=59&amp;col=6&amp;number=4.5&amp;sourceID=14","4.5")</f>
        <v>4.5</v>
      </c>
      <c r="G59" s="4" t="str">
        <f>HYPERLINK("http://141.218.60.56/~jnz1568/getInfo.php?workbook=12_04.xlsx&amp;sheet=U0&amp;row=59&amp;col=7&amp;number=0.0666&amp;sourceID=14","0.0666")</f>
        <v>0.0666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HYPERLINK("http://141.218.60.56/~jnz1568/getInfo.php?workbook=12_04.xlsx&amp;sheet=U0&amp;row=60&amp;col=6&amp;number=4.6&amp;sourceID=14","4.6")</f>
        <v>4.6</v>
      </c>
      <c r="G60" s="4" t="str">
        <f>HYPERLINK("http://141.218.60.56/~jnz1568/getInfo.php?workbook=12_04.xlsx&amp;sheet=U0&amp;row=60&amp;col=7&amp;number=0.0698&amp;sourceID=14","0.0698")</f>
        <v>0.0698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HYPERLINK("http://141.218.60.56/~jnz1568/getInfo.php?workbook=12_04.xlsx&amp;sheet=U0&amp;row=61&amp;col=6&amp;number=4.7&amp;sourceID=14","4.7")</f>
        <v>4.7</v>
      </c>
      <c r="G61" s="4" t="str">
        <f>HYPERLINK("http://141.218.60.56/~jnz1568/getInfo.php?workbook=12_04.xlsx&amp;sheet=U0&amp;row=61&amp;col=7&amp;number=0.0733&amp;sourceID=14","0.0733")</f>
        <v>0.0733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HYPERLINK("http://141.218.60.56/~jnz1568/getInfo.php?workbook=12_04.xlsx&amp;sheet=U0&amp;row=62&amp;col=6&amp;number=4.8&amp;sourceID=14","4.8")</f>
        <v>4.8</v>
      </c>
      <c r="G62" s="4" t="str">
        <f>HYPERLINK("http://141.218.60.56/~jnz1568/getInfo.php?workbook=12_04.xlsx&amp;sheet=U0&amp;row=62&amp;col=7&amp;number=0.0772&amp;sourceID=14","0.0772")</f>
        <v>0.0772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HYPERLINK("http://141.218.60.56/~jnz1568/getInfo.php?workbook=12_04.xlsx&amp;sheet=U0&amp;row=63&amp;col=6&amp;number=4.9&amp;sourceID=14","4.9")</f>
        <v>4.9</v>
      </c>
      <c r="G63" s="4" t="str">
        <f>HYPERLINK("http://141.218.60.56/~jnz1568/getInfo.php?workbook=12_04.xlsx&amp;sheet=U0&amp;row=63&amp;col=7&amp;number=0.0809&amp;sourceID=14","0.0809")</f>
        <v>0.0809</v>
      </c>
    </row>
    <row r="64" spans="1:7">
      <c r="A64" s="3">
        <v>12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HYPERLINK("http://141.218.60.56/~jnz1568/getInfo.php?workbook=12_04.xlsx&amp;sheet=U0&amp;row=64&amp;col=6&amp;number=3&amp;sourceID=14","3")</f>
        <v>3</v>
      </c>
      <c r="G64" s="4" t="str">
        <f>HYPERLINK("http://141.218.60.56/~jnz1568/getInfo.php?workbook=12_04.xlsx&amp;sheet=U0&amp;row=64&amp;col=7&amp;number=1.27&amp;sourceID=14","1.27")</f>
        <v>1.27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HYPERLINK("http://141.218.60.56/~jnz1568/getInfo.php?workbook=12_04.xlsx&amp;sheet=U0&amp;row=65&amp;col=6&amp;number=3.1&amp;sourceID=14","3.1")</f>
        <v>3.1</v>
      </c>
      <c r="G65" s="4" t="str">
        <f>HYPERLINK("http://141.218.60.56/~jnz1568/getInfo.php?workbook=12_04.xlsx&amp;sheet=U0&amp;row=65&amp;col=7&amp;number=1.27&amp;sourceID=14","1.27")</f>
        <v>1.27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HYPERLINK("http://141.218.60.56/~jnz1568/getInfo.php?workbook=12_04.xlsx&amp;sheet=U0&amp;row=66&amp;col=6&amp;number=3.2&amp;sourceID=14","3.2")</f>
        <v>3.2</v>
      </c>
      <c r="G66" s="4" t="str">
        <f>HYPERLINK("http://141.218.60.56/~jnz1568/getInfo.php?workbook=12_04.xlsx&amp;sheet=U0&amp;row=66&amp;col=7&amp;number=1.27&amp;sourceID=14","1.27")</f>
        <v>1.27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HYPERLINK("http://141.218.60.56/~jnz1568/getInfo.php?workbook=12_04.xlsx&amp;sheet=U0&amp;row=67&amp;col=6&amp;number=3.3&amp;sourceID=14","3.3")</f>
        <v>3.3</v>
      </c>
      <c r="G67" s="4" t="str">
        <f>HYPERLINK("http://141.218.60.56/~jnz1568/getInfo.php?workbook=12_04.xlsx&amp;sheet=U0&amp;row=67&amp;col=7&amp;number=1.27&amp;sourceID=14","1.27")</f>
        <v>1.27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HYPERLINK("http://141.218.60.56/~jnz1568/getInfo.php?workbook=12_04.xlsx&amp;sheet=U0&amp;row=68&amp;col=6&amp;number=3.4&amp;sourceID=14","3.4")</f>
        <v>3.4</v>
      </c>
      <c r="G68" s="4" t="str">
        <f>HYPERLINK("http://141.218.60.56/~jnz1568/getInfo.php?workbook=12_04.xlsx&amp;sheet=U0&amp;row=68&amp;col=7&amp;number=1.27&amp;sourceID=14","1.27")</f>
        <v>1.27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HYPERLINK("http://141.218.60.56/~jnz1568/getInfo.php?workbook=12_04.xlsx&amp;sheet=U0&amp;row=69&amp;col=6&amp;number=3.5&amp;sourceID=14","3.5")</f>
        <v>3.5</v>
      </c>
      <c r="G69" s="4" t="str">
        <f>HYPERLINK("http://141.218.60.56/~jnz1568/getInfo.php?workbook=12_04.xlsx&amp;sheet=U0&amp;row=69&amp;col=7&amp;number=1.27&amp;sourceID=14","1.27")</f>
        <v>1.27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HYPERLINK("http://141.218.60.56/~jnz1568/getInfo.php?workbook=12_04.xlsx&amp;sheet=U0&amp;row=70&amp;col=6&amp;number=3.6&amp;sourceID=14","3.6")</f>
        <v>3.6</v>
      </c>
      <c r="G70" s="4" t="str">
        <f>HYPERLINK("http://141.218.60.56/~jnz1568/getInfo.php?workbook=12_04.xlsx&amp;sheet=U0&amp;row=70&amp;col=7&amp;number=1.27&amp;sourceID=14","1.27")</f>
        <v>1.27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HYPERLINK("http://141.218.60.56/~jnz1568/getInfo.php?workbook=12_04.xlsx&amp;sheet=U0&amp;row=71&amp;col=6&amp;number=3.7&amp;sourceID=14","3.7")</f>
        <v>3.7</v>
      </c>
      <c r="G71" s="4" t="str">
        <f>HYPERLINK("http://141.218.60.56/~jnz1568/getInfo.php?workbook=12_04.xlsx&amp;sheet=U0&amp;row=71&amp;col=7&amp;number=1.27&amp;sourceID=14","1.27")</f>
        <v>1.27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HYPERLINK("http://141.218.60.56/~jnz1568/getInfo.php?workbook=12_04.xlsx&amp;sheet=U0&amp;row=72&amp;col=6&amp;number=3.8&amp;sourceID=14","3.8")</f>
        <v>3.8</v>
      </c>
      <c r="G72" s="4" t="str">
        <f>HYPERLINK("http://141.218.60.56/~jnz1568/getInfo.php?workbook=12_04.xlsx&amp;sheet=U0&amp;row=72&amp;col=7&amp;number=1.27&amp;sourceID=14","1.27")</f>
        <v>1.27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HYPERLINK("http://141.218.60.56/~jnz1568/getInfo.php?workbook=12_04.xlsx&amp;sheet=U0&amp;row=73&amp;col=6&amp;number=3.9&amp;sourceID=14","3.9")</f>
        <v>3.9</v>
      </c>
      <c r="G73" s="4" t="str">
        <f>HYPERLINK("http://141.218.60.56/~jnz1568/getInfo.php?workbook=12_04.xlsx&amp;sheet=U0&amp;row=73&amp;col=7&amp;number=1.27&amp;sourceID=14","1.27")</f>
        <v>1.27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HYPERLINK("http://141.218.60.56/~jnz1568/getInfo.php?workbook=12_04.xlsx&amp;sheet=U0&amp;row=74&amp;col=6&amp;number=4&amp;sourceID=14","4")</f>
        <v>4</v>
      </c>
      <c r="G74" s="4" t="str">
        <f>HYPERLINK("http://141.218.60.56/~jnz1568/getInfo.php?workbook=12_04.xlsx&amp;sheet=U0&amp;row=74&amp;col=7&amp;number=1.28&amp;sourceID=14","1.28")</f>
        <v>1.28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HYPERLINK("http://141.218.60.56/~jnz1568/getInfo.php?workbook=12_04.xlsx&amp;sheet=U0&amp;row=75&amp;col=6&amp;number=4.1&amp;sourceID=14","4.1")</f>
        <v>4.1</v>
      </c>
      <c r="G75" s="4" t="str">
        <f>HYPERLINK("http://141.218.60.56/~jnz1568/getInfo.php?workbook=12_04.xlsx&amp;sheet=U0&amp;row=75&amp;col=7&amp;number=1.28&amp;sourceID=14","1.28")</f>
        <v>1.28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HYPERLINK("http://141.218.60.56/~jnz1568/getInfo.php?workbook=12_04.xlsx&amp;sheet=U0&amp;row=76&amp;col=6&amp;number=4.2&amp;sourceID=14","4.2")</f>
        <v>4.2</v>
      </c>
      <c r="G76" s="4" t="str">
        <f>HYPERLINK("http://141.218.60.56/~jnz1568/getInfo.php?workbook=12_04.xlsx&amp;sheet=U0&amp;row=76&amp;col=7&amp;number=1.28&amp;sourceID=14","1.28")</f>
        <v>1.28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HYPERLINK("http://141.218.60.56/~jnz1568/getInfo.php?workbook=12_04.xlsx&amp;sheet=U0&amp;row=77&amp;col=6&amp;number=4.3&amp;sourceID=14","4.3")</f>
        <v>4.3</v>
      </c>
      <c r="G77" s="4" t="str">
        <f>HYPERLINK("http://141.218.60.56/~jnz1568/getInfo.php?workbook=12_04.xlsx&amp;sheet=U0&amp;row=77&amp;col=7&amp;number=1.28&amp;sourceID=14","1.28")</f>
        <v>1.28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HYPERLINK("http://141.218.60.56/~jnz1568/getInfo.php?workbook=12_04.xlsx&amp;sheet=U0&amp;row=78&amp;col=6&amp;number=4.4&amp;sourceID=14","4.4")</f>
        <v>4.4</v>
      </c>
      <c r="G78" s="4" t="str">
        <f>HYPERLINK("http://141.218.60.56/~jnz1568/getInfo.php?workbook=12_04.xlsx&amp;sheet=U0&amp;row=78&amp;col=7&amp;number=1.29&amp;sourceID=14","1.29")</f>
        <v>1.29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HYPERLINK("http://141.218.60.56/~jnz1568/getInfo.php?workbook=12_04.xlsx&amp;sheet=U0&amp;row=79&amp;col=6&amp;number=4.5&amp;sourceID=14","4.5")</f>
        <v>4.5</v>
      </c>
      <c r="G79" s="4" t="str">
        <f>HYPERLINK("http://141.218.60.56/~jnz1568/getInfo.php?workbook=12_04.xlsx&amp;sheet=U0&amp;row=79&amp;col=7&amp;number=1.29&amp;sourceID=14","1.29")</f>
        <v>1.29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HYPERLINK("http://141.218.60.56/~jnz1568/getInfo.php?workbook=12_04.xlsx&amp;sheet=U0&amp;row=80&amp;col=6&amp;number=4.6&amp;sourceID=14","4.6")</f>
        <v>4.6</v>
      </c>
      <c r="G80" s="4" t="str">
        <f>HYPERLINK("http://141.218.60.56/~jnz1568/getInfo.php?workbook=12_04.xlsx&amp;sheet=U0&amp;row=80&amp;col=7&amp;number=1.3&amp;sourceID=14","1.3")</f>
        <v>1.3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HYPERLINK("http://141.218.60.56/~jnz1568/getInfo.php?workbook=12_04.xlsx&amp;sheet=U0&amp;row=81&amp;col=6&amp;number=4.7&amp;sourceID=14","4.7")</f>
        <v>4.7</v>
      </c>
      <c r="G81" s="4" t="str">
        <f>HYPERLINK("http://141.218.60.56/~jnz1568/getInfo.php?workbook=12_04.xlsx&amp;sheet=U0&amp;row=81&amp;col=7&amp;number=1.31&amp;sourceID=14","1.31")</f>
        <v>1.31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HYPERLINK("http://141.218.60.56/~jnz1568/getInfo.php?workbook=12_04.xlsx&amp;sheet=U0&amp;row=82&amp;col=6&amp;number=4.8&amp;sourceID=14","4.8")</f>
        <v>4.8</v>
      </c>
      <c r="G82" s="4" t="str">
        <f>HYPERLINK("http://141.218.60.56/~jnz1568/getInfo.php?workbook=12_04.xlsx&amp;sheet=U0&amp;row=82&amp;col=7&amp;number=1.31&amp;sourceID=14","1.31")</f>
        <v>1.31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HYPERLINK("http://141.218.60.56/~jnz1568/getInfo.php?workbook=12_04.xlsx&amp;sheet=U0&amp;row=83&amp;col=6&amp;number=4.9&amp;sourceID=14","4.9")</f>
        <v>4.9</v>
      </c>
      <c r="G83" s="4" t="str">
        <f>HYPERLINK("http://141.218.60.56/~jnz1568/getInfo.php?workbook=12_04.xlsx&amp;sheet=U0&amp;row=83&amp;col=7&amp;number=1.32&amp;sourceID=14","1.32")</f>
        <v>1.32</v>
      </c>
    </row>
    <row r="84" spans="1:7">
      <c r="A84" s="3">
        <v>12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HYPERLINK("http://141.218.60.56/~jnz1568/getInfo.php?workbook=12_04.xlsx&amp;sheet=U0&amp;row=84&amp;col=6&amp;number=3&amp;sourceID=14","3")</f>
        <v>3</v>
      </c>
      <c r="G84" s="4" t="str">
        <f>HYPERLINK("http://141.218.60.56/~jnz1568/getInfo.php?workbook=12_04.xlsx&amp;sheet=U0&amp;row=84&amp;col=7&amp;number=0.000783&amp;sourceID=14","0.000783")</f>
        <v>0.000783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HYPERLINK("http://141.218.60.56/~jnz1568/getInfo.php?workbook=12_04.xlsx&amp;sheet=U0&amp;row=85&amp;col=6&amp;number=3.1&amp;sourceID=14","3.1")</f>
        <v>3.1</v>
      </c>
      <c r="G85" s="4" t="str">
        <f>HYPERLINK("http://141.218.60.56/~jnz1568/getInfo.php?workbook=12_04.xlsx&amp;sheet=U0&amp;row=85&amp;col=7&amp;number=0.000781&amp;sourceID=14","0.000781")</f>
        <v>0.000781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HYPERLINK("http://141.218.60.56/~jnz1568/getInfo.php?workbook=12_04.xlsx&amp;sheet=U0&amp;row=86&amp;col=6&amp;number=3.2&amp;sourceID=14","3.2")</f>
        <v>3.2</v>
      </c>
      <c r="G86" s="4" t="str">
        <f>HYPERLINK("http://141.218.60.56/~jnz1568/getInfo.php?workbook=12_04.xlsx&amp;sheet=U0&amp;row=86&amp;col=7&amp;number=0.000779&amp;sourceID=14","0.000779")</f>
        <v>0.000779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HYPERLINK("http://141.218.60.56/~jnz1568/getInfo.php?workbook=12_04.xlsx&amp;sheet=U0&amp;row=87&amp;col=6&amp;number=3.3&amp;sourceID=14","3.3")</f>
        <v>3.3</v>
      </c>
      <c r="G87" s="4" t="str">
        <f>HYPERLINK("http://141.218.60.56/~jnz1568/getInfo.php?workbook=12_04.xlsx&amp;sheet=U0&amp;row=87&amp;col=7&amp;number=0.000776&amp;sourceID=14","0.000776")</f>
        <v>0.000776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HYPERLINK("http://141.218.60.56/~jnz1568/getInfo.php?workbook=12_04.xlsx&amp;sheet=U0&amp;row=88&amp;col=6&amp;number=3.4&amp;sourceID=14","3.4")</f>
        <v>3.4</v>
      </c>
      <c r="G88" s="4" t="str">
        <f>HYPERLINK("http://141.218.60.56/~jnz1568/getInfo.php?workbook=12_04.xlsx&amp;sheet=U0&amp;row=88&amp;col=7&amp;number=0.000773&amp;sourceID=14","0.000773")</f>
        <v>0.000773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HYPERLINK("http://141.218.60.56/~jnz1568/getInfo.php?workbook=12_04.xlsx&amp;sheet=U0&amp;row=89&amp;col=6&amp;number=3.5&amp;sourceID=14","3.5")</f>
        <v>3.5</v>
      </c>
      <c r="G89" s="4" t="str">
        <f>HYPERLINK("http://141.218.60.56/~jnz1568/getInfo.php?workbook=12_04.xlsx&amp;sheet=U0&amp;row=89&amp;col=7&amp;number=0.000769&amp;sourceID=14","0.000769")</f>
        <v>0.000769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HYPERLINK("http://141.218.60.56/~jnz1568/getInfo.php?workbook=12_04.xlsx&amp;sheet=U0&amp;row=90&amp;col=6&amp;number=3.6&amp;sourceID=14","3.6")</f>
        <v>3.6</v>
      </c>
      <c r="G90" s="4" t="str">
        <f>HYPERLINK("http://141.218.60.56/~jnz1568/getInfo.php?workbook=12_04.xlsx&amp;sheet=U0&amp;row=90&amp;col=7&amp;number=0.000763&amp;sourceID=14","0.000763")</f>
        <v>0.000763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HYPERLINK("http://141.218.60.56/~jnz1568/getInfo.php?workbook=12_04.xlsx&amp;sheet=U0&amp;row=91&amp;col=6&amp;number=3.7&amp;sourceID=14","3.7")</f>
        <v>3.7</v>
      </c>
      <c r="G91" s="4" t="str">
        <f>HYPERLINK("http://141.218.60.56/~jnz1568/getInfo.php?workbook=12_04.xlsx&amp;sheet=U0&amp;row=91&amp;col=7&amp;number=0.000756&amp;sourceID=14","0.000756")</f>
        <v>0.000756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HYPERLINK("http://141.218.60.56/~jnz1568/getInfo.php?workbook=12_04.xlsx&amp;sheet=U0&amp;row=92&amp;col=6&amp;number=3.8&amp;sourceID=14","3.8")</f>
        <v>3.8</v>
      </c>
      <c r="G92" s="4" t="str">
        <f>HYPERLINK("http://141.218.60.56/~jnz1568/getInfo.php?workbook=12_04.xlsx&amp;sheet=U0&amp;row=92&amp;col=7&amp;number=0.000748&amp;sourceID=14","0.000748")</f>
        <v>0.000748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HYPERLINK("http://141.218.60.56/~jnz1568/getInfo.php?workbook=12_04.xlsx&amp;sheet=U0&amp;row=93&amp;col=6&amp;number=3.9&amp;sourceID=14","3.9")</f>
        <v>3.9</v>
      </c>
      <c r="G93" s="4" t="str">
        <f>HYPERLINK("http://141.218.60.56/~jnz1568/getInfo.php?workbook=12_04.xlsx&amp;sheet=U0&amp;row=93&amp;col=7&amp;number=0.000737&amp;sourceID=14","0.000737")</f>
        <v>0.000737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HYPERLINK("http://141.218.60.56/~jnz1568/getInfo.php?workbook=12_04.xlsx&amp;sheet=U0&amp;row=94&amp;col=6&amp;number=4&amp;sourceID=14","4")</f>
        <v>4</v>
      </c>
      <c r="G94" s="4" t="str">
        <f>HYPERLINK("http://141.218.60.56/~jnz1568/getInfo.php?workbook=12_04.xlsx&amp;sheet=U0&amp;row=94&amp;col=7&amp;number=0.000724&amp;sourceID=14","0.000724")</f>
        <v>0.000724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HYPERLINK("http://141.218.60.56/~jnz1568/getInfo.php?workbook=12_04.xlsx&amp;sheet=U0&amp;row=95&amp;col=6&amp;number=4.1&amp;sourceID=14","4.1")</f>
        <v>4.1</v>
      </c>
      <c r="G95" s="4" t="str">
        <f>HYPERLINK("http://141.218.60.56/~jnz1568/getInfo.php?workbook=12_04.xlsx&amp;sheet=U0&amp;row=95&amp;col=7&amp;number=0.000707&amp;sourceID=14","0.000707")</f>
        <v>0.000707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HYPERLINK("http://141.218.60.56/~jnz1568/getInfo.php?workbook=12_04.xlsx&amp;sheet=U0&amp;row=96&amp;col=6&amp;number=4.2&amp;sourceID=14","4.2")</f>
        <v>4.2</v>
      </c>
      <c r="G96" s="4" t="str">
        <f>HYPERLINK("http://141.218.60.56/~jnz1568/getInfo.php?workbook=12_04.xlsx&amp;sheet=U0&amp;row=96&amp;col=7&amp;number=0.000687&amp;sourceID=14","0.000687")</f>
        <v>0.000687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HYPERLINK("http://141.218.60.56/~jnz1568/getInfo.php?workbook=12_04.xlsx&amp;sheet=U0&amp;row=97&amp;col=6&amp;number=4.3&amp;sourceID=14","4.3")</f>
        <v>4.3</v>
      </c>
      <c r="G97" s="4" t="str">
        <f>HYPERLINK("http://141.218.60.56/~jnz1568/getInfo.php?workbook=12_04.xlsx&amp;sheet=U0&amp;row=97&amp;col=7&amp;number=0.000662&amp;sourceID=14","0.000662")</f>
        <v>0.000662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HYPERLINK("http://141.218.60.56/~jnz1568/getInfo.php?workbook=12_04.xlsx&amp;sheet=U0&amp;row=98&amp;col=6&amp;number=4.4&amp;sourceID=14","4.4")</f>
        <v>4.4</v>
      </c>
      <c r="G98" s="4" t="str">
        <f>HYPERLINK("http://141.218.60.56/~jnz1568/getInfo.php?workbook=12_04.xlsx&amp;sheet=U0&amp;row=98&amp;col=7&amp;number=0.000632&amp;sourceID=14","0.000632")</f>
        <v>0.000632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HYPERLINK("http://141.218.60.56/~jnz1568/getInfo.php?workbook=12_04.xlsx&amp;sheet=U0&amp;row=99&amp;col=6&amp;number=4.5&amp;sourceID=14","4.5")</f>
        <v>4.5</v>
      </c>
      <c r="G99" s="4" t="str">
        <f>HYPERLINK("http://141.218.60.56/~jnz1568/getInfo.php?workbook=12_04.xlsx&amp;sheet=U0&amp;row=99&amp;col=7&amp;number=0.000597&amp;sourceID=14","0.000597")</f>
        <v>0.000597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HYPERLINK("http://141.218.60.56/~jnz1568/getInfo.php?workbook=12_04.xlsx&amp;sheet=U0&amp;row=100&amp;col=6&amp;number=4.6&amp;sourceID=14","4.6")</f>
        <v>4.6</v>
      </c>
      <c r="G100" s="4" t="str">
        <f>HYPERLINK("http://141.218.60.56/~jnz1568/getInfo.php?workbook=12_04.xlsx&amp;sheet=U0&amp;row=100&amp;col=7&amp;number=0.000556&amp;sourceID=14","0.000556")</f>
        <v>0.000556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HYPERLINK("http://141.218.60.56/~jnz1568/getInfo.php?workbook=12_04.xlsx&amp;sheet=U0&amp;row=101&amp;col=6&amp;number=4.7&amp;sourceID=14","4.7")</f>
        <v>4.7</v>
      </c>
      <c r="G101" s="4" t="str">
        <f>HYPERLINK("http://141.218.60.56/~jnz1568/getInfo.php?workbook=12_04.xlsx&amp;sheet=U0&amp;row=101&amp;col=7&amp;number=0.000512&amp;sourceID=14","0.000512")</f>
        <v>0.000512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HYPERLINK("http://141.218.60.56/~jnz1568/getInfo.php?workbook=12_04.xlsx&amp;sheet=U0&amp;row=102&amp;col=6&amp;number=4.8&amp;sourceID=14","4.8")</f>
        <v>4.8</v>
      </c>
      <c r="G102" s="4" t="str">
        <f>HYPERLINK("http://141.218.60.56/~jnz1568/getInfo.php?workbook=12_04.xlsx&amp;sheet=U0&amp;row=102&amp;col=7&amp;number=0.000467&amp;sourceID=14","0.000467")</f>
        <v>0.000467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HYPERLINK("http://141.218.60.56/~jnz1568/getInfo.php?workbook=12_04.xlsx&amp;sheet=U0&amp;row=103&amp;col=6&amp;number=4.9&amp;sourceID=14","4.9")</f>
        <v>4.9</v>
      </c>
      <c r="G103" s="4" t="str">
        <f>HYPERLINK("http://141.218.60.56/~jnz1568/getInfo.php?workbook=12_04.xlsx&amp;sheet=U0&amp;row=103&amp;col=7&amp;number=0.000429&amp;sourceID=14","0.000429")</f>
        <v>0.000429</v>
      </c>
    </row>
    <row r="104" spans="1:7">
      <c r="A104" s="3">
        <v>12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HYPERLINK("http://141.218.60.56/~jnz1568/getInfo.php?workbook=12_04.xlsx&amp;sheet=U0&amp;row=104&amp;col=6&amp;number=3&amp;sourceID=14","3")</f>
        <v>3</v>
      </c>
      <c r="G104" s="4" t="str">
        <f>HYPERLINK("http://141.218.60.56/~jnz1568/getInfo.php?workbook=12_04.xlsx&amp;sheet=U0&amp;row=104&amp;col=7&amp;number=0.00119&amp;sourceID=14","0.00119")</f>
        <v>0.00119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HYPERLINK("http://141.218.60.56/~jnz1568/getInfo.php?workbook=12_04.xlsx&amp;sheet=U0&amp;row=105&amp;col=6&amp;number=3.1&amp;sourceID=14","3.1")</f>
        <v>3.1</v>
      </c>
      <c r="G105" s="4" t="str">
        <f>HYPERLINK("http://141.218.60.56/~jnz1568/getInfo.php?workbook=12_04.xlsx&amp;sheet=U0&amp;row=105&amp;col=7&amp;number=0.00119&amp;sourceID=14","0.00119")</f>
        <v>0.00119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HYPERLINK("http://141.218.60.56/~jnz1568/getInfo.php?workbook=12_04.xlsx&amp;sheet=U0&amp;row=106&amp;col=6&amp;number=3.2&amp;sourceID=14","3.2")</f>
        <v>3.2</v>
      </c>
      <c r="G106" s="4" t="str">
        <f>HYPERLINK("http://141.218.60.56/~jnz1568/getInfo.php?workbook=12_04.xlsx&amp;sheet=U0&amp;row=106&amp;col=7&amp;number=0.00119&amp;sourceID=14","0.00119")</f>
        <v>0.00119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HYPERLINK("http://141.218.60.56/~jnz1568/getInfo.php?workbook=12_04.xlsx&amp;sheet=U0&amp;row=107&amp;col=6&amp;number=3.3&amp;sourceID=14","3.3")</f>
        <v>3.3</v>
      </c>
      <c r="G107" s="4" t="str">
        <f>HYPERLINK("http://141.218.60.56/~jnz1568/getInfo.php?workbook=12_04.xlsx&amp;sheet=U0&amp;row=107&amp;col=7&amp;number=0.00119&amp;sourceID=14","0.00119")</f>
        <v>0.00119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HYPERLINK("http://141.218.60.56/~jnz1568/getInfo.php?workbook=12_04.xlsx&amp;sheet=U0&amp;row=108&amp;col=6&amp;number=3.4&amp;sourceID=14","3.4")</f>
        <v>3.4</v>
      </c>
      <c r="G108" s="4" t="str">
        <f>HYPERLINK("http://141.218.60.56/~jnz1568/getInfo.php?workbook=12_04.xlsx&amp;sheet=U0&amp;row=108&amp;col=7&amp;number=0.00119&amp;sourceID=14","0.00119")</f>
        <v>0.00119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HYPERLINK("http://141.218.60.56/~jnz1568/getInfo.php?workbook=12_04.xlsx&amp;sheet=U0&amp;row=109&amp;col=6&amp;number=3.5&amp;sourceID=14","3.5")</f>
        <v>3.5</v>
      </c>
      <c r="G109" s="4" t="str">
        <f>HYPERLINK("http://141.218.60.56/~jnz1568/getInfo.php?workbook=12_04.xlsx&amp;sheet=U0&amp;row=109&amp;col=7&amp;number=0.00119&amp;sourceID=14","0.00119")</f>
        <v>0.00119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HYPERLINK("http://141.218.60.56/~jnz1568/getInfo.php?workbook=12_04.xlsx&amp;sheet=U0&amp;row=110&amp;col=6&amp;number=3.6&amp;sourceID=14","3.6")</f>
        <v>3.6</v>
      </c>
      <c r="G110" s="4" t="str">
        <f>HYPERLINK("http://141.218.60.56/~jnz1568/getInfo.php?workbook=12_04.xlsx&amp;sheet=U0&amp;row=110&amp;col=7&amp;number=0.00119&amp;sourceID=14","0.00119")</f>
        <v>0.00119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HYPERLINK("http://141.218.60.56/~jnz1568/getInfo.php?workbook=12_04.xlsx&amp;sheet=U0&amp;row=111&amp;col=6&amp;number=3.7&amp;sourceID=14","3.7")</f>
        <v>3.7</v>
      </c>
      <c r="G111" s="4" t="str">
        <f>HYPERLINK("http://141.218.60.56/~jnz1568/getInfo.php?workbook=12_04.xlsx&amp;sheet=U0&amp;row=111&amp;col=7&amp;number=0.00119&amp;sourceID=14","0.00119")</f>
        <v>0.00119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HYPERLINK("http://141.218.60.56/~jnz1568/getInfo.php?workbook=12_04.xlsx&amp;sheet=U0&amp;row=112&amp;col=6&amp;number=3.8&amp;sourceID=14","3.8")</f>
        <v>3.8</v>
      </c>
      <c r="G112" s="4" t="str">
        <f>HYPERLINK("http://141.218.60.56/~jnz1568/getInfo.php?workbook=12_04.xlsx&amp;sheet=U0&amp;row=112&amp;col=7&amp;number=0.00119&amp;sourceID=14","0.00119")</f>
        <v>0.00119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HYPERLINK("http://141.218.60.56/~jnz1568/getInfo.php?workbook=12_04.xlsx&amp;sheet=U0&amp;row=113&amp;col=6&amp;number=3.9&amp;sourceID=14","3.9")</f>
        <v>3.9</v>
      </c>
      <c r="G113" s="4" t="str">
        <f>HYPERLINK("http://141.218.60.56/~jnz1568/getInfo.php?workbook=12_04.xlsx&amp;sheet=U0&amp;row=113&amp;col=7&amp;number=0.00119&amp;sourceID=14","0.00119")</f>
        <v>0.00119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HYPERLINK("http://141.218.60.56/~jnz1568/getInfo.php?workbook=12_04.xlsx&amp;sheet=U0&amp;row=114&amp;col=6&amp;number=4&amp;sourceID=14","4")</f>
        <v>4</v>
      </c>
      <c r="G114" s="4" t="str">
        <f>HYPERLINK("http://141.218.60.56/~jnz1568/getInfo.php?workbook=12_04.xlsx&amp;sheet=U0&amp;row=114&amp;col=7&amp;number=0.00119&amp;sourceID=14","0.00119")</f>
        <v>0.00119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HYPERLINK("http://141.218.60.56/~jnz1568/getInfo.php?workbook=12_04.xlsx&amp;sheet=U0&amp;row=115&amp;col=6&amp;number=4.1&amp;sourceID=14","4.1")</f>
        <v>4.1</v>
      </c>
      <c r="G115" s="4" t="str">
        <f>HYPERLINK("http://141.218.60.56/~jnz1568/getInfo.php?workbook=12_04.xlsx&amp;sheet=U0&amp;row=115&amp;col=7&amp;number=0.00119&amp;sourceID=14","0.00119")</f>
        <v>0.00119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HYPERLINK("http://141.218.60.56/~jnz1568/getInfo.php?workbook=12_04.xlsx&amp;sheet=U0&amp;row=116&amp;col=6&amp;number=4.2&amp;sourceID=14","4.2")</f>
        <v>4.2</v>
      </c>
      <c r="G116" s="4" t="str">
        <f>HYPERLINK("http://141.218.60.56/~jnz1568/getInfo.php?workbook=12_04.xlsx&amp;sheet=U0&amp;row=116&amp;col=7&amp;number=0.00118&amp;sourceID=14","0.00118")</f>
        <v>0.00118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HYPERLINK("http://141.218.60.56/~jnz1568/getInfo.php?workbook=12_04.xlsx&amp;sheet=U0&amp;row=117&amp;col=6&amp;number=4.3&amp;sourceID=14","4.3")</f>
        <v>4.3</v>
      </c>
      <c r="G117" s="4" t="str">
        <f>HYPERLINK("http://141.218.60.56/~jnz1568/getInfo.php?workbook=12_04.xlsx&amp;sheet=U0&amp;row=117&amp;col=7&amp;number=0.00118&amp;sourceID=14","0.00118")</f>
        <v>0.00118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HYPERLINK("http://141.218.60.56/~jnz1568/getInfo.php?workbook=12_04.xlsx&amp;sheet=U0&amp;row=118&amp;col=6&amp;number=4.4&amp;sourceID=14","4.4")</f>
        <v>4.4</v>
      </c>
      <c r="G118" s="4" t="str">
        <f>HYPERLINK("http://141.218.60.56/~jnz1568/getInfo.php?workbook=12_04.xlsx&amp;sheet=U0&amp;row=118&amp;col=7&amp;number=0.00118&amp;sourceID=14","0.00118")</f>
        <v>0.00118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HYPERLINK("http://141.218.60.56/~jnz1568/getInfo.php?workbook=12_04.xlsx&amp;sheet=U0&amp;row=119&amp;col=6&amp;number=4.5&amp;sourceID=14","4.5")</f>
        <v>4.5</v>
      </c>
      <c r="G119" s="4" t="str">
        <f>HYPERLINK("http://141.218.60.56/~jnz1568/getInfo.php?workbook=12_04.xlsx&amp;sheet=U0&amp;row=119&amp;col=7&amp;number=0.00117&amp;sourceID=14","0.00117")</f>
        <v>0.00117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HYPERLINK("http://141.218.60.56/~jnz1568/getInfo.php?workbook=12_04.xlsx&amp;sheet=U0&amp;row=120&amp;col=6&amp;number=4.6&amp;sourceID=14","4.6")</f>
        <v>4.6</v>
      </c>
      <c r="G120" s="4" t="str">
        <f>HYPERLINK("http://141.218.60.56/~jnz1568/getInfo.php?workbook=12_04.xlsx&amp;sheet=U0&amp;row=120&amp;col=7&amp;number=0.00117&amp;sourceID=14","0.00117")</f>
        <v>0.00117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HYPERLINK("http://141.218.60.56/~jnz1568/getInfo.php?workbook=12_04.xlsx&amp;sheet=U0&amp;row=121&amp;col=6&amp;number=4.7&amp;sourceID=14","4.7")</f>
        <v>4.7</v>
      </c>
      <c r="G121" s="4" t="str">
        <f>HYPERLINK("http://141.218.60.56/~jnz1568/getInfo.php?workbook=12_04.xlsx&amp;sheet=U0&amp;row=121&amp;col=7&amp;number=0.00116&amp;sourceID=14","0.00116")</f>
        <v>0.00116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HYPERLINK("http://141.218.60.56/~jnz1568/getInfo.php?workbook=12_04.xlsx&amp;sheet=U0&amp;row=122&amp;col=6&amp;number=4.8&amp;sourceID=14","4.8")</f>
        <v>4.8</v>
      </c>
      <c r="G122" s="4" t="str">
        <f>HYPERLINK("http://141.218.60.56/~jnz1568/getInfo.php?workbook=12_04.xlsx&amp;sheet=U0&amp;row=122&amp;col=7&amp;number=0.00116&amp;sourceID=14","0.00116")</f>
        <v>0.00116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HYPERLINK("http://141.218.60.56/~jnz1568/getInfo.php?workbook=12_04.xlsx&amp;sheet=U0&amp;row=123&amp;col=6&amp;number=4.9&amp;sourceID=14","4.9")</f>
        <v>4.9</v>
      </c>
      <c r="G123" s="4" t="str">
        <f>HYPERLINK("http://141.218.60.56/~jnz1568/getInfo.php?workbook=12_04.xlsx&amp;sheet=U0&amp;row=123&amp;col=7&amp;number=0.00115&amp;sourceID=14","0.00115")</f>
        <v>0.00115</v>
      </c>
    </row>
    <row r="124" spans="1:7">
      <c r="A124" s="3">
        <v>12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HYPERLINK("http://141.218.60.56/~jnz1568/getInfo.php?workbook=12_04.xlsx&amp;sheet=U0&amp;row=124&amp;col=6&amp;number=3&amp;sourceID=14","3")</f>
        <v>3</v>
      </c>
      <c r="G124" s="4" t="str">
        <f>HYPERLINK("http://141.218.60.56/~jnz1568/getInfo.php?workbook=12_04.xlsx&amp;sheet=U0&amp;row=124&amp;col=7&amp;number=0.00178&amp;sourceID=14","0.00178")</f>
        <v>0.00178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HYPERLINK("http://141.218.60.56/~jnz1568/getInfo.php?workbook=12_04.xlsx&amp;sheet=U0&amp;row=125&amp;col=6&amp;number=3.1&amp;sourceID=14","3.1")</f>
        <v>3.1</v>
      </c>
      <c r="G125" s="4" t="str">
        <f>HYPERLINK("http://141.218.60.56/~jnz1568/getInfo.php?workbook=12_04.xlsx&amp;sheet=U0&amp;row=125&amp;col=7&amp;number=0.00179&amp;sourceID=14","0.00179")</f>
        <v>0.00179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HYPERLINK("http://141.218.60.56/~jnz1568/getInfo.php?workbook=12_04.xlsx&amp;sheet=U0&amp;row=126&amp;col=6&amp;number=3.2&amp;sourceID=14","3.2")</f>
        <v>3.2</v>
      </c>
      <c r="G126" s="4" t="str">
        <f>HYPERLINK("http://141.218.60.56/~jnz1568/getInfo.php?workbook=12_04.xlsx&amp;sheet=U0&amp;row=126&amp;col=7&amp;number=0.00179&amp;sourceID=14","0.00179")</f>
        <v>0.00179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HYPERLINK("http://141.218.60.56/~jnz1568/getInfo.php?workbook=12_04.xlsx&amp;sheet=U0&amp;row=127&amp;col=6&amp;number=3.3&amp;sourceID=14","3.3")</f>
        <v>3.3</v>
      </c>
      <c r="G127" s="4" t="str">
        <f>HYPERLINK("http://141.218.60.56/~jnz1568/getInfo.php?workbook=12_04.xlsx&amp;sheet=U0&amp;row=127&amp;col=7&amp;number=0.00179&amp;sourceID=14","0.00179")</f>
        <v>0.00179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HYPERLINK("http://141.218.60.56/~jnz1568/getInfo.php?workbook=12_04.xlsx&amp;sheet=U0&amp;row=128&amp;col=6&amp;number=3.4&amp;sourceID=14","3.4")</f>
        <v>3.4</v>
      </c>
      <c r="G128" s="4" t="str">
        <f>HYPERLINK("http://141.218.60.56/~jnz1568/getInfo.php?workbook=12_04.xlsx&amp;sheet=U0&amp;row=128&amp;col=7&amp;number=0.00179&amp;sourceID=14","0.00179")</f>
        <v>0.00179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HYPERLINK("http://141.218.60.56/~jnz1568/getInfo.php?workbook=12_04.xlsx&amp;sheet=U0&amp;row=129&amp;col=6&amp;number=3.5&amp;sourceID=14","3.5")</f>
        <v>3.5</v>
      </c>
      <c r="G129" s="4" t="str">
        <f>HYPERLINK("http://141.218.60.56/~jnz1568/getInfo.php?workbook=12_04.xlsx&amp;sheet=U0&amp;row=129&amp;col=7&amp;number=0.00179&amp;sourceID=14","0.00179")</f>
        <v>0.00179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HYPERLINK("http://141.218.60.56/~jnz1568/getInfo.php?workbook=12_04.xlsx&amp;sheet=U0&amp;row=130&amp;col=6&amp;number=3.6&amp;sourceID=14","3.6")</f>
        <v>3.6</v>
      </c>
      <c r="G130" s="4" t="str">
        <f>HYPERLINK("http://141.218.60.56/~jnz1568/getInfo.php?workbook=12_04.xlsx&amp;sheet=U0&amp;row=130&amp;col=7&amp;number=0.00179&amp;sourceID=14","0.00179")</f>
        <v>0.00179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HYPERLINK("http://141.218.60.56/~jnz1568/getInfo.php?workbook=12_04.xlsx&amp;sheet=U0&amp;row=131&amp;col=6&amp;number=3.7&amp;sourceID=14","3.7")</f>
        <v>3.7</v>
      </c>
      <c r="G131" s="4" t="str">
        <f>HYPERLINK("http://141.218.60.56/~jnz1568/getInfo.php?workbook=12_04.xlsx&amp;sheet=U0&amp;row=131&amp;col=7&amp;number=0.00179&amp;sourceID=14","0.00179")</f>
        <v>0.00179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HYPERLINK("http://141.218.60.56/~jnz1568/getInfo.php?workbook=12_04.xlsx&amp;sheet=U0&amp;row=132&amp;col=6&amp;number=3.8&amp;sourceID=14","3.8")</f>
        <v>3.8</v>
      </c>
      <c r="G132" s="4" t="str">
        <f>HYPERLINK("http://141.218.60.56/~jnz1568/getInfo.php?workbook=12_04.xlsx&amp;sheet=U0&amp;row=132&amp;col=7&amp;number=0.00179&amp;sourceID=14","0.00179")</f>
        <v>0.00179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HYPERLINK("http://141.218.60.56/~jnz1568/getInfo.php?workbook=12_04.xlsx&amp;sheet=U0&amp;row=133&amp;col=6&amp;number=3.9&amp;sourceID=14","3.9")</f>
        <v>3.9</v>
      </c>
      <c r="G133" s="4" t="str">
        <f>HYPERLINK("http://141.218.60.56/~jnz1568/getInfo.php?workbook=12_04.xlsx&amp;sheet=U0&amp;row=133&amp;col=7&amp;number=0.00179&amp;sourceID=14","0.00179")</f>
        <v>0.00179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HYPERLINK("http://141.218.60.56/~jnz1568/getInfo.php?workbook=12_04.xlsx&amp;sheet=U0&amp;row=134&amp;col=6&amp;number=4&amp;sourceID=14","4")</f>
        <v>4</v>
      </c>
      <c r="G134" s="4" t="str">
        <f>HYPERLINK("http://141.218.60.56/~jnz1568/getInfo.php?workbook=12_04.xlsx&amp;sheet=U0&amp;row=134&amp;col=7&amp;number=0.00179&amp;sourceID=14","0.00179")</f>
        <v>0.00179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HYPERLINK("http://141.218.60.56/~jnz1568/getInfo.php?workbook=12_04.xlsx&amp;sheet=U0&amp;row=135&amp;col=6&amp;number=4.1&amp;sourceID=14","4.1")</f>
        <v>4.1</v>
      </c>
      <c r="G135" s="4" t="str">
        <f>HYPERLINK("http://141.218.60.56/~jnz1568/getInfo.php?workbook=12_04.xlsx&amp;sheet=U0&amp;row=135&amp;col=7&amp;number=0.0018&amp;sourceID=14","0.0018")</f>
        <v>0.0018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HYPERLINK("http://141.218.60.56/~jnz1568/getInfo.php?workbook=12_04.xlsx&amp;sheet=U0&amp;row=136&amp;col=6&amp;number=4.2&amp;sourceID=14","4.2")</f>
        <v>4.2</v>
      </c>
      <c r="G136" s="4" t="str">
        <f>HYPERLINK("http://141.218.60.56/~jnz1568/getInfo.php?workbook=12_04.xlsx&amp;sheet=U0&amp;row=136&amp;col=7&amp;number=0.0018&amp;sourceID=14","0.0018")</f>
        <v>0.0018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HYPERLINK("http://141.218.60.56/~jnz1568/getInfo.php?workbook=12_04.xlsx&amp;sheet=U0&amp;row=137&amp;col=6&amp;number=4.3&amp;sourceID=14","4.3")</f>
        <v>4.3</v>
      </c>
      <c r="G137" s="4" t="str">
        <f>HYPERLINK("http://141.218.60.56/~jnz1568/getInfo.php?workbook=12_04.xlsx&amp;sheet=U0&amp;row=137&amp;col=7&amp;number=0.0018&amp;sourceID=14","0.0018")</f>
        <v>0.0018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HYPERLINK("http://141.218.60.56/~jnz1568/getInfo.php?workbook=12_04.xlsx&amp;sheet=U0&amp;row=138&amp;col=6&amp;number=4.4&amp;sourceID=14","4.4")</f>
        <v>4.4</v>
      </c>
      <c r="G138" s="4" t="str">
        <f>HYPERLINK("http://141.218.60.56/~jnz1568/getInfo.php?workbook=12_04.xlsx&amp;sheet=U0&amp;row=138&amp;col=7&amp;number=0.00181&amp;sourceID=14","0.00181")</f>
        <v>0.00181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HYPERLINK("http://141.218.60.56/~jnz1568/getInfo.php?workbook=12_04.xlsx&amp;sheet=U0&amp;row=139&amp;col=6&amp;number=4.5&amp;sourceID=14","4.5")</f>
        <v>4.5</v>
      </c>
      <c r="G139" s="4" t="str">
        <f>HYPERLINK("http://141.218.60.56/~jnz1568/getInfo.php?workbook=12_04.xlsx&amp;sheet=U0&amp;row=139&amp;col=7&amp;number=0.00181&amp;sourceID=14","0.00181")</f>
        <v>0.00181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HYPERLINK("http://141.218.60.56/~jnz1568/getInfo.php?workbook=12_04.xlsx&amp;sheet=U0&amp;row=140&amp;col=6&amp;number=4.6&amp;sourceID=14","4.6")</f>
        <v>4.6</v>
      </c>
      <c r="G140" s="4" t="str">
        <f>HYPERLINK("http://141.218.60.56/~jnz1568/getInfo.php?workbook=12_04.xlsx&amp;sheet=U0&amp;row=140&amp;col=7&amp;number=0.00182&amp;sourceID=14","0.00182")</f>
        <v>0.00182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HYPERLINK("http://141.218.60.56/~jnz1568/getInfo.php?workbook=12_04.xlsx&amp;sheet=U0&amp;row=141&amp;col=6&amp;number=4.7&amp;sourceID=14","4.7")</f>
        <v>4.7</v>
      </c>
      <c r="G141" s="4" t="str">
        <f>HYPERLINK("http://141.218.60.56/~jnz1568/getInfo.php?workbook=12_04.xlsx&amp;sheet=U0&amp;row=141&amp;col=7&amp;number=0.00183&amp;sourceID=14","0.00183")</f>
        <v>0.00183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HYPERLINK("http://141.218.60.56/~jnz1568/getInfo.php?workbook=12_04.xlsx&amp;sheet=U0&amp;row=142&amp;col=6&amp;number=4.8&amp;sourceID=14","4.8")</f>
        <v>4.8</v>
      </c>
      <c r="G142" s="4" t="str">
        <f>HYPERLINK("http://141.218.60.56/~jnz1568/getInfo.php?workbook=12_04.xlsx&amp;sheet=U0&amp;row=142&amp;col=7&amp;number=0.00184&amp;sourceID=14","0.00184")</f>
        <v>0.00184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HYPERLINK("http://141.218.60.56/~jnz1568/getInfo.php?workbook=12_04.xlsx&amp;sheet=U0&amp;row=143&amp;col=6&amp;number=4.9&amp;sourceID=14","4.9")</f>
        <v>4.9</v>
      </c>
      <c r="G143" s="4" t="str">
        <f>HYPERLINK("http://141.218.60.56/~jnz1568/getInfo.php?workbook=12_04.xlsx&amp;sheet=U0&amp;row=143&amp;col=7&amp;number=0.00186&amp;sourceID=14","0.00186")</f>
        <v>0.00186</v>
      </c>
    </row>
    <row r="144" spans="1:7">
      <c r="A144" s="3">
        <v>12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HYPERLINK("http://141.218.60.56/~jnz1568/getInfo.php?workbook=12_04.xlsx&amp;sheet=U0&amp;row=144&amp;col=6&amp;number=3&amp;sourceID=14","3")</f>
        <v>3</v>
      </c>
      <c r="G144" s="4" t="str">
        <f>HYPERLINK("http://141.218.60.56/~jnz1568/getInfo.php?workbook=12_04.xlsx&amp;sheet=U0&amp;row=144&amp;col=7&amp;number=0.0194&amp;sourceID=14","0.0194")</f>
        <v>0.0194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HYPERLINK("http://141.218.60.56/~jnz1568/getInfo.php?workbook=12_04.xlsx&amp;sheet=U0&amp;row=145&amp;col=6&amp;number=3.1&amp;sourceID=14","3.1")</f>
        <v>3.1</v>
      </c>
      <c r="G145" s="4" t="str">
        <f>HYPERLINK("http://141.218.60.56/~jnz1568/getInfo.php?workbook=12_04.xlsx&amp;sheet=U0&amp;row=145&amp;col=7&amp;number=0.0194&amp;sourceID=14","0.0194")</f>
        <v>0.0194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HYPERLINK("http://141.218.60.56/~jnz1568/getInfo.php?workbook=12_04.xlsx&amp;sheet=U0&amp;row=146&amp;col=6&amp;number=3.2&amp;sourceID=14","3.2")</f>
        <v>3.2</v>
      </c>
      <c r="G146" s="4" t="str">
        <f>HYPERLINK("http://141.218.60.56/~jnz1568/getInfo.php?workbook=12_04.xlsx&amp;sheet=U0&amp;row=146&amp;col=7&amp;number=0.0194&amp;sourceID=14","0.0194")</f>
        <v>0.0194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HYPERLINK("http://141.218.60.56/~jnz1568/getInfo.php?workbook=12_04.xlsx&amp;sheet=U0&amp;row=147&amp;col=6&amp;number=3.3&amp;sourceID=14","3.3")</f>
        <v>3.3</v>
      </c>
      <c r="G147" s="4" t="str">
        <f>HYPERLINK("http://141.218.60.56/~jnz1568/getInfo.php?workbook=12_04.xlsx&amp;sheet=U0&amp;row=147&amp;col=7&amp;number=0.0194&amp;sourceID=14","0.0194")</f>
        <v>0.0194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HYPERLINK("http://141.218.60.56/~jnz1568/getInfo.php?workbook=12_04.xlsx&amp;sheet=U0&amp;row=148&amp;col=6&amp;number=3.4&amp;sourceID=14","3.4")</f>
        <v>3.4</v>
      </c>
      <c r="G148" s="4" t="str">
        <f>HYPERLINK("http://141.218.60.56/~jnz1568/getInfo.php?workbook=12_04.xlsx&amp;sheet=U0&amp;row=148&amp;col=7&amp;number=0.0194&amp;sourceID=14","0.0194")</f>
        <v>0.0194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HYPERLINK("http://141.218.60.56/~jnz1568/getInfo.php?workbook=12_04.xlsx&amp;sheet=U0&amp;row=149&amp;col=6&amp;number=3.5&amp;sourceID=14","3.5")</f>
        <v>3.5</v>
      </c>
      <c r="G149" s="4" t="str">
        <f>HYPERLINK("http://141.218.60.56/~jnz1568/getInfo.php?workbook=12_04.xlsx&amp;sheet=U0&amp;row=149&amp;col=7&amp;number=0.0194&amp;sourceID=14","0.0194")</f>
        <v>0.0194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HYPERLINK("http://141.218.60.56/~jnz1568/getInfo.php?workbook=12_04.xlsx&amp;sheet=U0&amp;row=150&amp;col=6&amp;number=3.6&amp;sourceID=14","3.6")</f>
        <v>3.6</v>
      </c>
      <c r="G150" s="4" t="str">
        <f>HYPERLINK("http://141.218.60.56/~jnz1568/getInfo.php?workbook=12_04.xlsx&amp;sheet=U0&amp;row=150&amp;col=7&amp;number=0.0194&amp;sourceID=14","0.0194")</f>
        <v>0.0194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HYPERLINK("http://141.218.60.56/~jnz1568/getInfo.php?workbook=12_04.xlsx&amp;sheet=U0&amp;row=151&amp;col=6&amp;number=3.7&amp;sourceID=14","3.7")</f>
        <v>3.7</v>
      </c>
      <c r="G151" s="4" t="str">
        <f>HYPERLINK("http://141.218.60.56/~jnz1568/getInfo.php?workbook=12_04.xlsx&amp;sheet=U0&amp;row=151&amp;col=7&amp;number=0.0194&amp;sourceID=14","0.0194")</f>
        <v>0.0194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HYPERLINK("http://141.218.60.56/~jnz1568/getInfo.php?workbook=12_04.xlsx&amp;sheet=U0&amp;row=152&amp;col=6&amp;number=3.8&amp;sourceID=14","3.8")</f>
        <v>3.8</v>
      </c>
      <c r="G152" s="4" t="str">
        <f>HYPERLINK("http://141.218.60.56/~jnz1568/getInfo.php?workbook=12_04.xlsx&amp;sheet=U0&amp;row=152&amp;col=7&amp;number=0.0195&amp;sourceID=14","0.0195")</f>
        <v>0.0195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HYPERLINK("http://141.218.60.56/~jnz1568/getInfo.php?workbook=12_04.xlsx&amp;sheet=U0&amp;row=153&amp;col=6&amp;number=3.9&amp;sourceID=14","3.9")</f>
        <v>3.9</v>
      </c>
      <c r="G153" s="4" t="str">
        <f>HYPERLINK("http://141.218.60.56/~jnz1568/getInfo.php?workbook=12_04.xlsx&amp;sheet=U0&amp;row=153&amp;col=7&amp;number=0.0195&amp;sourceID=14","0.0195")</f>
        <v>0.0195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HYPERLINK("http://141.218.60.56/~jnz1568/getInfo.php?workbook=12_04.xlsx&amp;sheet=U0&amp;row=154&amp;col=6&amp;number=4&amp;sourceID=14","4")</f>
        <v>4</v>
      </c>
      <c r="G154" s="4" t="str">
        <f>HYPERLINK("http://141.218.60.56/~jnz1568/getInfo.php?workbook=12_04.xlsx&amp;sheet=U0&amp;row=154&amp;col=7&amp;number=0.0195&amp;sourceID=14","0.0195")</f>
        <v>0.0195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HYPERLINK("http://141.218.60.56/~jnz1568/getInfo.php?workbook=12_04.xlsx&amp;sheet=U0&amp;row=155&amp;col=6&amp;number=4.1&amp;sourceID=14","4.1")</f>
        <v>4.1</v>
      </c>
      <c r="G155" s="4" t="str">
        <f>HYPERLINK("http://141.218.60.56/~jnz1568/getInfo.php?workbook=12_04.xlsx&amp;sheet=U0&amp;row=155&amp;col=7&amp;number=0.0195&amp;sourceID=14","0.0195")</f>
        <v>0.0195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HYPERLINK("http://141.218.60.56/~jnz1568/getInfo.php?workbook=12_04.xlsx&amp;sheet=U0&amp;row=156&amp;col=6&amp;number=4.2&amp;sourceID=14","4.2")</f>
        <v>4.2</v>
      </c>
      <c r="G156" s="4" t="str">
        <f>HYPERLINK("http://141.218.60.56/~jnz1568/getInfo.php?workbook=12_04.xlsx&amp;sheet=U0&amp;row=156&amp;col=7&amp;number=0.0195&amp;sourceID=14","0.0195")</f>
        <v>0.0195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HYPERLINK("http://141.218.60.56/~jnz1568/getInfo.php?workbook=12_04.xlsx&amp;sheet=U0&amp;row=157&amp;col=6&amp;number=4.3&amp;sourceID=14","4.3")</f>
        <v>4.3</v>
      </c>
      <c r="G157" s="4" t="str">
        <f>HYPERLINK("http://141.218.60.56/~jnz1568/getInfo.php?workbook=12_04.xlsx&amp;sheet=U0&amp;row=157&amp;col=7&amp;number=0.0195&amp;sourceID=14","0.0195")</f>
        <v>0.0195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HYPERLINK("http://141.218.60.56/~jnz1568/getInfo.php?workbook=12_04.xlsx&amp;sheet=U0&amp;row=158&amp;col=6&amp;number=4.4&amp;sourceID=14","4.4")</f>
        <v>4.4</v>
      </c>
      <c r="G158" s="4" t="str">
        <f>HYPERLINK("http://141.218.60.56/~jnz1568/getInfo.php?workbook=12_04.xlsx&amp;sheet=U0&amp;row=158&amp;col=7&amp;number=0.0195&amp;sourceID=14","0.0195")</f>
        <v>0.0195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HYPERLINK("http://141.218.60.56/~jnz1568/getInfo.php?workbook=12_04.xlsx&amp;sheet=U0&amp;row=159&amp;col=6&amp;number=4.5&amp;sourceID=14","4.5")</f>
        <v>4.5</v>
      </c>
      <c r="G159" s="4" t="str">
        <f>HYPERLINK("http://141.218.60.56/~jnz1568/getInfo.php?workbook=12_04.xlsx&amp;sheet=U0&amp;row=159&amp;col=7&amp;number=0.0195&amp;sourceID=14","0.0195")</f>
        <v>0.0195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HYPERLINK("http://141.218.60.56/~jnz1568/getInfo.php?workbook=12_04.xlsx&amp;sheet=U0&amp;row=160&amp;col=6&amp;number=4.6&amp;sourceID=14","4.6")</f>
        <v>4.6</v>
      </c>
      <c r="G160" s="4" t="str">
        <f>HYPERLINK("http://141.218.60.56/~jnz1568/getInfo.php?workbook=12_04.xlsx&amp;sheet=U0&amp;row=160&amp;col=7&amp;number=0.0196&amp;sourceID=14","0.0196")</f>
        <v>0.0196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HYPERLINK("http://141.218.60.56/~jnz1568/getInfo.php?workbook=12_04.xlsx&amp;sheet=U0&amp;row=161&amp;col=6&amp;number=4.7&amp;sourceID=14","4.7")</f>
        <v>4.7</v>
      </c>
      <c r="G161" s="4" t="str">
        <f>HYPERLINK("http://141.218.60.56/~jnz1568/getInfo.php?workbook=12_04.xlsx&amp;sheet=U0&amp;row=161&amp;col=7&amp;number=0.0196&amp;sourceID=14","0.0196")</f>
        <v>0.0196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HYPERLINK("http://141.218.60.56/~jnz1568/getInfo.php?workbook=12_04.xlsx&amp;sheet=U0&amp;row=162&amp;col=6&amp;number=4.8&amp;sourceID=14","4.8")</f>
        <v>4.8</v>
      </c>
      <c r="G162" s="4" t="str">
        <f>HYPERLINK("http://141.218.60.56/~jnz1568/getInfo.php?workbook=12_04.xlsx&amp;sheet=U0&amp;row=162&amp;col=7&amp;number=0.0196&amp;sourceID=14","0.0196")</f>
        <v>0.0196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HYPERLINK("http://141.218.60.56/~jnz1568/getInfo.php?workbook=12_04.xlsx&amp;sheet=U0&amp;row=163&amp;col=6&amp;number=4.9&amp;sourceID=14","4.9")</f>
        <v>4.9</v>
      </c>
      <c r="G163" s="4" t="str">
        <f>HYPERLINK("http://141.218.60.56/~jnz1568/getInfo.php?workbook=12_04.xlsx&amp;sheet=U0&amp;row=163&amp;col=7&amp;number=0.0197&amp;sourceID=14","0.0197")</f>
        <v>0.0197</v>
      </c>
    </row>
    <row r="164" spans="1:7">
      <c r="A164" s="3">
        <v>12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HYPERLINK("http://141.218.60.56/~jnz1568/getInfo.php?workbook=12_04.xlsx&amp;sheet=U0&amp;row=164&amp;col=6&amp;number=3&amp;sourceID=14","3")</f>
        <v>3</v>
      </c>
      <c r="G164" s="4" t="str">
        <f>HYPERLINK("http://141.218.60.56/~jnz1568/getInfo.php?workbook=12_04.xlsx&amp;sheet=U0&amp;row=164&amp;col=7&amp;number=0.00632&amp;sourceID=14","0.00632")</f>
        <v>0.00632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HYPERLINK("http://141.218.60.56/~jnz1568/getInfo.php?workbook=12_04.xlsx&amp;sheet=U0&amp;row=165&amp;col=6&amp;number=3.1&amp;sourceID=14","3.1")</f>
        <v>3.1</v>
      </c>
      <c r="G165" s="4" t="str">
        <f>HYPERLINK("http://141.218.60.56/~jnz1568/getInfo.php?workbook=12_04.xlsx&amp;sheet=U0&amp;row=165&amp;col=7&amp;number=0.00633&amp;sourceID=14","0.00633")</f>
        <v>0.00633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HYPERLINK("http://141.218.60.56/~jnz1568/getInfo.php?workbook=12_04.xlsx&amp;sheet=U0&amp;row=166&amp;col=6&amp;number=3.2&amp;sourceID=14","3.2")</f>
        <v>3.2</v>
      </c>
      <c r="G166" s="4" t="str">
        <f>HYPERLINK("http://141.218.60.56/~jnz1568/getInfo.php?workbook=12_04.xlsx&amp;sheet=U0&amp;row=166&amp;col=7&amp;number=0.00633&amp;sourceID=14","0.00633")</f>
        <v>0.00633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HYPERLINK("http://141.218.60.56/~jnz1568/getInfo.php?workbook=12_04.xlsx&amp;sheet=U0&amp;row=167&amp;col=6&amp;number=3.3&amp;sourceID=14","3.3")</f>
        <v>3.3</v>
      </c>
      <c r="G167" s="4" t="str">
        <f>HYPERLINK("http://141.218.60.56/~jnz1568/getInfo.php?workbook=12_04.xlsx&amp;sheet=U0&amp;row=167&amp;col=7&amp;number=0.00633&amp;sourceID=14","0.00633")</f>
        <v>0.00633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HYPERLINK("http://141.218.60.56/~jnz1568/getInfo.php?workbook=12_04.xlsx&amp;sheet=U0&amp;row=168&amp;col=6&amp;number=3.4&amp;sourceID=14","3.4")</f>
        <v>3.4</v>
      </c>
      <c r="G168" s="4" t="str">
        <f>HYPERLINK("http://141.218.60.56/~jnz1568/getInfo.php?workbook=12_04.xlsx&amp;sheet=U0&amp;row=168&amp;col=7&amp;number=0.00633&amp;sourceID=14","0.00633")</f>
        <v>0.00633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HYPERLINK("http://141.218.60.56/~jnz1568/getInfo.php?workbook=12_04.xlsx&amp;sheet=U0&amp;row=169&amp;col=6&amp;number=3.5&amp;sourceID=14","3.5")</f>
        <v>3.5</v>
      </c>
      <c r="G169" s="4" t="str">
        <f>HYPERLINK("http://141.218.60.56/~jnz1568/getInfo.php?workbook=12_04.xlsx&amp;sheet=U0&amp;row=169&amp;col=7&amp;number=0.00634&amp;sourceID=14","0.00634")</f>
        <v>0.00634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HYPERLINK("http://141.218.60.56/~jnz1568/getInfo.php?workbook=12_04.xlsx&amp;sheet=U0&amp;row=170&amp;col=6&amp;number=3.6&amp;sourceID=14","3.6")</f>
        <v>3.6</v>
      </c>
      <c r="G170" s="4" t="str">
        <f>HYPERLINK("http://141.218.60.56/~jnz1568/getInfo.php?workbook=12_04.xlsx&amp;sheet=U0&amp;row=170&amp;col=7&amp;number=0.00634&amp;sourceID=14","0.00634")</f>
        <v>0.00634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HYPERLINK("http://141.218.60.56/~jnz1568/getInfo.php?workbook=12_04.xlsx&amp;sheet=U0&amp;row=171&amp;col=6&amp;number=3.7&amp;sourceID=14","3.7")</f>
        <v>3.7</v>
      </c>
      <c r="G171" s="4" t="str">
        <f>HYPERLINK("http://141.218.60.56/~jnz1568/getInfo.php?workbook=12_04.xlsx&amp;sheet=U0&amp;row=171&amp;col=7&amp;number=0.00635&amp;sourceID=14","0.00635")</f>
        <v>0.00635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HYPERLINK("http://141.218.60.56/~jnz1568/getInfo.php?workbook=12_04.xlsx&amp;sheet=U0&amp;row=172&amp;col=6&amp;number=3.8&amp;sourceID=14","3.8")</f>
        <v>3.8</v>
      </c>
      <c r="G172" s="4" t="str">
        <f>HYPERLINK("http://141.218.60.56/~jnz1568/getInfo.php?workbook=12_04.xlsx&amp;sheet=U0&amp;row=172&amp;col=7&amp;number=0.00636&amp;sourceID=14","0.00636")</f>
        <v>0.00636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HYPERLINK("http://141.218.60.56/~jnz1568/getInfo.php?workbook=12_04.xlsx&amp;sheet=U0&amp;row=173&amp;col=6&amp;number=3.9&amp;sourceID=14","3.9")</f>
        <v>3.9</v>
      </c>
      <c r="G173" s="4" t="str">
        <f>HYPERLINK("http://141.218.60.56/~jnz1568/getInfo.php?workbook=12_04.xlsx&amp;sheet=U0&amp;row=173&amp;col=7&amp;number=0.00637&amp;sourceID=14","0.00637")</f>
        <v>0.00637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HYPERLINK("http://141.218.60.56/~jnz1568/getInfo.php?workbook=12_04.xlsx&amp;sheet=U0&amp;row=174&amp;col=6&amp;number=4&amp;sourceID=14","4")</f>
        <v>4</v>
      </c>
      <c r="G174" s="4" t="str">
        <f>HYPERLINK("http://141.218.60.56/~jnz1568/getInfo.php?workbook=12_04.xlsx&amp;sheet=U0&amp;row=174&amp;col=7&amp;number=0.00639&amp;sourceID=14","0.00639")</f>
        <v>0.00639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HYPERLINK("http://141.218.60.56/~jnz1568/getInfo.php?workbook=12_04.xlsx&amp;sheet=U0&amp;row=175&amp;col=6&amp;number=4.1&amp;sourceID=14","4.1")</f>
        <v>4.1</v>
      </c>
      <c r="G175" s="4" t="str">
        <f>HYPERLINK("http://141.218.60.56/~jnz1568/getInfo.php?workbook=12_04.xlsx&amp;sheet=U0&amp;row=175&amp;col=7&amp;number=0.0064&amp;sourceID=14","0.0064")</f>
        <v>0.0064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HYPERLINK("http://141.218.60.56/~jnz1568/getInfo.php?workbook=12_04.xlsx&amp;sheet=U0&amp;row=176&amp;col=6&amp;number=4.2&amp;sourceID=14","4.2")</f>
        <v>4.2</v>
      </c>
      <c r="G176" s="4" t="str">
        <f>HYPERLINK("http://141.218.60.56/~jnz1568/getInfo.php?workbook=12_04.xlsx&amp;sheet=U0&amp;row=176&amp;col=7&amp;number=0.00643&amp;sourceID=14","0.00643")</f>
        <v>0.00643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HYPERLINK("http://141.218.60.56/~jnz1568/getInfo.php?workbook=12_04.xlsx&amp;sheet=U0&amp;row=177&amp;col=6&amp;number=4.3&amp;sourceID=14","4.3")</f>
        <v>4.3</v>
      </c>
      <c r="G177" s="4" t="str">
        <f>HYPERLINK("http://141.218.60.56/~jnz1568/getInfo.php?workbook=12_04.xlsx&amp;sheet=U0&amp;row=177&amp;col=7&amp;number=0.00645&amp;sourceID=14","0.00645")</f>
        <v>0.00645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HYPERLINK("http://141.218.60.56/~jnz1568/getInfo.php?workbook=12_04.xlsx&amp;sheet=U0&amp;row=178&amp;col=6&amp;number=4.4&amp;sourceID=14","4.4")</f>
        <v>4.4</v>
      </c>
      <c r="G178" s="4" t="str">
        <f>HYPERLINK("http://141.218.60.56/~jnz1568/getInfo.php?workbook=12_04.xlsx&amp;sheet=U0&amp;row=178&amp;col=7&amp;number=0.00649&amp;sourceID=14","0.00649")</f>
        <v>0.00649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HYPERLINK("http://141.218.60.56/~jnz1568/getInfo.php?workbook=12_04.xlsx&amp;sheet=U0&amp;row=179&amp;col=6&amp;number=4.5&amp;sourceID=14","4.5")</f>
        <v>4.5</v>
      </c>
      <c r="G179" s="4" t="str">
        <f>HYPERLINK("http://141.218.60.56/~jnz1568/getInfo.php?workbook=12_04.xlsx&amp;sheet=U0&amp;row=179&amp;col=7&amp;number=0.00653&amp;sourceID=14","0.00653")</f>
        <v>0.00653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HYPERLINK("http://141.218.60.56/~jnz1568/getInfo.php?workbook=12_04.xlsx&amp;sheet=U0&amp;row=180&amp;col=6&amp;number=4.6&amp;sourceID=14","4.6")</f>
        <v>4.6</v>
      </c>
      <c r="G180" s="4" t="str">
        <f>HYPERLINK("http://141.218.60.56/~jnz1568/getInfo.php?workbook=12_04.xlsx&amp;sheet=U0&amp;row=180&amp;col=7&amp;number=0.00659&amp;sourceID=14","0.00659")</f>
        <v>0.00659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HYPERLINK("http://141.218.60.56/~jnz1568/getInfo.php?workbook=12_04.xlsx&amp;sheet=U0&amp;row=181&amp;col=6&amp;number=4.7&amp;sourceID=14","4.7")</f>
        <v>4.7</v>
      </c>
      <c r="G181" s="4" t="str">
        <f>HYPERLINK("http://141.218.60.56/~jnz1568/getInfo.php?workbook=12_04.xlsx&amp;sheet=U0&amp;row=181&amp;col=7&amp;number=0.00665&amp;sourceID=14","0.00665")</f>
        <v>0.00665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HYPERLINK("http://141.218.60.56/~jnz1568/getInfo.php?workbook=12_04.xlsx&amp;sheet=U0&amp;row=182&amp;col=6&amp;number=4.8&amp;sourceID=14","4.8")</f>
        <v>4.8</v>
      </c>
      <c r="G182" s="4" t="str">
        <f>HYPERLINK("http://141.218.60.56/~jnz1568/getInfo.php?workbook=12_04.xlsx&amp;sheet=U0&amp;row=182&amp;col=7&amp;number=0.00674&amp;sourceID=14","0.00674")</f>
        <v>0.00674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HYPERLINK("http://141.218.60.56/~jnz1568/getInfo.php?workbook=12_04.xlsx&amp;sheet=U0&amp;row=183&amp;col=6&amp;number=4.9&amp;sourceID=14","4.9")</f>
        <v>4.9</v>
      </c>
      <c r="G183" s="4" t="str">
        <f>HYPERLINK("http://141.218.60.56/~jnz1568/getInfo.php?workbook=12_04.xlsx&amp;sheet=U0&amp;row=183&amp;col=7&amp;number=0.00684&amp;sourceID=14","0.00684")</f>
        <v>0.00684</v>
      </c>
    </row>
    <row r="184" spans="1:7">
      <c r="A184" s="3">
        <v>12</v>
      </c>
      <c r="B184" s="3">
        <v>4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HYPERLINK("http://141.218.60.56/~jnz1568/getInfo.php?workbook=12_04.xlsx&amp;sheet=U0&amp;row=184&amp;col=6&amp;number=3&amp;sourceID=14","3")</f>
        <v>3</v>
      </c>
      <c r="G184" s="4" t="str">
        <f>HYPERLINK("http://141.218.60.56/~jnz1568/getInfo.php?workbook=12_04.xlsx&amp;sheet=U0&amp;row=184&amp;col=7&amp;number=0.0692&amp;sourceID=14","0.0692")</f>
        <v>0.0692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HYPERLINK("http://141.218.60.56/~jnz1568/getInfo.php?workbook=12_04.xlsx&amp;sheet=U0&amp;row=185&amp;col=6&amp;number=3.1&amp;sourceID=14","3.1")</f>
        <v>3.1</v>
      </c>
      <c r="G185" s="4" t="str">
        <f>HYPERLINK("http://141.218.60.56/~jnz1568/getInfo.php?workbook=12_04.xlsx&amp;sheet=U0&amp;row=185&amp;col=7&amp;number=0.0691&amp;sourceID=14","0.0691")</f>
        <v>0.0691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HYPERLINK("http://141.218.60.56/~jnz1568/getInfo.php?workbook=12_04.xlsx&amp;sheet=U0&amp;row=186&amp;col=6&amp;number=3.2&amp;sourceID=14","3.2")</f>
        <v>3.2</v>
      </c>
      <c r="G186" s="4" t="str">
        <f>HYPERLINK("http://141.218.60.56/~jnz1568/getInfo.php?workbook=12_04.xlsx&amp;sheet=U0&amp;row=186&amp;col=7&amp;number=0.0691&amp;sourceID=14","0.0691")</f>
        <v>0.0691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HYPERLINK("http://141.218.60.56/~jnz1568/getInfo.php?workbook=12_04.xlsx&amp;sheet=U0&amp;row=187&amp;col=6&amp;number=3.3&amp;sourceID=14","3.3")</f>
        <v>3.3</v>
      </c>
      <c r="G187" s="4" t="str">
        <f>HYPERLINK("http://141.218.60.56/~jnz1568/getInfo.php?workbook=12_04.xlsx&amp;sheet=U0&amp;row=187&amp;col=7&amp;number=0.069&amp;sourceID=14","0.069")</f>
        <v>0.069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HYPERLINK("http://141.218.60.56/~jnz1568/getInfo.php?workbook=12_04.xlsx&amp;sheet=U0&amp;row=188&amp;col=6&amp;number=3.4&amp;sourceID=14","3.4")</f>
        <v>3.4</v>
      </c>
      <c r="G188" s="4" t="str">
        <f>HYPERLINK("http://141.218.60.56/~jnz1568/getInfo.php?workbook=12_04.xlsx&amp;sheet=U0&amp;row=188&amp;col=7&amp;number=0.0688&amp;sourceID=14","0.0688")</f>
        <v>0.0688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HYPERLINK("http://141.218.60.56/~jnz1568/getInfo.php?workbook=12_04.xlsx&amp;sheet=U0&amp;row=189&amp;col=6&amp;number=3.5&amp;sourceID=14","3.5")</f>
        <v>3.5</v>
      </c>
      <c r="G189" s="4" t="str">
        <f>HYPERLINK("http://141.218.60.56/~jnz1568/getInfo.php?workbook=12_04.xlsx&amp;sheet=U0&amp;row=189&amp;col=7&amp;number=0.0687&amp;sourceID=14","0.0687")</f>
        <v>0.0687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HYPERLINK("http://141.218.60.56/~jnz1568/getInfo.php?workbook=12_04.xlsx&amp;sheet=U0&amp;row=190&amp;col=6&amp;number=3.6&amp;sourceID=14","3.6")</f>
        <v>3.6</v>
      </c>
      <c r="G190" s="4" t="str">
        <f>HYPERLINK("http://141.218.60.56/~jnz1568/getInfo.php?workbook=12_04.xlsx&amp;sheet=U0&amp;row=190&amp;col=7&amp;number=0.0685&amp;sourceID=14","0.0685")</f>
        <v>0.0685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HYPERLINK("http://141.218.60.56/~jnz1568/getInfo.php?workbook=12_04.xlsx&amp;sheet=U0&amp;row=191&amp;col=6&amp;number=3.7&amp;sourceID=14","3.7")</f>
        <v>3.7</v>
      </c>
      <c r="G191" s="4" t="str">
        <f>HYPERLINK("http://141.218.60.56/~jnz1568/getInfo.php?workbook=12_04.xlsx&amp;sheet=U0&amp;row=191&amp;col=7&amp;number=0.0682&amp;sourceID=14","0.0682")</f>
        <v>0.0682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HYPERLINK("http://141.218.60.56/~jnz1568/getInfo.php?workbook=12_04.xlsx&amp;sheet=U0&amp;row=192&amp;col=6&amp;number=3.8&amp;sourceID=14","3.8")</f>
        <v>3.8</v>
      </c>
      <c r="G192" s="4" t="str">
        <f>HYPERLINK("http://141.218.60.56/~jnz1568/getInfo.php?workbook=12_04.xlsx&amp;sheet=U0&amp;row=192&amp;col=7&amp;number=0.0679&amp;sourceID=14","0.0679")</f>
        <v>0.0679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HYPERLINK("http://141.218.60.56/~jnz1568/getInfo.php?workbook=12_04.xlsx&amp;sheet=U0&amp;row=193&amp;col=6&amp;number=3.9&amp;sourceID=14","3.9")</f>
        <v>3.9</v>
      </c>
      <c r="G193" s="4" t="str">
        <f>HYPERLINK("http://141.218.60.56/~jnz1568/getInfo.php?workbook=12_04.xlsx&amp;sheet=U0&amp;row=193&amp;col=7&amp;number=0.0675&amp;sourceID=14","0.0675")</f>
        <v>0.0675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HYPERLINK("http://141.218.60.56/~jnz1568/getInfo.php?workbook=12_04.xlsx&amp;sheet=U0&amp;row=194&amp;col=6&amp;number=4&amp;sourceID=14","4")</f>
        <v>4</v>
      </c>
      <c r="G194" s="4" t="str">
        <f>HYPERLINK("http://141.218.60.56/~jnz1568/getInfo.php?workbook=12_04.xlsx&amp;sheet=U0&amp;row=194&amp;col=7&amp;number=0.0669&amp;sourceID=14","0.0669")</f>
        <v>0.0669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HYPERLINK("http://141.218.60.56/~jnz1568/getInfo.php?workbook=12_04.xlsx&amp;sheet=U0&amp;row=195&amp;col=6&amp;number=4.1&amp;sourceID=14","4.1")</f>
        <v>4.1</v>
      </c>
      <c r="G195" s="4" t="str">
        <f>HYPERLINK("http://141.218.60.56/~jnz1568/getInfo.php?workbook=12_04.xlsx&amp;sheet=U0&amp;row=195&amp;col=7&amp;number=0.0663&amp;sourceID=14","0.0663")</f>
        <v>0.0663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HYPERLINK("http://141.218.60.56/~jnz1568/getInfo.php?workbook=12_04.xlsx&amp;sheet=U0&amp;row=196&amp;col=6&amp;number=4.2&amp;sourceID=14","4.2")</f>
        <v>4.2</v>
      </c>
      <c r="G196" s="4" t="str">
        <f>HYPERLINK("http://141.218.60.56/~jnz1568/getInfo.php?workbook=12_04.xlsx&amp;sheet=U0&amp;row=196&amp;col=7&amp;number=0.0655&amp;sourceID=14","0.0655")</f>
        <v>0.0655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HYPERLINK("http://141.218.60.56/~jnz1568/getInfo.php?workbook=12_04.xlsx&amp;sheet=U0&amp;row=197&amp;col=6&amp;number=4.3&amp;sourceID=14","4.3")</f>
        <v>4.3</v>
      </c>
      <c r="G197" s="4" t="str">
        <f>HYPERLINK("http://141.218.60.56/~jnz1568/getInfo.php?workbook=12_04.xlsx&amp;sheet=U0&amp;row=197&amp;col=7&amp;number=0.0645&amp;sourceID=14","0.0645")</f>
        <v>0.0645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HYPERLINK("http://141.218.60.56/~jnz1568/getInfo.php?workbook=12_04.xlsx&amp;sheet=U0&amp;row=198&amp;col=6&amp;number=4.4&amp;sourceID=14","4.4")</f>
        <v>4.4</v>
      </c>
      <c r="G198" s="4" t="str">
        <f>HYPERLINK("http://141.218.60.56/~jnz1568/getInfo.php?workbook=12_04.xlsx&amp;sheet=U0&amp;row=198&amp;col=7&amp;number=0.0632&amp;sourceID=14","0.0632")</f>
        <v>0.0632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HYPERLINK("http://141.218.60.56/~jnz1568/getInfo.php?workbook=12_04.xlsx&amp;sheet=U0&amp;row=199&amp;col=6&amp;number=4.5&amp;sourceID=14","4.5")</f>
        <v>4.5</v>
      </c>
      <c r="G199" s="4" t="str">
        <f>HYPERLINK("http://141.218.60.56/~jnz1568/getInfo.php?workbook=12_04.xlsx&amp;sheet=U0&amp;row=199&amp;col=7&amp;number=0.0617&amp;sourceID=14","0.0617")</f>
        <v>0.0617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HYPERLINK("http://141.218.60.56/~jnz1568/getInfo.php?workbook=12_04.xlsx&amp;sheet=U0&amp;row=200&amp;col=6&amp;number=4.6&amp;sourceID=14","4.6")</f>
        <v>4.6</v>
      </c>
      <c r="G200" s="4" t="str">
        <f>HYPERLINK("http://141.218.60.56/~jnz1568/getInfo.php?workbook=12_04.xlsx&amp;sheet=U0&amp;row=200&amp;col=7&amp;number=0.0597&amp;sourceID=14","0.0597")</f>
        <v>0.0597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HYPERLINK("http://141.218.60.56/~jnz1568/getInfo.php?workbook=12_04.xlsx&amp;sheet=U0&amp;row=201&amp;col=6&amp;number=4.7&amp;sourceID=14","4.7")</f>
        <v>4.7</v>
      </c>
      <c r="G201" s="4" t="str">
        <f>HYPERLINK("http://141.218.60.56/~jnz1568/getInfo.php?workbook=12_04.xlsx&amp;sheet=U0&amp;row=201&amp;col=7&amp;number=0.0574&amp;sourceID=14","0.0574")</f>
        <v>0.0574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HYPERLINK("http://141.218.60.56/~jnz1568/getInfo.php?workbook=12_04.xlsx&amp;sheet=U0&amp;row=202&amp;col=6&amp;number=4.8&amp;sourceID=14","4.8")</f>
        <v>4.8</v>
      </c>
      <c r="G202" s="4" t="str">
        <f>HYPERLINK("http://141.218.60.56/~jnz1568/getInfo.php?workbook=12_04.xlsx&amp;sheet=U0&amp;row=202&amp;col=7&amp;number=0.0545&amp;sourceID=14","0.0545")</f>
        <v>0.0545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HYPERLINK("http://141.218.60.56/~jnz1568/getInfo.php?workbook=12_04.xlsx&amp;sheet=U0&amp;row=203&amp;col=6&amp;number=4.9&amp;sourceID=14","4.9")</f>
        <v>4.9</v>
      </c>
      <c r="G203" s="4" t="str">
        <f>HYPERLINK("http://141.218.60.56/~jnz1568/getInfo.php?workbook=12_04.xlsx&amp;sheet=U0&amp;row=203&amp;col=7&amp;number=0.0511&amp;sourceID=14","0.0511")</f>
        <v>0.0511</v>
      </c>
    </row>
    <row r="204" spans="1:7">
      <c r="A204" s="3">
        <v>12</v>
      </c>
      <c r="B204" s="3">
        <v>4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HYPERLINK("http://141.218.60.56/~jnz1568/getInfo.php?workbook=12_04.xlsx&amp;sheet=U0&amp;row=204&amp;col=6&amp;number=3&amp;sourceID=14","3")</f>
        <v>3</v>
      </c>
      <c r="G204" s="4" t="str">
        <f>HYPERLINK("http://141.218.60.56/~jnz1568/getInfo.php?workbook=12_04.xlsx&amp;sheet=U0&amp;row=204&amp;col=7&amp;number=0.124&amp;sourceID=14","0.124")</f>
        <v>0.124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HYPERLINK("http://141.218.60.56/~jnz1568/getInfo.php?workbook=12_04.xlsx&amp;sheet=U0&amp;row=205&amp;col=6&amp;number=3.1&amp;sourceID=14","3.1")</f>
        <v>3.1</v>
      </c>
      <c r="G205" s="4" t="str">
        <f>HYPERLINK("http://141.218.60.56/~jnz1568/getInfo.php?workbook=12_04.xlsx&amp;sheet=U0&amp;row=205&amp;col=7&amp;number=0.124&amp;sourceID=14","0.124")</f>
        <v>0.124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HYPERLINK("http://141.218.60.56/~jnz1568/getInfo.php?workbook=12_04.xlsx&amp;sheet=U0&amp;row=206&amp;col=6&amp;number=3.2&amp;sourceID=14","3.2")</f>
        <v>3.2</v>
      </c>
      <c r="G206" s="4" t="str">
        <f>HYPERLINK("http://141.218.60.56/~jnz1568/getInfo.php?workbook=12_04.xlsx&amp;sheet=U0&amp;row=206&amp;col=7&amp;number=0.123&amp;sourceID=14","0.123")</f>
        <v>0.123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HYPERLINK("http://141.218.60.56/~jnz1568/getInfo.php?workbook=12_04.xlsx&amp;sheet=U0&amp;row=207&amp;col=6&amp;number=3.3&amp;sourceID=14","3.3")</f>
        <v>3.3</v>
      </c>
      <c r="G207" s="4" t="str">
        <f>HYPERLINK("http://141.218.60.56/~jnz1568/getInfo.php?workbook=12_04.xlsx&amp;sheet=U0&amp;row=207&amp;col=7&amp;number=0.123&amp;sourceID=14","0.123")</f>
        <v>0.123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HYPERLINK("http://141.218.60.56/~jnz1568/getInfo.php?workbook=12_04.xlsx&amp;sheet=U0&amp;row=208&amp;col=6&amp;number=3.4&amp;sourceID=14","3.4")</f>
        <v>3.4</v>
      </c>
      <c r="G208" s="4" t="str">
        <f>HYPERLINK("http://141.218.60.56/~jnz1568/getInfo.php?workbook=12_04.xlsx&amp;sheet=U0&amp;row=208&amp;col=7&amp;number=0.123&amp;sourceID=14","0.123")</f>
        <v>0.123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HYPERLINK("http://141.218.60.56/~jnz1568/getInfo.php?workbook=12_04.xlsx&amp;sheet=U0&amp;row=209&amp;col=6&amp;number=3.5&amp;sourceID=14","3.5")</f>
        <v>3.5</v>
      </c>
      <c r="G209" s="4" t="str">
        <f>HYPERLINK("http://141.218.60.56/~jnz1568/getInfo.php?workbook=12_04.xlsx&amp;sheet=U0&amp;row=209&amp;col=7&amp;number=0.122&amp;sourceID=14","0.122")</f>
        <v>0.122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HYPERLINK("http://141.218.60.56/~jnz1568/getInfo.php?workbook=12_04.xlsx&amp;sheet=U0&amp;row=210&amp;col=6&amp;number=3.6&amp;sourceID=14","3.6")</f>
        <v>3.6</v>
      </c>
      <c r="G210" s="4" t="str">
        <f>HYPERLINK("http://141.218.60.56/~jnz1568/getInfo.php?workbook=12_04.xlsx&amp;sheet=U0&amp;row=210&amp;col=7&amp;number=0.122&amp;sourceID=14","0.122")</f>
        <v>0.122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HYPERLINK("http://141.218.60.56/~jnz1568/getInfo.php?workbook=12_04.xlsx&amp;sheet=U0&amp;row=211&amp;col=6&amp;number=3.7&amp;sourceID=14","3.7")</f>
        <v>3.7</v>
      </c>
      <c r="G211" s="4" t="str">
        <f>HYPERLINK("http://141.218.60.56/~jnz1568/getInfo.php?workbook=12_04.xlsx&amp;sheet=U0&amp;row=211&amp;col=7&amp;number=0.121&amp;sourceID=14","0.121")</f>
        <v>0.121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HYPERLINK("http://141.218.60.56/~jnz1568/getInfo.php?workbook=12_04.xlsx&amp;sheet=U0&amp;row=212&amp;col=6&amp;number=3.8&amp;sourceID=14","3.8")</f>
        <v>3.8</v>
      </c>
      <c r="G212" s="4" t="str">
        <f>HYPERLINK("http://141.218.60.56/~jnz1568/getInfo.php?workbook=12_04.xlsx&amp;sheet=U0&amp;row=212&amp;col=7&amp;number=0.121&amp;sourceID=14","0.121")</f>
        <v>0.121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HYPERLINK("http://141.218.60.56/~jnz1568/getInfo.php?workbook=12_04.xlsx&amp;sheet=U0&amp;row=213&amp;col=6&amp;number=3.9&amp;sourceID=14","3.9")</f>
        <v>3.9</v>
      </c>
      <c r="G213" s="4" t="str">
        <f>HYPERLINK("http://141.218.60.56/~jnz1568/getInfo.php?workbook=12_04.xlsx&amp;sheet=U0&amp;row=213&amp;col=7&amp;number=0.12&amp;sourceID=14","0.12")</f>
        <v>0.12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HYPERLINK("http://141.218.60.56/~jnz1568/getInfo.php?workbook=12_04.xlsx&amp;sheet=U0&amp;row=214&amp;col=6&amp;number=4&amp;sourceID=14","4")</f>
        <v>4</v>
      </c>
      <c r="G214" s="4" t="str">
        <f>HYPERLINK("http://141.218.60.56/~jnz1568/getInfo.php?workbook=12_04.xlsx&amp;sheet=U0&amp;row=214&amp;col=7&amp;number=0.118&amp;sourceID=14","0.118")</f>
        <v>0.118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HYPERLINK("http://141.218.60.56/~jnz1568/getInfo.php?workbook=12_04.xlsx&amp;sheet=U0&amp;row=215&amp;col=6&amp;number=4.1&amp;sourceID=14","4.1")</f>
        <v>4.1</v>
      </c>
      <c r="G215" s="4" t="str">
        <f>HYPERLINK("http://141.218.60.56/~jnz1568/getInfo.php?workbook=12_04.xlsx&amp;sheet=U0&amp;row=215&amp;col=7&amp;number=0.117&amp;sourceID=14","0.117")</f>
        <v>0.117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HYPERLINK("http://141.218.60.56/~jnz1568/getInfo.php?workbook=12_04.xlsx&amp;sheet=U0&amp;row=216&amp;col=6&amp;number=4.2&amp;sourceID=14","4.2")</f>
        <v>4.2</v>
      </c>
      <c r="G216" s="4" t="str">
        <f>HYPERLINK("http://141.218.60.56/~jnz1568/getInfo.php?workbook=12_04.xlsx&amp;sheet=U0&amp;row=216&amp;col=7&amp;number=0.115&amp;sourceID=14","0.115")</f>
        <v>0.115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HYPERLINK("http://141.218.60.56/~jnz1568/getInfo.php?workbook=12_04.xlsx&amp;sheet=U0&amp;row=217&amp;col=6&amp;number=4.3&amp;sourceID=14","4.3")</f>
        <v>4.3</v>
      </c>
      <c r="G217" s="4" t="str">
        <f>HYPERLINK("http://141.218.60.56/~jnz1568/getInfo.php?workbook=12_04.xlsx&amp;sheet=U0&amp;row=217&amp;col=7&amp;number=0.113&amp;sourceID=14","0.113")</f>
        <v>0.113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HYPERLINK("http://141.218.60.56/~jnz1568/getInfo.php?workbook=12_04.xlsx&amp;sheet=U0&amp;row=218&amp;col=6&amp;number=4.4&amp;sourceID=14","4.4")</f>
        <v>4.4</v>
      </c>
      <c r="G218" s="4" t="str">
        <f>HYPERLINK("http://141.218.60.56/~jnz1568/getInfo.php?workbook=12_04.xlsx&amp;sheet=U0&amp;row=218&amp;col=7&amp;number=0.11&amp;sourceID=14","0.11")</f>
        <v>0.11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HYPERLINK("http://141.218.60.56/~jnz1568/getInfo.php?workbook=12_04.xlsx&amp;sheet=U0&amp;row=219&amp;col=6&amp;number=4.5&amp;sourceID=14","4.5")</f>
        <v>4.5</v>
      </c>
      <c r="G219" s="4" t="str">
        <f>HYPERLINK("http://141.218.60.56/~jnz1568/getInfo.php?workbook=12_04.xlsx&amp;sheet=U0&amp;row=219&amp;col=7&amp;number=0.106&amp;sourceID=14","0.106")</f>
        <v>0.106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HYPERLINK("http://141.218.60.56/~jnz1568/getInfo.php?workbook=12_04.xlsx&amp;sheet=U0&amp;row=220&amp;col=6&amp;number=4.6&amp;sourceID=14","4.6")</f>
        <v>4.6</v>
      </c>
      <c r="G220" s="4" t="str">
        <f>HYPERLINK("http://141.218.60.56/~jnz1568/getInfo.php?workbook=12_04.xlsx&amp;sheet=U0&amp;row=220&amp;col=7&amp;number=0.102&amp;sourceID=14","0.102")</f>
        <v>0.102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HYPERLINK("http://141.218.60.56/~jnz1568/getInfo.php?workbook=12_04.xlsx&amp;sheet=U0&amp;row=221&amp;col=6&amp;number=4.7&amp;sourceID=14","4.7")</f>
        <v>4.7</v>
      </c>
      <c r="G221" s="4" t="str">
        <f>HYPERLINK("http://141.218.60.56/~jnz1568/getInfo.php?workbook=12_04.xlsx&amp;sheet=U0&amp;row=221&amp;col=7&amp;number=0.0975&amp;sourceID=14","0.0975")</f>
        <v>0.0975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HYPERLINK("http://141.218.60.56/~jnz1568/getInfo.php?workbook=12_04.xlsx&amp;sheet=U0&amp;row=222&amp;col=6&amp;number=4.8&amp;sourceID=14","4.8")</f>
        <v>4.8</v>
      </c>
      <c r="G222" s="4" t="str">
        <f>HYPERLINK("http://141.218.60.56/~jnz1568/getInfo.php?workbook=12_04.xlsx&amp;sheet=U0&amp;row=222&amp;col=7&amp;number=0.0923&amp;sourceID=14","0.0923")</f>
        <v>0.0923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HYPERLINK("http://141.218.60.56/~jnz1568/getInfo.php?workbook=12_04.xlsx&amp;sheet=U0&amp;row=223&amp;col=6&amp;number=4.9&amp;sourceID=14","4.9")</f>
        <v>4.9</v>
      </c>
      <c r="G223" s="4" t="str">
        <f>HYPERLINK("http://141.218.60.56/~jnz1568/getInfo.php?workbook=12_04.xlsx&amp;sheet=U0&amp;row=223&amp;col=7&amp;number=0.0869&amp;sourceID=14","0.0869")</f>
        <v>0.0869</v>
      </c>
    </row>
    <row r="224" spans="1:7">
      <c r="A224" s="3">
        <v>12</v>
      </c>
      <c r="B224" s="3">
        <v>4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HYPERLINK("http://141.218.60.56/~jnz1568/getInfo.php?workbook=12_04.xlsx&amp;sheet=U0&amp;row=224&amp;col=6&amp;number=3&amp;sourceID=14","3")</f>
        <v>3</v>
      </c>
      <c r="G224" s="4" t="str">
        <f>HYPERLINK("http://141.218.60.56/~jnz1568/getInfo.php?workbook=12_04.xlsx&amp;sheet=U0&amp;row=224&amp;col=7&amp;number=0.0802&amp;sourceID=14","0.0802")</f>
        <v>0.0802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HYPERLINK("http://141.218.60.56/~jnz1568/getInfo.php?workbook=12_04.xlsx&amp;sheet=U0&amp;row=225&amp;col=6&amp;number=3.1&amp;sourceID=14","3.1")</f>
        <v>3.1</v>
      </c>
      <c r="G225" s="4" t="str">
        <f>HYPERLINK("http://141.218.60.56/~jnz1568/getInfo.php?workbook=12_04.xlsx&amp;sheet=U0&amp;row=225&amp;col=7&amp;number=0.0801&amp;sourceID=14","0.0801")</f>
        <v>0.0801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HYPERLINK("http://141.218.60.56/~jnz1568/getInfo.php?workbook=12_04.xlsx&amp;sheet=U0&amp;row=226&amp;col=6&amp;number=3.2&amp;sourceID=14","3.2")</f>
        <v>3.2</v>
      </c>
      <c r="G226" s="4" t="str">
        <f>HYPERLINK("http://141.218.60.56/~jnz1568/getInfo.php?workbook=12_04.xlsx&amp;sheet=U0&amp;row=226&amp;col=7&amp;number=0.08&amp;sourceID=14","0.08")</f>
        <v>0.08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HYPERLINK("http://141.218.60.56/~jnz1568/getInfo.php?workbook=12_04.xlsx&amp;sheet=U0&amp;row=227&amp;col=6&amp;number=3.3&amp;sourceID=14","3.3")</f>
        <v>3.3</v>
      </c>
      <c r="G227" s="4" t="str">
        <f>HYPERLINK("http://141.218.60.56/~jnz1568/getInfo.php?workbook=12_04.xlsx&amp;sheet=U0&amp;row=227&amp;col=7&amp;number=0.0799&amp;sourceID=14","0.0799")</f>
        <v>0.0799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HYPERLINK("http://141.218.60.56/~jnz1568/getInfo.php?workbook=12_04.xlsx&amp;sheet=U0&amp;row=228&amp;col=6&amp;number=3.4&amp;sourceID=14","3.4")</f>
        <v>3.4</v>
      </c>
      <c r="G228" s="4" t="str">
        <f>HYPERLINK("http://141.218.60.56/~jnz1568/getInfo.php?workbook=12_04.xlsx&amp;sheet=U0&amp;row=228&amp;col=7&amp;number=0.0797&amp;sourceID=14","0.0797")</f>
        <v>0.0797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HYPERLINK("http://141.218.60.56/~jnz1568/getInfo.php?workbook=12_04.xlsx&amp;sheet=U0&amp;row=229&amp;col=6&amp;number=3.5&amp;sourceID=14","3.5")</f>
        <v>3.5</v>
      </c>
      <c r="G229" s="4" t="str">
        <f>HYPERLINK("http://141.218.60.56/~jnz1568/getInfo.php?workbook=12_04.xlsx&amp;sheet=U0&amp;row=229&amp;col=7&amp;number=0.0795&amp;sourceID=14","0.0795")</f>
        <v>0.0795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HYPERLINK("http://141.218.60.56/~jnz1568/getInfo.php?workbook=12_04.xlsx&amp;sheet=U0&amp;row=230&amp;col=6&amp;number=3.6&amp;sourceID=14","3.6")</f>
        <v>3.6</v>
      </c>
      <c r="G230" s="4" t="str">
        <f>HYPERLINK("http://141.218.60.56/~jnz1568/getInfo.php?workbook=12_04.xlsx&amp;sheet=U0&amp;row=230&amp;col=7&amp;number=0.0793&amp;sourceID=14","0.0793")</f>
        <v>0.0793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HYPERLINK("http://141.218.60.56/~jnz1568/getInfo.php?workbook=12_04.xlsx&amp;sheet=U0&amp;row=231&amp;col=6&amp;number=3.7&amp;sourceID=14","3.7")</f>
        <v>3.7</v>
      </c>
      <c r="G231" s="4" t="str">
        <f>HYPERLINK("http://141.218.60.56/~jnz1568/getInfo.php?workbook=12_04.xlsx&amp;sheet=U0&amp;row=231&amp;col=7&amp;number=0.079&amp;sourceID=14","0.079")</f>
        <v>0.079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HYPERLINK("http://141.218.60.56/~jnz1568/getInfo.php?workbook=12_04.xlsx&amp;sheet=U0&amp;row=232&amp;col=6&amp;number=3.8&amp;sourceID=14","3.8")</f>
        <v>3.8</v>
      </c>
      <c r="G232" s="4" t="str">
        <f>HYPERLINK("http://141.218.60.56/~jnz1568/getInfo.php?workbook=12_04.xlsx&amp;sheet=U0&amp;row=232&amp;col=7&amp;number=0.0785&amp;sourceID=14","0.0785")</f>
        <v>0.0785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HYPERLINK("http://141.218.60.56/~jnz1568/getInfo.php?workbook=12_04.xlsx&amp;sheet=U0&amp;row=233&amp;col=6&amp;number=3.9&amp;sourceID=14","3.9")</f>
        <v>3.9</v>
      </c>
      <c r="G233" s="4" t="str">
        <f>HYPERLINK("http://141.218.60.56/~jnz1568/getInfo.php?workbook=12_04.xlsx&amp;sheet=U0&amp;row=233&amp;col=7&amp;number=0.078&amp;sourceID=14","0.078")</f>
        <v>0.078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HYPERLINK("http://141.218.60.56/~jnz1568/getInfo.php?workbook=12_04.xlsx&amp;sheet=U0&amp;row=234&amp;col=6&amp;number=4&amp;sourceID=14","4")</f>
        <v>4</v>
      </c>
      <c r="G234" s="4" t="str">
        <f>HYPERLINK("http://141.218.60.56/~jnz1568/getInfo.php?workbook=12_04.xlsx&amp;sheet=U0&amp;row=234&amp;col=7&amp;number=0.0774&amp;sourceID=14","0.0774")</f>
        <v>0.0774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HYPERLINK("http://141.218.60.56/~jnz1568/getInfo.php?workbook=12_04.xlsx&amp;sheet=U0&amp;row=235&amp;col=6&amp;number=4.1&amp;sourceID=14","4.1")</f>
        <v>4.1</v>
      </c>
      <c r="G235" s="4" t="str">
        <f>HYPERLINK("http://141.218.60.56/~jnz1568/getInfo.php?workbook=12_04.xlsx&amp;sheet=U0&amp;row=235&amp;col=7&amp;number=0.0766&amp;sourceID=14","0.0766")</f>
        <v>0.0766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HYPERLINK("http://141.218.60.56/~jnz1568/getInfo.php?workbook=12_04.xlsx&amp;sheet=U0&amp;row=236&amp;col=6&amp;number=4.2&amp;sourceID=14","4.2")</f>
        <v>4.2</v>
      </c>
      <c r="G236" s="4" t="str">
        <f>HYPERLINK("http://141.218.60.56/~jnz1568/getInfo.php?workbook=12_04.xlsx&amp;sheet=U0&amp;row=236&amp;col=7&amp;number=0.0756&amp;sourceID=14","0.0756")</f>
        <v>0.0756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HYPERLINK("http://141.218.60.56/~jnz1568/getInfo.php?workbook=12_04.xlsx&amp;sheet=U0&amp;row=237&amp;col=6&amp;number=4.3&amp;sourceID=14","4.3")</f>
        <v>4.3</v>
      </c>
      <c r="G237" s="4" t="str">
        <f>HYPERLINK("http://141.218.60.56/~jnz1568/getInfo.php?workbook=12_04.xlsx&amp;sheet=U0&amp;row=237&amp;col=7&amp;number=0.0743&amp;sourceID=14","0.0743")</f>
        <v>0.0743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HYPERLINK("http://141.218.60.56/~jnz1568/getInfo.php?workbook=12_04.xlsx&amp;sheet=U0&amp;row=238&amp;col=6&amp;number=4.4&amp;sourceID=14","4.4")</f>
        <v>4.4</v>
      </c>
      <c r="G238" s="4" t="str">
        <f>HYPERLINK("http://141.218.60.56/~jnz1568/getInfo.php?workbook=12_04.xlsx&amp;sheet=U0&amp;row=238&amp;col=7&amp;number=0.0728&amp;sourceID=14","0.0728")</f>
        <v>0.0728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HYPERLINK("http://141.218.60.56/~jnz1568/getInfo.php?workbook=12_04.xlsx&amp;sheet=U0&amp;row=239&amp;col=6&amp;number=4.5&amp;sourceID=14","4.5")</f>
        <v>4.5</v>
      </c>
      <c r="G239" s="4" t="str">
        <f>HYPERLINK("http://141.218.60.56/~jnz1568/getInfo.php?workbook=12_04.xlsx&amp;sheet=U0&amp;row=239&amp;col=7&amp;number=0.0708&amp;sourceID=14","0.0708")</f>
        <v>0.0708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HYPERLINK("http://141.218.60.56/~jnz1568/getInfo.php?workbook=12_04.xlsx&amp;sheet=U0&amp;row=240&amp;col=6&amp;number=4.6&amp;sourceID=14","4.6")</f>
        <v>4.6</v>
      </c>
      <c r="G240" s="4" t="str">
        <f>HYPERLINK("http://141.218.60.56/~jnz1568/getInfo.php?workbook=12_04.xlsx&amp;sheet=U0&amp;row=240&amp;col=7&amp;number=0.0685&amp;sourceID=14","0.0685")</f>
        <v>0.0685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HYPERLINK("http://141.218.60.56/~jnz1568/getInfo.php?workbook=12_04.xlsx&amp;sheet=U0&amp;row=241&amp;col=6&amp;number=4.7&amp;sourceID=14","4.7")</f>
        <v>4.7</v>
      </c>
      <c r="G241" s="4" t="str">
        <f>HYPERLINK("http://141.218.60.56/~jnz1568/getInfo.php?workbook=12_04.xlsx&amp;sheet=U0&amp;row=241&amp;col=7&amp;number=0.0656&amp;sourceID=14","0.0656")</f>
        <v>0.0656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HYPERLINK("http://141.218.60.56/~jnz1568/getInfo.php?workbook=12_04.xlsx&amp;sheet=U0&amp;row=242&amp;col=6&amp;number=4.8&amp;sourceID=14","4.8")</f>
        <v>4.8</v>
      </c>
      <c r="G242" s="4" t="str">
        <f>HYPERLINK("http://141.218.60.56/~jnz1568/getInfo.php?workbook=12_04.xlsx&amp;sheet=U0&amp;row=242&amp;col=7&amp;number=0.0621&amp;sourceID=14","0.0621")</f>
        <v>0.0621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HYPERLINK("http://141.218.60.56/~jnz1568/getInfo.php?workbook=12_04.xlsx&amp;sheet=U0&amp;row=243&amp;col=6&amp;number=4.9&amp;sourceID=14","4.9")</f>
        <v>4.9</v>
      </c>
      <c r="G243" s="4" t="str">
        <f>HYPERLINK("http://141.218.60.56/~jnz1568/getInfo.php?workbook=12_04.xlsx&amp;sheet=U0&amp;row=243&amp;col=7&amp;number=0.0581&amp;sourceID=14","0.0581")</f>
        <v>0.0581</v>
      </c>
    </row>
    <row r="244" spans="1:7">
      <c r="A244" s="3">
        <v>12</v>
      </c>
      <c r="B244" s="3">
        <v>4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HYPERLINK("http://141.218.60.56/~jnz1568/getInfo.php?workbook=12_04.xlsx&amp;sheet=U0&amp;row=244&amp;col=6&amp;number=3&amp;sourceID=14","3")</f>
        <v>3</v>
      </c>
      <c r="G244" s="4" t="str">
        <f>HYPERLINK("http://141.218.60.56/~jnz1568/getInfo.php?workbook=12_04.xlsx&amp;sheet=U0&amp;row=244&amp;col=7&amp;number=0.0101&amp;sourceID=14","0.0101")</f>
        <v>0.0101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HYPERLINK("http://141.218.60.56/~jnz1568/getInfo.php?workbook=12_04.xlsx&amp;sheet=U0&amp;row=245&amp;col=6&amp;number=3.1&amp;sourceID=14","3.1")</f>
        <v>3.1</v>
      </c>
      <c r="G245" s="4" t="str">
        <f>HYPERLINK("http://141.218.60.56/~jnz1568/getInfo.php?workbook=12_04.xlsx&amp;sheet=U0&amp;row=245&amp;col=7&amp;number=0.0101&amp;sourceID=14","0.0101")</f>
        <v>0.0101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HYPERLINK("http://141.218.60.56/~jnz1568/getInfo.php?workbook=12_04.xlsx&amp;sheet=U0&amp;row=246&amp;col=6&amp;number=3.2&amp;sourceID=14","3.2")</f>
        <v>3.2</v>
      </c>
      <c r="G246" s="4" t="str">
        <f>HYPERLINK("http://141.218.60.56/~jnz1568/getInfo.php?workbook=12_04.xlsx&amp;sheet=U0&amp;row=246&amp;col=7&amp;number=0.0101&amp;sourceID=14","0.0101")</f>
        <v>0.0101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HYPERLINK("http://141.218.60.56/~jnz1568/getInfo.php?workbook=12_04.xlsx&amp;sheet=U0&amp;row=247&amp;col=6&amp;number=3.3&amp;sourceID=14","3.3")</f>
        <v>3.3</v>
      </c>
      <c r="G247" s="4" t="str">
        <f>HYPERLINK("http://141.218.60.56/~jnz1568/getInfo.php?workbook=12_04.xlsx&amp;sheet=U0&amp;row=247&amp;col=7&amp;number=0.0101&amp;sourceID=14","0.0101")</f>
        <v>0.0101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HYPERLINK("http://141.218.60.56/~jnz1568/getInfo.php?workbook=12_04.xlsx&amp;sheet=U0&amp;row=248&amp;col=6&amp;number=3.4&amp;sourceID=14","3.4")</f>
        <v>3.4</v>
      </c>
      <c r="G248" s="4" t="str">
        <f>HYPERLINK("http://141.218.60.56/~jnz1568/getInfo.php?workbook=12_04.xlsx&amp;sheet=U0&amp;row=248&amp;col=7&amp;number=0.0101&amp;sourceID=14","0.0101")</f>
        <v>0.0101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HYPERLINK("http://141.218.60.56/~jnz1568/getInfo.php?workbook=12_04.xlsx&amp;sheet=U0&amp;row=249&amp;col=6&amp;number=3.5&amp;sourceID=14","3.5")</f>
        <v>3.5</v>
      </c>
      <c r="G249" s="4" t="str">
        <f>HYPERLINK("http://141.218.60.56/~jnz1568/getInfo.php?workbook=12_04.xlsx&amp;sheet=U0&amp;row=249&amp;col=7&amp;number=0.01&amp;sourceID=14","0.01")</f>
        <v>0.01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HYPERLINK("http://141.218.60.56/~jnz1568/getInfo.php?workbook=12_04.xlsx&amp;sheet=U0&amp;row=250&amp;col=6&amp;number=3.6&amp;sourceID=14","3.6")</f>
        <v>3.6</v>
      </c>
      <c r="G250" s="4" t="str">
        <f>HYPERLINK("http://141.218.60.56/~jnz1568/getInfo.php?workbook=12_04.xlsx&amp;sheet=U0&amp;row=250&amp;col=7&amp;number=0.00998&amp;sourceID=14","0.00998")</f>
        <v>0.00998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HYPERLINK("http://141.218.60.56/~jnz1568/getInfo.php?workbook=12_04.xlsx&amp;sheet=U0&amp;row=251&amp;col=6&amp;number=3.7&amp;sourceID=14","3.7")</f>
        <v>3.7</v>
      </c>
      <c r="G251" s="4" t="str">
        <f>HYPERLINK("http://141.218.60.56/~jnz1568/getInfo.php?workbook=12_04.xlsx&amp;sheet=U0&amp;row=251&amp;col=7&amp;number=0.00993&amp;sourceID=14","0.00993")</f>
        <v>0.00993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HYPERLINK("http://141.218.60.56/~jnz1568/getInfo.php?workbook=12_04.xlsx&amp;sheet=U0&amp;row=252&amp;col=6&amp;number=3.8&amp;sourceID=14","3.8")</f>
        <v>3.8</v>
      </c>
      <c r="G252" s="4" t="str">
        <f>HYPERLINK("http://141.218.60.56/~jnz1568/getInfo.php?workbook=12_04.xlsx&amp;sheet=U0&amp;row=252&amp;col=7&amp;number=0.00986&amp;sourceID=14","0.00986")</f>
        <v>0.00986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HYPERLINK("http://141.218.60.56/~jnz1568/getInfo.php?workbook=12_04.xlsx&amp;sheet=U0&amp;row=253&amp;col=6&amp;number=3.9&amp;sourceID=14","3.9")</f>
        <v>3.9</v>
      </c>
      <c r="G253" s="4" t="str">
        <f>HYPERLINK("http://141.218.60.56/~jnz1568/getInfo.php?workbook=12_04.xlsx&amp;sheet=U0&amp;row=253&amp;col=7&amp;number=0.00977&amp;sourceID=14","0.00977")</f>
        <v>0.00977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HYPERLINK("http://141.218.60.56/~jnz1568/getInfo.php?workbook=12_04.xlsx&amp;sheet=U0&amp;row=254&amp;col=6&amp;number=4&amp;sourceID=14","4")</f>
        <v>4</v>
      </c>
      <c r="G254" s="4" t="str">
        <f>HYPERLINK("http://141.218.60.56/~jnz1568/getInfo.php?workbook=12_04.xlsx&amp;sheet=U0&amp;row=254&amp;col=7&amp;number=0.00967&amp;sourceID=14","0.00967")</f>
        <v>0.00967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HYPERLINK("http://141.218.60.56/~jnz1568/getInfo.php?workbook=12_04.xlsx&amp;sheet=U0&amp;row=255&amp;col=6&amp;number=4.1&amp;sourceID=14","4.1")</f>
        <v>4.1</v>
      </c>
      <c r="G255" s="4" t="str">
        <f>HYPERLINK("http://141.218.60.56/~jnz1568/getInfo.php?workbook=12_04.xlsx&amp;sheet=U0&amp;row=255&amp;col=7&amp;number=0.00953&amp;sourceID=14","0.00953")</f>
        <v>0.00953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HYPERLINK("http://141.218.60.56/~jnz1568/getInfo.php?workbook=12_04.xlsx&amp;sheet=U0&amp;row=256&amp;col=6&amp;number=4.2&amp;sourceID=14","4.2")</f>
        <v>4.2</v>
      </c>
      <c r="G256" s="4" t="str">
        <f>HYPERLINK("http://141.218.60.56/~jnz1568/getInfo.php?workbook=12_04.xlsx&amp;sheet=U0&amp;row=256&amp;col=7&amp;number=0.00937&amp;sourceID=14","0.00937")</f>
        <v>0.00937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HYPERLINK("http://141.218.60.56/~jnz1568/getInfo.php?workbook=12_04.xlsx&amp;sheet=U0&amp;row=257&amp;col=6&amp;number=4.3&amp;sourceID=14","4.3")</f>
        <v>4.3</v>
      </c>
      <c r="G257" s="4" t="str">
        <f>HYPERLINK("http://141.218.60.56/~jnz1568/getInfo.php?workbook=12_04.xlsx&amp;sheet=U0&amp;row=257&amp;col=7&amp;number=0.00916&amp;sourceID=14","0.00916")</f>
        <v>0.00916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HYPERLINK("http://141.218.60.56/~jnz1568/getInfo.php?workbook=12_04.xlsx&amp;sheet=U0&amp;row=258&amp;col=6&amp;number=4.4&amp;sourceID=14","4.4")</f>
        <v>4.4</v>
      </c>
      <c r="G258" s="4" t="str">
        <f>HYPERLINK("http://141.218.60.56/~jnz1568/getInfo.php?workbook=12_04.xlsx&amp;sheet=U0&amp;row=258&amp;col=7&amp;number=0.0089&amp;sourceID=14","0.0089")</f>
        <v>0.0089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HYPERLINK("http://141.218.60.56/~jnz1568/getInfo.php?workbook=12_04.xlsx&amp;sheet=U0&amp;row=259&amp;col=6&amp;number=4.5&amp;sourceID=14","4.5")</f>
        <v>4.5</v>
      </c>
      <c r="G259" s="4" t="str">
        <f>HYPERLINK("http://141.218.60.56/~jnz1568/getInfo.php?workbook=12_04.xlsx&amp;sheet=U0&amp;row=259&amp;col=7&amp;number=0.00858&amp;sourceID=14","0.00858")</f>
        <v>0.00858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HYPERLINK("http://141.218.60.56/~jnz1568/getInfo.php?workbook=12_04.xlsx&amp;sheet=U0&amp;row=260&amp;col=6&amp;number=4.6&amp;sourceID=14","4.6")</f>
        <v>4.6</v>
      </c>
      <c r="G260" s="4" t="str">
        <f>HYPERLINK("http://141.218.60.56/~jnz1568/getInfo.php?workbook=12_04.xlsx&amp;sheet=U0&amp;row=260&amp;col=7&amp;number=0.00818&amp;sourceID=14","0.00818")</f>
        <v>0.00818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HYPERLINK("http://141.218.60.56/~jnz1568/getInfo.php?workbook=12_04.xlsx&amp;sheet=U0&amp;row=261&amp;col=6&amp;number=4.7&amp;sourceID=14","4.7")</f>
        <v>4.7</v>
      </c>
      <c r="G261" s="4" t="str">
        <f>HYPERLINK("http://141.218.60.56/~jnz1568/getInfo.php?workbook=12_04.xlsx&amp;sheet=U0&amp;row=261&amp;col=7&amp;number=0.0077&amp;sourceID=14","0.0077")</f>
        <v>0.0077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HYPERLINK("http://141.218.60.56/~jnz1568/getInfo.php?workbook=12_04.xlsx&amp;sheet=U0&amp;row=262&amp;col=6&amp;number=4.8&amp;sourceID=14","4.8")</f>
        <v>4.8</v>
      </c>
      <c r="G262" s="4" t="str">
        <f>HYPERLINK("http://141.218.60.56/~jnz1568/getInfo.php?workbook=12_04.xlsx&amp;sheet=U0&amp;row=262&amp;col=7&amp;number=0.00713&amp;sourceID=14","0.00713")</f>
        <v>0.00713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HYPERLINK("http://141.218.60.56/~jnz1568/getInfo.php?workbook=12_04.xlsx&amp;sheet=U0&amp;row=263&amp;col=6&amp;number=4.9&amp;sourceID=14","4.9")</f>
        <v>4.9</v>
      </c>
      <c r="G263" s="4" t="str">
        <f>HYPERLINK("http://141.218.60.56/~jnz1568/getInfo.php?workbook=12_04.xlsx&amp;sheet=U0&amp;row=263&amp;col=7&amp;number=0.00645&amp;sourceID=14","0.00645")</f>
        <v>0.00645</v>
      </c>
    </row>
    <row r="264" spans="1:7">
      <c r="A264" s="3">
        <v>12</v>
      </c>
      <c r="B264" s="3">
        <v>4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HYPERLINK("http://141.218.60.56/~jnz1568/getInfo.php?workbook=12_04.xlsx&amp;sheet=U0&amp;row=264&amp;col=6&amp;number=3&amp;sourceID=14","3")</f>
        <v>3</v>
      </c>
      <c r="G264" s="4" t="str">
        <f>HYPERLINK("http://141.218.60.56/~jnz1568/getInfo.php?workbook=12_04.xlsx&amp;sheet=U0&amp;row=264&amp;col=7&amp;number=0.0343&amp;sourceID=14","0.0343")</f>
        <v>0.0343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HYPERLINK("http://141.218.60.56/~jnz1568/getInfo.php?workbook=12_04.xlsx&amp;sheet=U0&amp;row=265&amp;col=6&amp;number=3.1&amp;sourceID=14","3.1")</f>
        <v>3.1</v>
      </c>
      <c r="G265" s="4" t="str">
        <f>HYPERLINK("http://141.218.60.56/~jnz1568/getInfo.php?workbook=12_04.xlsx&amp;sheet=U0&amp;row=265&amp;col=7&amp;number=0.0343&amp;sourceID=14","0.0343")</f>
        <v>0.0343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HYPERLINK("http://141.218.60.56/~jnz1568/getInfo.php?workbook=12_04.xlsx&amp;sheet=U0&amp;row=266&amp;col=6&amp;number=3.2&amp;sourceID=14","3.2")</f>
        <v>3.2</v>
      </c>
      <c r="G266" s="4" t="str">
        <f>HYPERLINK("http://141.218.60.56/~jnz1568/getInfo.php?workbook=12_04.xlsx&amp;sheet=U0&amp;row=266&amp;col=7&amp;number=0.0342&amp;sourceID=14","0.0342")</f>
        <v>0.0342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HYPERLINK("http://141.218.60.56/~jnz1568/getInfo.php?workbook=12_04.xlsx&amp;sheet=U0&amp;row=267&amp;col=6&amp;number=3.3&amp;sourceID=14","3.3")</f>
        <v>3.3</v>
      </c>
      <c r="G267" s="4" t="str">
        <f>HYPERLINK("http://141.218.60.56/~jnz1568/getInfo.php?workbook=12_04.xlsx&amp;sheet=U0&amp;row=267&amp;col=7&amp;number=0.0341&amp;sourceID=14","0.0341")</f>
        <v>0.0341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HYPERLINK("http://141.218.60.56/~jnz1568/getInfo.php?workbook=12_04.xlsx&amp;sheet=U0&amp;row=268&amp;col=6&amp;number=3.4&amp;sourceID=14","3.4")</f>
        <v>3.4</v>
      </c>
      <c r="G268" s="4" t="str">
        <f>HYPERLINK("http://141.218.60.56/~jnz1568/getInfo.php?workbook=12_04.xlsx&amp;sheet=U0&amp;row=268&amp;col=7&amp;number=0.034&amp;sourceID=14","0.034")</f>
        <v>0.034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HYPERLINK("http://141.218.60.56/~jnz1568/getInfo.php?workbook=12_04.xlsx&amp;sheet=U0&amp;row=269&amp;col=6&amp;number=3.5&amp;sourceID=14","3.5")</f>
        <v>3.5</v>
      </c>
      <c r="G269" s="4" t="str">
        <f>HYPERLINK("http://141.218.60.56/~jnz1568/getInfo.php?workbook=12_04.xlsx&amp;sheet=U0&amp;row=269&amp;col=7&amp;number=0.0338&amp;sourceID=14","0.0338")</f>
        <v>0.0338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HYPERLINK("http://141.218.60.56/~jnz1568/getInfo.php?workbook=12_04.xlsx&amp;sheet=U0&amp;row=270&amp;col=6&amp;number=3.6&amp;sourceID=14","3.6")</f>
        <v>3.6</v>
      </c>
      <c r="G270" s="4" t="str">
        <f>HYPERLINK("http://141.218.60.56/~jnz1568/getInfo.php?workbook=12_04.xlsx&amp;sheet=U0&amp;row=270&amp;col=7&amp;number=0.0336&amp;sourceID=14","0.0336")</f>
        <v>0.0336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HYPERLINK("http://141.218.60.56/~jnz1568/getInfo.php?workbook=12_04.xlsx&amp;sheet=U0&amp;row=271&amp;col=6&amp;number=3.7&amp;sourceID=14","3.7")</f>
        <v>3.7</v>
      </c>
      <c r="G271" s="4" t="str">
        <f>HYPERLINK("http://141.218.60.56/~jnz1568/getInfo.php?workbook=12_04.xlsx&amp;sheet=U0&amp;row=271&amp;col=7&amp;number=0.0334&amp;sourceID=14","0.0334")</f>
        <v>0.0334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HYPERLINK("http://141.218.60.56/~jnz1568/getInfo.php?workbook=12_04.xlsx&amp;sheet=U0&amp;row=272&amp;col=6&amp;number=3.8&amp;sourceID=14","3.8")</f>
        <v>3.8</v>
      </c>
      <c r="G272" s="4" t="str">
        <f>HYPERLINK("http://141.218.60.56/~jnz1568/getInfo.php?workbook=12_04.xlsx&amp;sheet=U0&amp;row=272&amp;col=7&amp;number=0.0331&amp;sourceID=14","0.0331")</f>
        <v>0.0331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HYPERLINK("http://141.218.60.56/~jnz1568/getInfo.php?workbook=12_04.xlsx&amp;sheet=U0&amp;row=273&amp;col=6&amp;number=3.9&amp;sourceID=14","3.9")</f>
        <v>3.9</v>
      </c>
      <c r="G273" s="4" t="str">
        <f>HYPERLINK("http://141.218.60.56/~jnz1568/getInfo.php?workbook=12_04.xlsx&amp;sheet=U0&amp;row=273&amp;col=7&amp;number=0.0327&amp;sourceID=14","0.0327")</f>
        <v>0.0327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HYPERLINK("http://141.218.60.56/~jnz1568/getInfo.php?workbook=12_04.xlsx&amp;sheet=U0&amp;row=274&amp;col=6&amp;number=4&amp;sourceID=14","4")</f>
        <v>4</v>
      </c>
      <c r="G274" s="4" t="str">
        <f>HYPERLINK("http://141.218.60.56/~jnz1568/getInfo.php?workbook=12_04.xlsx&amp;sheet=U0&amp;row=274&amp;col=7&amp;number=0.0322&amp;sourceID=14","0.0322")</f>
        <v>0.0322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HYPERLINK("http://141.218.60.56/~jnz1568/getInfo.php?workbook=12_04.xlsx&amp;sheet=U0&amp;row=275&amp;col=6&amp;number=4.1&amp;sourceID=14","4.1")</f>
        <v>4.1</v>
      </c>
      <c r="G275" s="4" t="str">
        <f>HYPERLINK("http://141.218.60.56/~jnz1568/getInfo.php?workbook=12_04.xlsx&amp;sheet=U0&amp;row=275&amp;col=7&amp;number=0.0316&amp;sourceID=14","0.0316")</f>
        <v>0.0316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HYPERLINK("http://141.218.60.56/~jnz1568/getInfo.php?workbook=12_04.xlsx&amp;sheet=U0&amp;row=276&amp;col=6&amp;number=4.2&amp;sourceID=14","4.2")</f>
        <v>4.2</v>
      </c>
      <c r="G276" s="4" t="str">
        <f>HYPERLINK("http://141.218.60.56/~jnz1568/getInfo.php?workbook=12_04.xlsx&amp;sheet=U0&amp;row=276&amp;col=7&amp;number=0.0309&amp;sourceID=14","0.0309")</f>
        <v>0.0309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HYPERLINK("http://141.218.60.56/~jnz1568/getInfo.php?workbook=12_04.xlsx&amp;sheet=U0&amp;row=277&amp;col=6&amp;number=4.3&amp;sourceID=14","4.3")</f>
        <v>4.3</v>
      </c>
      <c r="G277" s="4" t="str">
        <f>HYPERLINK("http://141.218.60.56/~jnz1568/getInfo.php?workbook=12_04.xlsx&amp;sheet=U0&amp;row=277&amp;col=7&amp;number=0.0299&amp;sourceID=14","0.0299")</f>
        <v>0.0299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HYPERLINK("http://141.218.60.56/~jnz1568/getInfo.php?workbook=12_04.xlsx&amp;sheet=U0&amp;row=278&amp;col=6&amp;number=4.4&amp;sourceID=14","4.4")</f>
        <v>4.4</v>
      </c>
      <c r="G278" s="4" t="str">
        <f>HYPERLINK("http://141.218.60.56/~jnz1568/getInfo.php?workbook=12_04.xlsx&amp;sheet=U0&amp;row=278&amp;col=7&amp;number=0.0288&amp;sourceID=14","0.0288")</f>
        <v>0.0288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HYPERLINK("http://141.218.60.56/~jnz1568/getInfo.php?workbook=12_04.xlsx&amp;sheet=U0&amp;row=279&amp;col=6&amp;number=4.5&amp;sourceID=14","4.5")</f>
        <v>4.5</v>
      </c>
      <c r="G279" s="4" t="str">
        <f>HYPERLINK("http://141.218.60.56/~jnz1568/getInfo.php?workbook=12_04.xlsx&amp;sheet=U0&amp;row=279&amp;col=7&amp;number=0.0274&amp;sourceID=14","0.0274")</f>
        <v>0.0274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HYPERLINK("http://141.218.60.56/~jnz1568/getInfo.php?workbook=12_04.xlsx&amp;sheet=U0&amp;row=280&amp;col=6&amp;number=4.6&amp;sourceID=14","4.6")</f>
        <v>4.6</v>
      </c>
      <c r="G280" s="4" t="str">
        <f>HYPERLINK("http://141.218.60.56/~jnz1568/getInfo.php?workbook=12_04.xlsx&amp;sheet=U0&amp;row=280&amp;col=7&amp;number=0.0258&amp;sourceID=14","0.0258")</f>
        <v>0.0258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HYPERLINK("http://141.218.60.56/~jnz1568/getInfo.php?workbook=12_04.xlsx&amp;sheet=U0&amp;row=281&amp;col=6&amp;number=4.7&amp;sourceID=14","4.7")</f>
        <v>4.7</v>
      </c>
      <c r="G281" s="4" t="str">
        <f>HYPERLINK("http://141.218.60.56/~jnz1568/getInfo.php?workbook=12_04.xlsx&amp;sheet=U0&amp;row=281&amp;col=7&amp;number=0.0238&amp;sourceID=14","0.0238")</f>
        <v>0.0238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HYPERLINK("http://141.218.60.56/~jnz1568/getInfo.php?workbook=12_04.xlsx&amp;sheet=U0&amp;row=282&amp;col=6&amp;number=4.8&amp;sourceID=14","4.8")</f>
        <v>4.8</v>
      </c>
      <c r="G282" s="4" t="str">
        <f>HYPERLINK("http://141.218.60.56/~jnz1568/getInfo.php?workbook=12_04.xlsx&amp;sheet=U0&amp;row=282&amp;col=7&amp;number=0.0215&amp;sourceID=14","0.0215")</f>
        <v>0.0215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HYPERLINK("http://141.218.60.56/~jnz1568/getInfo.php?workbook=12_04.xlsx&amp;sheet=U0&amp;row=283&amp;col=6&amp;number=4.9&amp;sourceID=14","4.9")</f>
        <v>4.9</v>
      </c>
      <c r="G283" s="4" t="str">
        <f>HYPERLINK("http://141.218.60.56/~jnz1568/getInfo.php?workbook=12_04.xlsx&amp;sheet=U0&amp;row=283&amp;col=7&amp;number=0.019&amp;sourceID=14","0.019")</f>
        <v>0.019</v>
      </c>
    </row>
    <row r="284" spans="1:7">
      <c r="A284" s="3">
        <v>12</v>
      </c>
      <c r="B284" s="3">
        <v>4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HYPERLINK("http://141.218.60.56/~jnz1568/getInfo.php?workbook=12_04.xlsx&amp;sheet=U0&amp;row=284&amp;col=6&amp;number=3&amp;sourceID=14","3")</f>
        <v>3</v>
      </c>
      <c r="G284" s="4" t="str">
        <f>HYPERLINK("http://141.218.60.56/~jnz1568/getInfo.php?workbook=12_04.xlsx&amp;sheet=U0&amp;row=284&amp;col=7&amp;number=0.0565&amp;sourceID=14","0.0565")</f>
        <v>0.0565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HYPERLINK("http://141.218.60.56/~jnz1568/getInfo.php?workbook=12_04.xlsx&amp;sheet=U0&amp;row=285&amp;col=6&amp;number=3.1&amp;sourceID=14","3.1")</f>
        <v>3.1</v>
      </c>
      <c r="G285" s="4" t="str">
        <f>HYPERLINK("http://141.218.60.56/~jnz1568/getInfo.php?workbook=12_04.xlsx&amp;sheet=U0&amp;row=285&amp;col=7&amp;number=0.0564&amp;sourceID=14","0.0564")</f>
        <v>0.0564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HYPERLINK("http://141.218.60.56/~jnz1568/getInfo.php?workbook=12_04.xlsx&amp;sheet=U0&amp;row=286&amp;col=6&amp;number=3.2&amp;sourceID=14","3.2")</f>
        <v>3.2</v>
      </c>
      <c r="G286" s="4" t="str">
        <f>HYPERLINK("http://141.218.60.56/~jnz1568/getInfo.php?workbook=12_04.xlsx&amp;sheet=U0&amp;row=286&amp;col=7&amp;number=0.0563&amp;sourceID=14","0.0563")</f>
        <v>0.0563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HYPERLINK("http://141.218.60.56/~jnz1568/getInfo.php?workbook=12_04.xlsx&amp;sheet=U0&amp;row=287&amp;col=6&amp;number=3.3&amp;sourceID=14","3.3")</f>
        <v>3.3</v>
      </c>
      <c r="G287" s="4" t="str">
        <f>HYPERLINK("http://141.218.60.56/~jnz1568/getInfo.php?workbook=12_04.xlsx&amp;sheet=U0&amp;row=287&amp;col=7&amp;number=0.0561&amp;sourceID=14","0.0561")</f>
        <v>0.0561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HYPERLINK("http://141.218.60.56/~jnz1568/getInfo.php?workbook=12_04.xlsx&amp;sheet=U0&amp;row=288&amp;col=6&amp;number=3.4&amp;sourceID=14","3.4")</f>
        <v>3.4</v>
      </c>
      <c r="G288" s="4" t="str">
        <f>HYPERLINK("http://141.218.60.56/~jnz1568/getInfo.php?workbook=12_04.xlsx&amp;sheet=U0&amp;row=288&amp;col=7&amp;number=0.0559&amp;sourceID=14","0.0559")</f>
        <v>0.0559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HYPERLINK("http://141.218.60.56/~jnz1568/getInfo.php?workbook=12_04.xlsx&amp;sheet=U0&amp;row=289&amp;col=6&amp;number=3.5&amp;sourceID=14","3.5")</f>
        <v>3.5</v>
      </c>
      <c r="G289" s="4" t="str">
        <f>HYPERLINK("http://141.218.60.56/~jnz1568/getInfo.php?workbook=12_04.xlsx&amp;sheet=U0&amp;row=289&amp;col=7&amp;number=0.0556&amp;sourceID=14","0.0556")</f>
        <v>0.0556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HYPERLINK("http://141.218.60.56/~jnz1568/getInfo.php?workbook=12_04.xlsx&amp;sheet=U0&amp;row=290&amp;col=6&amp;number=3.6&amp;sourceID=14","3.6")</f>
        <v>3.6</v>
      </c>
      <c r="G290" s="4" t="str">
        <f>HYPERLINK("http://141.218.60.56/~jnz1568/getInfo.php?workbook=12_04.xlsx&amp;sheet=U0&amp;row=290&amp;col=7&amp;number=0.0552&amp;sourceID=14","0.0552")</f>
        <v>0.0552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HYPERLINK("http://141.218.60.56/~jnz1568/getInfo.php?workbook=12_04.xlsx&amp;sheet=U0&amp;row=291&amp;col=6&amp;number=3.7&amp;sourceID=14","3.7")</f>
        <v>3.7</v>
      </c>
      <c r="G291" s="4" t="str">
        <f>HYPERLINK("http://141.218.60.56/~jnz1568/getInfo.php?workbook=12_04.xlsx&amp;sheet=U0&amp;row=291&amp;col=7&amp;number=0.0548&amp;sourceID=14","0.0548")</f>
        <v>0.0548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HYPERLINK("http://141.218.60.56/~jnz1568/getInfo.php?workbook=12_04.xlsx&amp;sheet=U0&amp;row=292&amp;col=6&amp;number=3.8&amp;sourceID=14","3.8")</f>
        <v>3.8</v>
      </c>
      <c r="G292" s="4" t="str">
        <f>HYPERLINK("http://141.218.60.56/~jnz1568/getInfo.php?workbook=12_04.xlsx&amp;sheet=U0&amp;row=292&amp;col=7&amp;number=0.0542&amp;sourceID=14","0.0542")</f>
        <v>0.0542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HYPERLINK("http://141.218.60.56/~jnz1568/getInfo.php?workbook=12_04.xlsx&amp;sheet=U0&amp;row=293&amp;col=6&amp;number=3.9&amp;sourceID=14","3.9")</f>
        <v>3.9</v>
      </c>
      <c r="G293" s="4" t="str">
        <f>HYPERLINK("http://141.218.60.56/~jnz1568/getInfo.php?workbook=12_04.xlsx&amp;sheet=U0&amp;row=293&amp;col=7&amp;number=0.0535&amp;sourceID=14","0.0535")</f>
        <v>0.0535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HYPERLINK("http://141.218.60.56/~jnz1568/getInfo.php?workbook=12_04.xlsx&amp;sheet=U0&amp;row=294&amp;col=6&amp;number=4&amp;sourceID=14","4")</f>
        <v>4</v>
      </c>
      <c r="G294" s="4" t="str">
        <f>HYPERLINK("http://141.218.60.56/~jnz1568/getInfo.php?workbook=12_04.xlsx&amp;sheet=U0&amp;row=294&amp;col=7&amp;number=0.0526&amp;sourceID=14","0.0526")</f>
        <v>0.0526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HYPERLINK("http://141.218.60.56/~jnz1568/getInfo.php?workbook=12_04.xlsx&amp;sheet=U0&amp;row=295&amp;col=6&amp;number=4.1&amp;sourceID=14","4.1")</f>
        <v>4.1</v>
      </c>
      <c r="G295" s="4" t="str">
        <f>HYPERLINK("http://141.218.60.56/~jnz1568/getInfo.php?workbook=12_04.xlsx&amp;sheet=U0&amp;row=295&amp;col=7&amp;number=0.0515&amp;sourceID=14","0.0515")</f>
        <v>0.0515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HYPERLINK("http://141.218.60.56/~jnz1568/getInfo.php?workbook=12_04.xlsx&amp;sheet=U0&amp;row=296&amp;col=6&amp;number=4.2&amp;sourceID=14","4.2")</f>
        <v>4.2</v>
      </c>
      <c r="G296" s="4" t="str">
        <f>HYPERLINK("http://141.218.60.56/~jnz1568/getInfo.php?workbook=12_04.xlsx&amp;sheet=U0&amp;row=296&amp;col=7&amp;number=0.0501&amp;sourceID=14","0.0501")</f>
        <v>0.0501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HYPERLINK("http://141.218.60.56/~jnz1568/getInfo.php?workbook=12_04.xlsx&amp;sheet=U0&amp;row=297&amp;col=6&amp;number=4.3&amp;sourceID=14","4.3")</f>
        <v>4.3</v>
      </c>
      <c r="G297" s="4" t="str">
        <f>HYPERLINK("http://141.218.60.56/~jnz1568/getInfo.php?workbook=12_04.xlsx&amp;sheet=U0&amp;row=297&amp;col=7&amp;number=0.0484&amp;sourceID=14","0.0484")</f>
        <v>0.0484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HYPERLINK("http://141.218.60.56/~jnz1568/getInfo.php?workbook=12_04.xlsx&amp;sheet=U0&amp;row=298&amp;col=6&amp;number=4.4&amp;sourceID=14","4.4")</f>
        <v>4.4</v>
      </c>
      <c r="G298" s="4" t="str">
        <f>HYPERLINK("http://141.218.60.56/~jnz1568/getInfo.php?workbook=12_04.xlsx&amp;sheet=U0&amp;row=298&amp;col=7&amp;number=0.0463&amp;sourceID=14","0.0463")</f>
        <v>0.0463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HYPERLINK("http://141.218.60.56/~jnz1568/getInfo.php?workbook=12_04.xlsx&amp;sheet=U0&amp;row=299&amp;col=6&amp;number=4.5&amp;sourceID=14","4.5")</f>
        <v>4.5</v>
      </c>
      <c r="G299" s="4" t="str">
        <f>HYPERLINK("http://141.218.60.56/~jnz1568/getInfo.php?workbook=12_04.xlsx&amp;sheet=U0&amp;row=299&amp;col=7&amp;number=0.0437&amp;sourceID=14","0.0437")</f>
        <v>0.0437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HYPERLINK("http://141.218.60.56/~jnz1568/getInfo.php?workbook=12_04.xlsx&amp;sheet=U0&amp;row=300&amp;col=6&amp;number=4.6&amp;sourceID=14","4.6")</f>
        <v>4.6</v>
      </c>
      <c r="G300" s="4" t="str">
        <f>HYPERLINK("http://141.218.60.56/~jnz1568/getInfo.php?workbook=12_04.xlsx&amp;sheet=U0&amp;row=300&amp;col=7&amp;number=0.0407&amp;sourceID=14","0.0407")</f>
        <v>0.0407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HYPERLINK("http://141.218.60.56/~jnz1568/getInfo.php?workbook=12_04.xlsx&amp;sheet=U0&amp;row=301&amp;col=6&amp;number=4.7&amp;sourceID=14","4.7")</f>
        <v>4.7</v>
      </c>
      <c r="G301" s="4" t="str">
        <f>HYPERLINK("http://141.218.60.56/~jnz1568/getInfo.php?workbook=12_04.xlsx&amp;sheet=U0&amp;row=301&amp;col=7&amp;number=0.0371&amp;sourceID=14","0.0371")</f>
        <v>0.0371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HYPERLINK("http://141.218.60.56/~jnz1568/getInfo.php?workbook=12_04.xlsx&amp;sheet=U0&amp;row=302&amp;col=6&amp;number=4.8&amp;sourceID=14","4.8")</f>
        <v>4.8</v>
      </c>
      <c r="G302" s="4" t="str">
        <f>HYPERLINK("http://141.218.60.56/~jnz1568/getInfo.php?workbook=12_04.xlsx&amp;sheet=U0&amp;row=302&amp;col=7&amp;number=0.033&amp;sourceID=14","0.033")</f>
        <v>0.033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HYPERLINK("http://141.218.60.56/~jnz1568/getInfo.php?workbook=12_04.xlsx&amp;sheet=U0&amp;row=303&amp;col=6&amp;number=4.9&amp;sourceID=14","4.9")</f>
        <v>4.9</v>
      </c>
      <c r="G303" s="4" t="str">
        <f>HYPERLINK("http://141.218.60.56/~jnz1568/getInfo.php?workbook=12_04.xlsx&amp;sheet=U0&amp;row=303&amp;col=7&amp;number=0.0288&amp;sourceID=14","0.0288")</f>
        <v>0.0288</v>
      </c>
    </row>
    <row r="304" spans="1:7">
      <c r="A304" s="3">
        <v>12</v>
      </c>
      <c r="B304" s="3">
        <v>4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HYPERLINK("http://141.218.60.56/~jnz1568/getInfo.php?workbook=12_04.xlsx&amp;sheet=U0&amp;row=304&amp;col=6&amp;number=3&amp;sourceID=14","3")</f>
        <v>3</v>
      </c>
      <c r="G304" s="4" t="str">
        <f>HYPERLINK("http://141.218.60.56/~jnz1568/getInfo.php?workbook=12_04.xlsx&amp;sheet=U0&amp;row=304&amp;col=7&amp;number=0.0198&amp;sourceID=14","0.0198")</f>
        <v>0.0198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HYPERLINK("http://141.218.60.56/~jnz1568/getInfo.php?workbook=12_04.xlsx&amp;sheet=U0&amp;row=305&amp;col=6&amp;number=3.1&amp;sourceID=14","3.1")</f>
        <v>3.1</v>
      </c>
      <c r="G305" s="4" t="str">
        <f>HYPERLINK("http://141.218.60.56/~jnz1568/getInfo.php?workbook=12_04.xlsx&amp;sheet=U0&amp;row=305&amp;col=7&amp;number=0.0198&amp;sourceID=14","0.0198")</f>
        <v>0.0198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HYPERLINK("http://141.218.60.56/~jnz1568/getInfo.php?workbook=12_04.xlsx&amp;sheet=U0&amp;row=306&amp;col=6&amp;number=3.2&amp;sourceID=14","3.2")</f>
        <v>3.2</v>
      </c>
      <c r="G306" s="4" t="str">
        <f>HYPERLINK("http://141.218.60.56/~jnz1568/getInfo.php?workbook=12_04.xlsx&amp;sheet=U0&amp;row=306&amp;col=7&amp;number=0.0197&amp;sourceID=14","0.0197")</f>
        <v>0.0197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HYPERLINK("http://141.218.60.56/~jnz1568/getInfo.php?workbook=12_04.xlsx&amp;sheet=U0&amp;row=307&amp;col=6&amp;number=3.3&amp;sourceID=14","3.3")</f>
        <v>3.3</v>
      </c>
      <c r="G307" s="4" t="str">
        <f>HYPERLINK("http://141.218.60.56/~jnz1568/getInfo.php?workbook=12_04.xlsx&amp;sheet=U0&amp;row=307&amp;col=7&amp;number=0.0197&amp;sourceID=14","0.0197")</f>
        <v>0.0197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HYPERLINK("http://141.218.60.56/~jnz1568/getInfo.php?workbook=12_04.xlsx&amp;sheet=U0&amp;row=308&amp;col=6&amp;number=3.4&amp;sourceID=14","3.4")</f>
        <v>3.4</v>
      </c>
      <c r="G308" s="4" t="str">
        <f>HYPERLINK("http://141.218.60.56/~jnz1568/getInfo.php?workbook=12_04.xlsx&amp;sheet=U0&amp;row=308&amp;col=7&amp;number=0.0197&amp;sourceID=14","0.0197")</f>
        <v>0.0197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HYPERLINK("http://141.218.60.56/~jnz1568/getInfo.php?workbook=12_04.xlsx&amp;sheet=U0&amp;row=309&amp;col=6&amp;number=3.5&amp;sourceID=14","3.5")</f>
        <v>3.5</v>
      </c>
      <c r="G309" s="4" t="str">
        <f>HYPERLINK("http://141.218.60.56/~jnz1568/getInfo.php?workbook=12_04.xlsx&amp;sheet=U0&amp;row=309&amp;col=7&amp;number=0.0196&amp;sourceID=14","0.0196")</f>
        <v>0.0196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HYPERLINK("http://141.218.60.56/~jnz1568/getInfo.php?workbook=12_04.xlsx&amp;sheet=U0&amp;row=310&amp;col=6&amp;number=3.6&amp;sourceID=14","3.6")</f>
        <v>3.6</v>
      </c>
      <c r="G310" s="4" t="str">
        <f>HYPERLINK("http://141.218.60.56/~jnz1568/getInfo.php?workbook=12_04.xlsx&amp;sheet=U0&amp;row=310&amp;col=7&amp;number=0.0196&amp;sourceID=14","0.0196")</f>
        <v>0.0196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HYPERLINK("http://141.218.60.56/~jnz1568/getInfo.php?workbook=12_04.xlsx&amp;sheet=U0&amp;row=311&amp;col=6&amp;number=3.7&amp;sourceID=14","3.7")</f>
        <v>3.7</v>
      </c>
      <c r="G311" s="4" t="str">
        <f>HYPERLINK("http://141.218.60.56/~jnz1568/getInfo.php?workbook=12_04.xlsx&amp;sheet=U0&amp;row=311&amp;col=7&amp;number=0.0195&amp;sourceID=14","0.0195")</f>
        <v>0.0195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HYPERLINK("http://141.218.60.56/~jnz1568/getInfo.php?workbook=12_04.xlsx&amp;sheet=U0&amp;row=312&amp;col=6&amp;number=3.8&amp;sourceID=14","3.8")</f>
        <v>3.8</v>
      </c>
      <c r="G312" s="4" t="str">
        <f>HYPERLINK("http://141.218.60.56/~jnz1568/getInfo.php?workbook=12_04.xlsx&amp;sheet=U0&amp;row=312&amp;col=7&amp;number=0.0194&amp;sourceID=14","0.0194")</f>
        <v>0.0194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HYPERLINK("http://141.218.60.56/~jnz1568/getInfo.php?workbook=12_04.xlsx&amp;sheet=U0&amp;row=313&amp;col=6&amp;number=3.9&amp;sourceID=14","3.9")</f>
        <v>3.9</v>
      </c>
      <c r="G313" s="4" t="str">
        <f>HYPERLINK("http://141.218.60.56/~jnz1568/getInfo.php?workbook=12_04.xlsx&amp;sheet=U0&amp;row=313&amp;col=7&amp;number=0.0193&amp;sourceID=14","0.0193")</f>
        <v>0.0193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HYPERLINK("http://141.218.60.56/~jnz1568/getInfo.php?workbook=12_04.xlsx&amp;sheet=U0&amp;row=314&amp;col=6&amp;number=4&amp;sourceID=14","4")</f>
        <v>4</v>
      </c>
      <c r="G314" s="4" t="str">
        <f>HYPERLINK("http://141.218.60.56/~jnz1568/getInfo.php?workbook=12_04.xlsx&amp;sheet=U0&amp;row=314&amp;col=7&amp;number=0.0191&amp;sourceID=14","0.0191")</f>
        <v>0.0191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HYPERLINK("http://141.218.60.56/~jnz1568/getInfo.php?workbook=12_04.xlsx&amp;sheet=U0&amp;row=315&amp;col=6&amp;number=4.1&amp;sourceID=14","4.1")</f>
        <v>4.1</v>
      </c>
      <c r="G315" s="4" t="str">
        <f>HYPERLINK("http://141.218.60.56/~jnz1568/getInfo.php?workbook=12_04.xlsx&amp;sheet=U0&amp;row=315&amp;col=7&amp;number=0.019&amp;sourceID=14","0.019")</f>
        <v>0.019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HYPERLINK("http://141.218.60.56/~jnz1568/getInfo.php?workbook=12_04.xlsx&amp;sheet=U0&amp;row=316&amp;col=6&amp;number=4.2&amp;sourceID=14","4.2")</f>
        <v>4.2</v>
      </c>
      <c r="G316" s="4" t="str">
        <f>HYPERLINK("http://141.218.60.56/~jnz1568/getInfo.php?workbook=12_04.xlsx&amp;sheet=U0&amp;row=316&amp;col=7&amp;number=0.0187&amp;sourceID=14","0.0187")</f>
        <v>0.0187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HYPERLINK("http://141.218.60.56/~jnz1568/getInfo.php?workbook=12_04.xlsx&amp;sheet=U0&amp;row=317&amp;col=6&amp;number=4.3&amp;sourceID=14","4.3")</f>
        <v>4.3</v>
      </c>
      <c r="G317" s="4" t="str">
        <f>HYPERLINK("http://141.218.60.56/~jnz1568/getInfo.php?workbook=12_04.xlsx&amp;sheet=U0&amp;row=317&amp;col=7&amp;number=0.0184&amp;sourceID=14","0.0184")</f>
        <v>0.0184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HYPERLINK("http://141.218.60.56/~jnz1568/getInfo.php?workbook=12_04.xlsx&amp;sheet=U0&amp;row=318&amp;col=6&amp;number=4.4&amp;sourceID=14","4.4")</f>
        <v>4.4</v>
      </c>
      <c r="G318" s="4" t="str">
        <f>HYPERLINK("http://141.218.60.56/~jnz1568/getInfo.php?workbook=12_04.xlsx&amp;sheet=U0&amp;row=318&amp;col=7&amp;number=0.0181&amp;sourceID=14","0.0181")</f>
        <v>0.0181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HYPERLINK("http://141.218.60.56/~jnz1568/getInfo.php?workbook=12_04.xlsx&amp;sheet=U0&amp;row=319&amp;col=6&amp;number=4.5&amp;sourceID=14","4.5")</f>
        <v>4.5</v>
      </c>
      <c r="G319" s="4" t="str">
        <f>HYPERLINK("http://141.218.60.56/~jnz1568/getInfo.php?workbook=12_04.xlsx&amp;sheet=U0&amp;row=319&amp;col=7&amp;number=0.0177&amp;sourceID=14","0.0177")</f>
        <v>0.0177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HYPERLINK("http://141.218.60.56/~jnz1568/getInfo.php?workbook=12_04.xlsx&amp;sheet=U0&amp;row=320&amp;col=6&amp;number=4.6&amp;sourceID=14","4.6")</f>
        <v>4.6</v>
      </c>
      <c r="G320" s="4" t="str">
        <f>HYPERLINK("http://141.218.60.56/~jnz1568/getInfo.php?workbook=12_04.xlsx&amp;sheet=U0&amp;row=320&amp;col=7&amp;number=0.0171&amp;sourceID=14","0.0171")</f>
        <v>0.0171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HYPERLINK("http://141.218.60.56/~jnz1568/getInfo.php?workbook=12_04.xlsx&amp;sheet=U0&amp;row=321&amp;col=6&amp;number=4.7&amp;sourceID=14","4.7")</f>
        <v>4.7</v>
      </c>
      <c r="G321" s="4" t="str">
        <f>HYPERLINK("http://141.218.60.56/~jnz1568/getInfo.php?workbook=12_04.xlsx&amp;sheet=U0&amp;row=321&amp;col=7&amp;number=0.0165&amp;sourceID=14","0.0165")</f>
        <v>0.0165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HYPERLINK("http://141.218.60.56/~jnz1568/getInfo.php?workbook=12_04.xlsx&amp;sheet=U0&amp;row=322&amp;col=6&amp;number=4.8&amp;sourceID=14","4.8")</f>
        <v>4.8</v>
      </c>
      <c r="G322" s="4" t="str">
        <f>HYPERLINK("http://141.218.60.56/~jnz1568/getInfo.php?workbook=12_04.xlsx&amp;sheet=U0&amp;row=322&amp;col=7&amp;number=0.0157&amp;sourceID=14","0.0157")</f>
        <v>0.0157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HYPERLINK("http://141.218.60.56/~jnz1568/getInfo.php?workbook=12_04.xlsx&amp;sheet=U0&amp;row=323&amp;col=6&amp;number=4.9&amp;sourceID=14","4.9")</f>
        <v>4.9</v>
      </c>
      <c r="G323" s="4" t="str">
        <f>HYPERLINK("http://141.218.60.56/~jnz1568/getInfo.php?workbook=12_04.xlsx&amp;sheet=U0&amp;row=323&amp;col=7&amp;number=0.0147&amp;sourceID=14","0.0147")</f>
        <v>0.0147</v>
      </c>
    </row>
    <row r="324" spans="1:7">
      <c r="A324" s="3">
        <v>12</v>
      </c>
      <c r="B324" s="3">
        <v>4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HYPERLINK("http://141.218.60.56/~jnz1568/getInfo.php?workbook=12_04.xlsx&amp;sheet=U0&amp;row=324&amp;col=6&amp;number=3&amp;sourceID=14","3")</f>
        <v>3</v>
      </c>
      <c r="G324" s="4" t="str">
        <f>HYPERLINK("http://141.218.60.56/~jnz1568/getInfo.php?workbook=12_04.xlsx&amp;sheet=U0&amp;row=324&amp;col=7&amp;number=0.0337&amp;sourceID=14","0.0337")</f>
        <v>0.0337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HYPERLINK("http://141.218.60.56/~jnz1568/getInfo.php?workbook=12_04.xlsx&amp;sheet=U0&amp;row=325&amp;col=6&amp;number=3.1&amp;sourceID=14","3.1")</f>
        <v>3.1</v>
      </c>
      <c r="G325" s="4" t="str">
        <f>HYPERLINK("http://141.218.60.56/~jnz1568/getInfo.php?workbook=12_04.xlsx&amp;sheet=U0&amp;row=325&amp;col=7&amp;number=0.0336&amp;sourceID=14","0.0336")</f>
        <v>0.0336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HYPERLINK("http://141.218.60.56/~jnz1568/getInfo.php?workbook=12_04.xlsx&amp;sheet=U0&amp;row=326&amp;col=6&amp;number=3.2&amp;sourceID=14","3.2")</f>
        <v>3.2</v>
      </c>
      <c r="G326" s="4" t="str">
        <f>HYPERLINK("http://141.218.60.56/~jnz1568/getInfo.php?workbook=12_04.xlsx&amp;sheet=U0&amp;row=326&amp;col=7&amp;number=0.0336&amp;sourceID=14","0.0336")</f>
        <v>0.0336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HYPERLINK("http://141.218.60.56/~jnz1568/getInfo.php?workbook=12_04.xlsx&amp;sheet=U0&amp;row=327&amp;col=6&amp;number=3.3&amp;sourceID=14","3.3")</f>
        <v>3.3</v>
      </c>
      <c r="G327" s="4" t="str">
        <f>HYPERLINK("http://141.218.60.56/~jnz1568/getInfo.php?workbook=12_04.xlsx&amp;sheet=U0&amp;row=327&amp;col=7&amp;number=0.0336&amp;sourceID=14","0.0336")</f>
        <v>0.0336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HYPERLINK("http://141.218.60.56/~jnz1568/getInfo.php?workbook=12_04.xlsx&amp;sheet=U0&amp;row=328&amp;col=6&amp;number=3.4&amp;sourceID=14","3.4")</f>
        <v>3.4</v>
      </c>
      <c r="G328" s="4" t="str">
        <f>HYPERLINK("http://141.218.60.56/~jnz1568/getInfo.php?workbook=12_04.xlsx&amp;sheet=U0&amp;row=328&amp;col=7&amp;number=0.0335&amp;sourceID=14","0.0335")</f>
        <v>0.0335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HYPERLINK("http://141.218.60.56/~jnz1568/getInfo.php?workbook=12_04.xlsx&amp;sheet=U0&amp;row=329&amp;col=6&amp;number=3.5&amp;sourceID=14","3.5")</f>
        <v>3.5</v>
      </c>
      <c r="G329" s="4" t="str">
        <f>HYPERLINK("http://141.218.60.56/~jnz1568/getInfo.php?workbook=12_04.xlsx&amp;sheet=U0&amp;row=329&amp;col=7&amp;number=0.0334&amp;sourceID=14","0.0334")</f>
        <v>0.0334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HYPERLINK("http://141.218.60.56/~jnz1568/getInfo.php?workbook=12_04.xlsx&amp;sheet=U0&amp;row=330&amp;col=6&amp;number=3.6&amp;sourceID=14","3.6")</f>
        <v>3.6</v>
      </c>
      <c r="G330" s="4" t="str">
        <f>HYPERLINK("http://141.218.60.56/~jnz1568/getInfo.php?workbook=12_04.xlsx&amp;sheet=U0&amp;row=330&amp;col=7&amp;number=0.0333&amp;sourceID=14","0.0333")</f>
        <v>0.0333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HYPERLINK("http://141.218.60.56/~jnz1568/getInfo.php?workbook=12_04.xlsx&amp;sheet=U0&amp;row=331&amp;col=6&amp;number=3.7&amp;sourceID=14","3.7")</f>
        <v>3.7</v>
      </c>
      <c r="G331" s="4" t="str">
        <f>HYPERLINK("http://141.218.60.56/~jnz1568/getInfo.php?workbook=12_04.xlsx&amp;sheet=U0&amp;row=331&amp;col=7&amp;number=0.0332&amp;sourceID=14","0.0332")</f>
        <v>0.0332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HYPERLINK("http://141.218.60.56/~jnz1568/getInfo.php?workbook=12_04.xlsx&amp;sheet=U0&amp;row=332&amp;col=6&amp;number=3.8&amp;sourceID=14","3.8")</f>
        <v>3.8</v>
      </c>
      <c r="G332" s="4" t="str">
        <f>HYPERLINK("http://141.218.60.56/~jnz1568/getInfo.php?workbook=12_04.xlsx&amp;sheet=U0&amp;row=332&amp;col=7&amp;number=0.033&amp;sourceID=14","0.033")</f>
        <v>0.033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HYPERLINK("http://141.218.60.56/~jnz1568/getInfo.php?workbook=12_04.xlsx&amp;sheet=U0&amp;row=333&amp;col=6&amp;number=3.9&amp;sourceID=14","3.9")</f>
        <v>3.9</v>
      </c>
      <c r="G333" s="4" t="str">
        <f>HYPERLINK("http://141.218.60.56/~jnz1568/getInfo.php?workbook=12_04.xlsx&amp;sheet=U0&amp;row=333&amp;col=7&amp;number=0.0328&amp;sourceID=14","0.0328")</f>
        <v>0.0328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HYPERLINK("http://141.218.60.56/~jnz1568/getInfo.php?workbook=12_04.xlsx&amp;sheet=U0&amp;row=334&amp;col=6&amp;number=4&amp;sourceID=14","4")</f>
        <v>4</v>
      </c>
      <c r="G334" s="4" t="str">
        <f>HYPERLINK("http://141.218.60.56/~jnz1568/getInfo.php?workbook=12_04.xlsx&amp;sheet=U0&amp;row=334&amp;col=7&amp;number=0.0326&amp;sourceID=14","0.0326")</f>
        <v>0.0326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HYPERLINK("http://141.218.60.56/~jnz1568/getInfo.php?workbook=12_04.xlsx&amp;sheet=U0&amp;row=335&amp;col=6&amp;number=4.1&amp;sourceID=14","4.1")</f>
        <v>4.1</v>
      </c>
      <c r="G335" s="4" t="str">
        <f>HYPERLINK("http://141.218.60.56/~jnz1568/getInfo.php?workbook=12_04.xlsx&amp;sheet=U0&amp;row=335&amp;col=7&amp;number=0.0322&amp;sourceID=14","0.0322")</f>
        <v>0.0322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HYPERLINK("http://141.218.60.56/~jnz1568/getInfo.php?workbook=12_04.xlsx&amp;sheet=U0&amp;row=336&amp;col=6&amp;number=4.2&amp;sourceID=14","4.2")</f>
        <v>4.2</v>
      </c>
      <c r="G336" s="4" t="str">
        <f>HYPERLINK("http://141.218.60.56/~jnz1568/getInfo.php?workbook=12_04.xlsx&amp;sheet=U0&amp;row=336&amp;col=7&amp;number=0.0318&amp;sourceID=14","0.0318")</f>
        <v>0.0318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HYPERLINK("http://141.218.60.56/~jnz1568/getInfo.php?workbook=12_04.xlsx&amp;sheet=U0&amp;row=337&amp;col=6&amp;number=4.3&amp;sourceID=14","4.3")</f>
        <v>4.3</v>
      </c>
      <c r="G337" s="4" t="str">
        <f>HYPERLINK("http://141.218.60.56/~jnz1568/getInfo.php?workbook=12_04.xlsx&amp;sheet=U0&amp;row=337&amp;col=7&amp;number=0.0313&amp;sourceID=14","0.0313")</f>
        <v>0.0313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HYPERLINK("http://141.218.60.56/~jnz1568/getInfo.php?workbook=12_04.xlsx&amp;sheet=U0&amp;row=338&amp;col=6&amp;number=4.4&amp;sourceID=14","4.4")</f>
        <v>4.4</v>
      </c>
      <c r="G338" s="4" t="str">
        <f>HYPERLINK("http://141.218.60.56/~jnz1568/getInfo.php?workbook=12_04.xlsx&amp;sheet=U0&amp;row=338&amp;col=7&amp;number=0.0307&amp;sourceID=14","0.0307")</f>
        <v>0.0307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HYPERLINK("http://141.218.60.56/~jnz1568/getInfo.php?workbook=12_04.xlsx&amp;sheet=U0&amp;row=339&amp;col=6&amp;number=4.5&amp;sourceID=14","4.5")</f>
        <v>4.5</v>
      </c>
      <c r="G339" s="4" t="str">
        <f>HYPERLINK("http://141.218.60.56/~jnz1568/getInfo.php?workbook=12_04.xlsx&amp;sheet=U0&amp;row=339&amp;col=7&amp;number=0.03&amp;sourceID=14","0.03")</f>
        <v>0.03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HYPERLINK("http://141.218.60.56/~jnz1568/getInfo.php?workbook=12_04.xlsx&amp;sheet=U0&amp;row=340&amp;col=6&amp;number=4.6&amp;sourceID=14","4.6")</f>
        <v>4.6</v>
      </c>
      <c r="G340" s="4" t="str">
        <f>HYPERLINK("http://141.218.60.56/~jnz1568/getInfo.php?workbook=12_04.xlsx&amp;sheet=U0&amp;row=340&amp;col=7&amp;number=0.029&amp;sourceID=14","0.029")</f>
        <v>0.029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HYPERLINK("http://141.218.60.56/~jnz1568/getInfo.php?workbook=12_04.xlsx&amp;sheet=U0&amp;row=341&amp;col=6&amp;number=4.7&amp;sourceID=14","4.7")</f>
        <v>4.7</v>
      </c>
      <c r="G341" s="4" t="str">
        <f>HYPERLINK("http://141.218.60.56/~jnz1568/getInfo.php?workbook=12_04.xlsx&amp;sheet=U0&amp;row=341&amp;col=7&amp;number=0.0279&amp;sourceID=14","0.0279")</f>
        <v>0.0279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HYPERLINK("http://141.218.60.56/~jnz1568/getInfo.php?workbook=12_04.xlsx&amp;sheet=U0&amp;row=342&amp;col=6&amp;number=4.8&amp;sourceID=14","4.8")</f>
        <v>4.8</v>
      </c>
      <c r="G342" s="4" t="str">
        <f>HYPERLINK("http://141.218.60.56/~jnz1568/getInfo.php?workbook=12_04.xlsx&amp;sheet=U0&amp;row=342&amp;col=7&amp;number=0.0265&amp;sourceID=14","0.0265")</f>
        <v>0.0265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HYPERLINK("http://141.218.60.56/~jnz1568/getInfo.php?workbook=12_04.xlsx&amp;sheet=U0&amp;row=343&amp;col=6&amp;number=4.9&amp;sourceID=14","4.9")</f>
        <v>4.9</v>
      </c>
      <c r="G343" s="4" t="str">
        <f>HYPERLINK("http://141.218.60.56/~jnz1568/getInfo.php?workbook=12_04.xlsx&amp;sheet=U0&amp;row=343&amp;col=7&amp;number=0.0249&amp;sourceID=14","0.0249")</f>
        <v>0.0249</v>
      </c>
    </row>
    <row r="344" spans="1:7">
      <c r="A344" s="3">
        <v>12</v>
      </c>
      <c r="B344" s="3">
        <v>4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HYPERLINK("http://141.218.60.56/~jnz1568/getInfo.php?workbook=12_04.xlsx&amp;sheet=U0&amp;row=344&amp;col=6&amp;number=3&amp;sourceID=14","3")</f>
        <v>3</v>
      </c>
      <c r="G344" s="4" t="str">
        <f>HYPERLINK("http://141.218.60.56/~jnz1568/getInfo.php?workbook=12_04.xlsx&amp;sheet=U0&amp;row=344&amp;col=7&amp;number=0.0472&amp;sourceID=14","0.0472")</f>
        <v>0.0472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HYPERLINK("http://141.218.60.56/~jnz1568/getInfo.php?workbook=12_04.xlsx&amp;sheet=U0&amp;row=345&amp;col=6&amp;number=3.1&amp;sourceID=14","3.1")</f>
        <v>3.1</v>
      </c>
      <c r="G345" s="4" t="str">
        <f>HYPERLINK("http://141.218.60.56/~jnz1568/getInfo.php?workbook=12_04.xlsx&amp;sheet=U0&amp;row=345&amp;col=7&amp;number=0.0471&amp;sourceID=14","0.0471")</f>
        <v>0.0471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HYPERLINK("http://141.218.60.56/~jnz1568/getInfo.php?workbook=12_04.xlsx&amp;sheet=U0&amp;row=346&amp;col=6&amp;number=3.2&amp;sourceID=14","3.2")</f>
        <v>3.2</v>
      </c>
      <c r="G346" s="4" t="str">
        <f>HYPERLINK("http://141.218.60.56/~jnz1568/getInfo.php?workbook=12_04.xlsx&amp;sheet=U0&amp;row=346&amp;col=7&amp;number=0.0471&amp;sourceID=14","0.0471")</f>
        <v>0.0471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HYPERLINK("http://141.218.60.56/~jnz1568/getInfo.php?workbook=12_04.xlsx&amp;sheet=U0&amp;row=347&amp;col=6&amp;number=3.3&amp;sourceID=14","3.3")</f>
        <v>3.3</v>
      </c>
      <c r="G347" s="4" t="str">
        <f>HYPERLINK("http://141.218.60.56/~jnz1568/getInfo.php?workbook=12_04.xlsx&amp;sheet=U0&amp;row=347&amp;col=7&amp;number=0.047&amp;sourceID=14","0.047")</f>
        <v>0.047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HYPERLINK("http://141.218.60.56/~jnz1568/getInfo.php?workbook=12_04.xlsx&amp;sheet=U0&amp;row=348&amp;col=6&amp;number=3.4&amp;sourceID=14","3.4")</f>
        <v>3.4</v>
      </c>
      <c r="G348" s="4" t="str">
        <f>HYPERLINK("http://141.218.60.56/~jnz1568/getInfo.php?workbook=12_04.xlsx&amp;sheet=U0&amp;row=348&amp;col=7&amp;number=0.0469&amp;sourceID=14","0.0469")</f>
        <v>0.0469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HYPERLINK("http://141.218.60.56/~jnz1568/getInfo.php?workbook=12_04.xlsx&amp;sheet=U0&amp;row=349&amp;col=6&amp;number=3.5&amp;sourceID=14","3.5")</f>
        <v>3.5</v>
      </c>
      <c r="G349" s="4" t="str">
        <f>HYPERLINK("http://141.218.60.56/~jnz1568/getInfo.php?workbook=12_04.xlsx&amp;sheet=U0&amp;row=349&amp;col=7&amp;number=0.0468&amp;sourceID=14","0.0468")</f>
        <v>0.0468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HYPERLINK("http://141.218.60.56/~jnz1568/getInfo.php?workbook=12_04.xlsx&amp;sheet=U0&amp;row=350&amp;col=6&amp;number=3.6&amp;sourceID=14","3.6")</f>
        <v>3.6</v>
      </c>
      <c r="G350" s="4" t="str">
        <f>HYPERLINK("http://141.218.60.56/~jnz1568/getInfo.php?workbook=12_04.xlsx&amp;sheet=U0&amp;row=350&amp;col=7&amp;number=0.0466&amp;sourceID=14","0.0466")</f>
        <v>0.0466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HYPERLINK("http://141.218.60.56/~jnz1568/getInfo.php?workbook=12_04.xlsx&amp;sheet=U0&amp;row=351&amp;col=6&amp;number=3.7&amp;sourceID=14","3.7")</f>
        <v>3.7</v>
      </c>
      <c r="G351" s="4" t="str">
        <f>HYPERLINK("http://141.218.60.56/~jnz1568/getInfo.php?workbook=12_04.xlsx&amp;sheet=U0&amp;row=351&amp;col=7&amp;number=0.0465&amp;sourceID=14","0.0465")</f>
        <v>0.0465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HYPERLINK("http://141.218.60.56/~jnz1568/getInfo.php?workbook=12_04.xlsx&amp;sheet=U0&amp;row=352&amp;col=6&amp;number=3.8&amp;sourceID=14","3.8")</f>
        <v>3.8</v>
      </c>
      <c r="G352" s="4" t="str">
        <f>HYPERLINK("http://141.218.60.56/~jnz1568/getInfo.php?workbook=12_04.xlsx&amp;sheet=U0&amp;row=352&amp;col=7&amp;number=0.0462&amp;sourceID=14","0.0462")</f>
        <v>0.0462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HYPERLINK("http://141.218.60.56/~jnz1568/getInfo.php?workbook=12_04.xlsx&amp;sheet=U0&amp;row=353&amp;col=6&amp;number=3.9&amp;sourceID=14","3.9")</f>
        <v>3.9</v>
      </c>
      <c r="G353" s="4" t="str">
        <f>HYPERLINK("http://141.218.60.56/~jnz1568/getInfo.php?workbook=12_04.xlsx&amp;sheet=U0&amp;row=353&amp;col=7&amp;number=0.0459&amp;sourceID=14","0.0459")</f>
        <v>0.0459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HYPERLINK("http://141.218.60.56/~jnz1568/getInfo.php?workbook=12_04.xlsx&amp;sheet=U0&amp;row=354&amp;col=6&amp;number=4&amp;sourceID=14","4")</f>
        <v>4</v>
      </c>
      <c r="G354" s="4" t="str">
        <f>HYPERLINK("http://141.218.60.56/~jnz1568/getInfo.php?workbook=12_04.xlsx&amp;sheet=U0&amp;row=354&amp;col=7&amp;number=0.0456&amp;sourceID=14","0.0456")</f>
        <v>0.0456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HYPERLINK("http://141.218.60.56/~jnz1568/getInfo.php?workbook=12_04.xlsx&amp;sheet=U0&amp;row=355&amp;col=6&amp;number=4.1&amp;sourceID=14","4.1")</f>
        <v>4.1</v>
      </c>
      <c r="G355" s="4" t="str">
        <f>HYPERLINK("http://141.218.60.56/~jnz1568/getInfo.php?workbook=12_04.xlsx&amp;sheet=U0&amp;row=355&amp;col=7&amp;number=0.0451&amp;sourceID=14","0.0451")</f>
        <v>0.0451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HYPERLINK("http://141.218.60.56/~jnz1568/getInfo.php?workbook=12_04.xlsx&amp;sheet=U0&amp;row=356&amp;col=6&amp;number=4.2&amp;sourceID=14","4.2")</f>
        <v>4.2</v>
      </c>
      <c r="G356" s="4" t="str">
        <f>HYPERLINK("http://141.218.60.56/~jnz1568/getInfo.php?workbook=12_04.xlsx&amp;sheet=U0&amp;row=356&amp;col=7&amp;number=0.0446&amp;sourceID=14","0.0446")</f>
        <v>0.0446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HYPERLINK("http://141.218.60.56/~jnz1568/getInfo.php?workbook=12_04.xlsx&amp;sheet=U0&amp;row=357&amp;col=6&amp;number=4.3&amp;sourceID=14","4.3")</f>
        <v>4.3</v>
      </c>
      <c r="G357" s="4" t="str">
        <f>HYPERLINK("http://141.218.60.56/~jnz1568/getInfo.php?workbook=12_04.xlsx&amp;sheet=U0&amp;row=357&amp;col=7&amp;number=0.0439&amp;sourceID=14","0.0439")</f>
        <v>0.0439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HYPERLINK("http://141.218.60.56/~jnz1568/getInfo.php?workbook=12_04.xlsx&amp;sheet=U0&amp;row=358&amp;col=6&amp;number=4.4&amp;sourceID=14","4.4")</f>
        <v>4.4</v>
      </c>
      <c r="G358" s="4" t="str">
        <f>HYPERLINK("http://141.218.60.56/~jnz1568/getInfo.php?workbook=12_04.xlsx&amp;sheet=U0&amp;row=358&amp;col=7&amp;number=0.043&amp;sourceID=14","0.043")</f>
        <v>0.043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HYPERLINK("http://141.218.60.56/~jnz1568/getInfo.php?workbook=12_04.xlsx&amp;sheet=U0&amp;row=359&amp;col=6&amp;number=4.5&amp;sourceID=14","4.5")</f>
        <v>4.5</v>
      </c>
      <c r="G359" s="4" t="str">
        <f>HYPERLINK("http://141.218.60.56/~jnz1568/getInfo.php?workbook=12_04.xlsx&amp;sheet=U0&amp;row=359&amp;col=7&amp;number=0.0419&amp;sourceID=14","0.0419")</f>
        <v>0.0419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HYPERLINK("http://141.218.60.56/~jnz1568/getInfo.php?workbook=12_04.xlsx&amp;sheet=U0&amp;row=360&amp;col=6&amp;number=4.6&amp;sourceID=14","4.6")</f>
        <v>4.6</v>
      </c>
      <c r="G360" s="4" t="str">
        <f>HYPERLINK("http://141.218.60.56/~jnz1568/getInfo.php?workbook=12_04.xlsx&amp;sheet=U0&amp;row=360&amp;col=7&amp;number=0.0406&amp;sourceID=14","0.0406")</f>
        <v>0.0406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HYPERLINK("http://141.218.60.56/~jnz1568/getInfo.php?workbook=12_04.xlsx&amp;sheet=U0&amp;row=361&amp;col=6&amp;number=4.7&amp;sourceID=14","4.7")</f>
        <v>4.7</v>
      </c>
      <c r="G361" s="4" t="str">
        <f>HYPERLINK("http://141.218.60.56/~jnz1568/getInfo.php?workbook=12_04.xlsx&amp;sheet=U0&amp;row=361&amp;col=7&amp;number=0.039&amp;sourceID=14","0.039")</f>
        <v>0.039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HYPERLINK("http://141.218.60.56/~jnz1568/getInfo.php?workbook=12_04.xlsx&amp;sheet=U0&amp;row=362&amp;col=6&amp;number=4.8&amp;sourceID=14","4.8")</f>
        <v>4.8</v>
      </c>
      <c r="G362" s="4" t="str">
        <f>HYPERLINK("http://141.218.60.56/~jnz1568/getInfo.php?workbook=12_04.xlsx&amp;sheet=U0&amp;row=362&amp;col=7&amp;number=0.037&amp;sourceID=14","0.037")</f>
        <v>0.037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HYPERLINK("http://141.218.60.56/~jnz1568/getInfo.php?workbook=12_04.xlsx&amp;sheet=U0&amp;row=363&amp;col=6&amp;number=4.9&amp;sourceID=14","4.9")</f>
        <v>4.9</v>
      </c>
      <c r="G363" s="4" t="str">
        <f>HYPERLINK("http://141.218.60.56/~jnz1568/getInfo.php?workbook=12_04.xlsx&amp;sheet=U0&amp;row=363&amp;col=7&amp;number=0.0347&amp;sourceID=14","0.0347")</f>
        <v>0.0347</v>
      </c>
    </row>
    <row r="364" spans="1:7">
      <c r="A364" s="3">
        <v>12</v>
      </c>
      <c r="B364" s="3">
        <v>4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HYPERLINK("http://141.218.60.56/~jnz1568/getInfo.php?workbook=12_04.xlsx&amp;sheet=U0&amp;row=364&amp;col=6&amp;number=3&amp;sourceID=14","3")</f>
        <v>3</v>
      </c>
      <c r="G364" s="4" t="str">
        <f>HYPERLINK("http://141.218.60.56/~jnz1568/getInfo.php?workbook=12_04.xlsx&amp;sheet=U0&amp;row=364&amp;col=7&amp;number=0.0609&amp;sourceID=14","0.0609")</f>
        <v>0.0609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HYPERLINK("http://141.218.60.56/~jnz1568/getInfo.php?workbook=12_04.xlsx&amp;sheet=U0&amp;row=365&amp;col=6&amp;number=3.1&amp;sourceID=14","3.1")</f>
        <v>3.1</v>
      </c>
      <c r="G365" s="4" t="str">
        <f>HYPERLINK("http://141.218.60.56/~jnz1568/getInfo.php?workbook=12_04.xlsx&amp;sheet=U0&amp;row=365&amp;col=7&amp;number=0.0609&amp;sourceID=14","0.0609")</f>
        <v>0.0609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HYPERLINK("http://141.218.60.56/~jnz1568/getInfo.php?workbook=12_04.xlsx&amp;sheet=U0&amp;row=366&amp;col=6&amp;number=3.2&amp;sourceID=14","3.2")</f>
        <v>3.2</v>
      </c>
      <c r="G366" s="4" t="str">
        <f>HYPERLINK("http://141.218.60.56/~jnz1568/getInfo.php?workbook=12_04.xlsx&amp;sheet=U0&amp;row=366&amp;col=7&amp;number=0.0609&amp;sourceID=14","0.0609")</f>
        <v>0.0609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HYPERLINK("http://141.218.60.56/~jnz1568/getInfo.php?workbook=12_04.xlsx&amp;sheet=U0&amp;row=367&amp;col=6&amp;number=3.3&amp;sourceID=14","3.3")</f>
        <v>3.3</v>
      </c>
      <c r="G367" s="4" t="str">
        <f>HYPERLINK("http://141.218.60.56/~jnz1568/getInfo.php?workbook=12_04.xlsx&amp;sheet=U0&amp;row=367&amp;col=7&amp;number=0.0609&amp;sourceID=14","0.0609")</f>
        <v>0.0609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HYPERLINK("http://141.218.60.56/~jnz1568/getInfo.php?workbook=12_04.xlsx&amp;sheet=U0&amp;row=368&amp;col=6&amp;number=3.4&amp;sourceID=14","3.4")</f>
        <v>3.4</v>
      </c>
      <c r="G368" s="4" t="str">
        <f>HYPERLINK("http://141.218.60.56/~jnz1568/getInfo.php?workbook=12_04.xlsx&amp;sheet=U0&amp;row=368&amp;col=7&amp;number=0.061&amp;sourceID=14","0.061")</f>
        <v>0.061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HYPERLINK("http://141.218.60.56/~jnz1568/getInfo.php?workbook=12_04.xlsx&amp;sheet=U0&amp;row=369&amp;col=6&amp;number=3.5&amp;sourceID=14","3.5")</f>
        <v>3.5</v>
      </c>
      <c r="G369" s="4" t="str">
        <f>HYPERLINK("http://141.218.60.56/~jnz1568/getInfo.php?workbook=12_04.xlsx&amp;sheet=U0&amp;row=369&amp;col=7&amp;number=0.061&amp;sourceID=14","0.061")</f>
        <v>0.061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HYPERLINK("http://141.218.60.56/~jnz1568/getInfo.php?workbook=12_04.xlsx&amp;sheet=U0&amp;row=370&amp;col=6&amp;number=3.6&amp;sourceID=14","3.6")</f>
        <v>3.6</v>
      </c>
      <c r="G370" s="4" t="str">
        <f>HYPERLINK("http://141.218.60.56/~jnz1568/getInfo.php?workbook=12_04.xlsx&amp;sheet=U0&amp;row=370&amp;col=7&amp;number=0.061&amp;sourceID=14","0.061")</f>
        <v>0.061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HYPERLINK("http://141.218.60.56/~jnz1568/getInfo.php?workbook=12_04.xlsx&amp;sheet=U0&amp;row=371&amp;col=6&amp;number=3.7&amp;sourceID=14","3.7")</f>
        <v>3.7</v>
      </c>
      <c r="G371" s="4" t="str">
        <f>HYPERLINK("http://141.218.60.56/~jnz1568/getInfo.php?workbook=12_04.xlsx&amp;sheet=U0&amp;row=371&amp;col=7&amp;number=0.0611&amp;sourceID=14","0.0611")</f>
        <v>0.0611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HYPERLINK("http://141.218.60.56/~jnz1568/getInfo.php?workbook=12_04.xlsx&amp;sheet=U0&amp;row=372&amp;col=6&amp;number=3.8&amp;sourceID=14","3.8")</f>
        <v>3.8</v>
      </c>
      <c r="G372" s="4" t="str">
        <f>HYPERLINK("http://141.218.60.56/~jnz1568/getInfo.php?workbook=12_04.xlsx&amp;sheet=U0&amp;row=372&amp;col=7&amp;number=0.0611&amp;sourceID=14","0.0611")</f>
        <v>0.0611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HYPERLINK("http://141.218.60.56/~jnz1568/getInfo.php?workbook=12_04.xlsx&amp;sheet=U0&amp;row=373&amp;col=6&amp;number=3.9&amp;sourceID=14","3.9")</f>
        <v>3.9</v>
      </c>
      <c r="G373" s="4" t="str">
        <f>HYPERLINK("http://141.218.60.56/~jnz1568/getInfo.php?workbook=12_04.xlsx&amp;sheet=U0&amp;row=373&amp;col=7&amp;number=0.0612&amp;sourceID=14","0.0612")</f>
        <v>0.0612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HYPERLINK("http://141.218.60.56/~jnz1568/getInfo.php?workbook=12_04.xlsx&amp;sheet=U0&amp;row=374&amp;col=6&amp;number=4&amp;sourceID=14","4")</f>
        <v>4</v>
      </c>
      <c r="G374" s="4" t="str">
        <f>HYPERLINK("http://141.218.60.56/~jnz1568/getInfo.php?workbook=12_04.xlsx&amp;sheet=U0&amp;row=374&amp;col=7&amp;number=0.0613&amp;sourceID=14","0.0613")</f>
        <v>0.0613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HYPERLINK("http://141.218.60.56/~jnz1568/getInfo.php?workbook=12_04.xlsx&amp;sheet=U0&amp;row=375&amp;col=6&amp;number=4.1&amp;sourceID=14","4.1")</f>
        <v>4.1</v>
      </c>
      <c r="G375" s="4" t="str">
        <f>HYPERLINK("http://141.218.60.56/~jnz1568/getInfo.php?workbook=12_04.xlsx&amp;sheet=U0&amp;row=375&amp;col=7&amp;number=0.0614&amp;sourceID=14","0.0614")</f>
        <v>0.0614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HYPERLINK("http://141.218.60.56/~jnz1568/getInfo.php?workbook=12_04.xlsx&amp;sheet=U0&amp;row=376&amp;col=6&amp;number=4.2&amp;sourceID=14","4.2")</f>
        <v>4.2</v>
      </c>
      <c r="G376" s="4" t="str">
        <f>HYPERLINK("http://141.218.60.56/~jnz1568/getInfo.php?workbook=12_04.xlsx&amp;sheet=U0&amp;row=376&amp;col=7&amp;number=0.0616&amp;sourceID=14","0.0616")</f>
        <v>0.0616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HYPERLINK("http://141.218.60.56/~jnz1568/getInfo.php?workbook=12_04.xlsx&amp;sheet=U0&amp;row=377&amp;col=6&amp;number=4.3&amp;sourceID=14","4.3")</f>
        <v>4.3</v>
      </c>
      <c r="G377" s="4" t="str">
        <f>HYPERLINK("http://141.218.60.56/~jnz1568/getInfo.php?workbook=12_04.xlsx&amp;sheet=U0&amp;row=377&amp;col=7&amp;number=0.0618&amp;sourceID=14","0.0618")</f>
        <v>0.0618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HYPERLINK("http://141.218.60.56/~jnz1568/getInfo.php?workbook=12_04.xlsx&amp;sheet=U0&amp;row=378&amp;col=6&amp;number=4.4&amp;sourceID=14","4.4")</f>
        <v>4.4</v>
      </c>
      <c r="G378" s="4" t="str">
        <f>HYPERLINK("http://141.218.60.56/~jnz1568/getInfo.php?workbook=12_04.xlsx&amp;sheet=U0&amp;row=378&amp;col=7&amp;number=0.062&amp;sourceID=14","0.062")</f>
        <v>0.062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HYPERLINK("http://141.218.60.56/~jnz1568/getInfo.php?workbook=12_04.xlsx&amp;sheet=U0&amp;row=379&amp;col=6&amp;number=4.5&amp;sourceID=14","4.5")</f>
        <v>4.5</v>
      </c>
      <c r="G379" s="4" t="str">
        <f>HYPERLINK("http://141.218.60.56/~jnz1568/getInfo.php?workbook=12_04.xlsx&amp;sheet=U0&amp;row=379&amp;col=7&amp;number=0.0623&amp;sourceID=14","0.0623")</f>
        <v>0.0623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HYPERLINK("http://141.218.60.56/~jnz1568/getInfo.php?workbook=12_04.xlsx&amp;sheet=U0&amp;row=380&amp;col=6&amp;number=4.6&amp;sourceID=14","4.6")</f>
        <v>4.6</v>
      </c>
      <c r="G380" s="4" t="str">
        <f>HYPERLINK("http://141.218.60.56/~jnz1568/getInfo.php?workbook=12_04.xlsx&amp;sheet=U0&amp;row=380&amp;col=7&amp;number=0.0627&amp;sourceID=14","0.0627")</f>
        <v>0.0627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HYPERLINK("http://141.218.60.56/~jnz1568/getInfo.php?workbook=12_04.xlsx&amp;sheet=U0&amp;row=381&amp;col=6&amp;number=4.7&amp;sourceID=14","4.7")</f>
        <v>4.7</v>
      </c>
      <c r="G381" s="4" t="str">
        <f>HYPERLINK("http://141.218.60.56/~jnz1568/getInfo.php?workbook=12_04.xlsx&amp;sheet=U0&amp;row=381&amp;col=7&amp;number=0.0632&amp;sourceID=14","0.0632")</f>
        <v>0.0632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HYPERLINK("http://141.218.60.56/~jnz1568/getInfo.php?workbook=12_04.xlsx&amp;sheet=U0&amp;row=382&amp;col=6&amp;number=4.8&amp;sourceID=14","4.8")</f>
        <v>4.8</v>
      </c>
      <c r="G382" s="4" t="str">
        <f>HYPERLINK("http://141.218.60.56/~jnz1568/getInfo.php?workbook=12_04.xlsx&amp;sheet=U0&amp;row=382&amp;col=7&amp;number=0.0638&amp;sourceID=14","0.0638")</f>
        <v>0.0638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HYPERLINK("http://141.218.60.56/~jnz1568/getInfo.php?workbook=12_04.xlsx&amp;sheet=U0&amp;row=383&amp;col=6&amp;number=4.9&amp;sourceID=14","4.9")</f>
        <v>4.9</v>
      </c>
      <c r="G383" s="4" t="str">
        <f>HYPERLINK("http://141.218.60.56/~jnz1568/getInfo.php?workbook=12_04.xlsx&amp;sheet=U0&amp;row=383&amp;col=7&amp;number=0.0644&amp;sourceID=14","0.0644")</f>
        <v>0.0644</v>
      </c>
    </row>
    <row r="384" spans="1:7">
      <c r="A384" s="3">
        <v>12</v>
      </c>
      <c r="B384" s="3">
        <v>4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HYPERLINK("http://141.218.60.56/~jnz1568/getInfo.php?workbook=12_04.xlsx&amp;sheet=U0&amp;row=384&amp;col=6&amp;number=3&amp;sourceID=14","3")</f>
        <v>3</v>
      </c>
      <c r="G384" s="4" t="str">
        <f>HYPERLINK("http://141.218.60.56/~jnz1568/getInfo.php?workbook=12_04.xlsx&amp;sheet=U0&amp;row=384&amp;col=7&amp;number=0.00174&amp;sourceID=14","0.00174")</f>
        <v>0.00174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HYPERLINK("http://141.218.60.56/~jnz1568/getInfo.php?workbook=12_04.xlsx&amp;sheet=U0&amp;row=385&amp;col=6&amp;number=3.1&amp;sourceID=14","3.1")</f>
        <v>3.1</v>
      </c>
      <c r="G385" s="4" t="str">
        <f>HYPERLINK("http://141.218.60.56/~jnz1568/getInfo.php?workbook=12_04.xlsx&amp;sheet=U0&amp;row=385&amp;col=7&amp;number=0.00174&amp;sourceID=14","0.00174")</f>
        <v>0.00174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HYPERLINK("http://141.218.60.56/~jnz1568/getInfo.php?workbook=12_04.xlsx&amp;sheet=U0&amp;row=386&amp;col=6&amp;number=3.2&amp;sourceID=14","3.2")</f>
        <v>3.2</v>
      </c>
      <c r="G386" s="4" t="str">
        <f>HYPERLINK("http://141.218.60.56/~jnz1568/getInfo.php?workbook=12_04.xlsx&amp;sheet=U0&amp;row=386&amp;col=7&amp;number=0.00174&amp;sourceID=14","0.00174")</f>
        <v>0.00174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HYPERLINK("http://141.218.60.56/~jnz1568/getInfo.php?workbook=12_04.xlsx&amp;sheet=U0&amp;row=387&amp;col=6&amp;number=3.3&amp;sourceID=14","3.3")</f>
        <v>3.3</v>
      </c>
      <c r="G387" s="4" t="str">
        <f>HYPERLINK("http://141.218.60.56/~jnz1568/getInfo.php?workbook=12_04.xlsx&amp;sheet=U0&amp;row=387&amp;col=7&amp;number=0.00174&amp;sourceID=14","0.00174")</f>
        <v>0.00174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HYPERLINK("http://141.218.60.56/~jnz1568/getInfo.php?workbook=12_04.xlsx&amp;sheet=U0&amp;row=388&amp;col=6&amp;number=3.4&amp;sourceID=14","3.4")</f>
        <v>3.4</v>
      </c>
      <c r="G388" s="4" t="str">
        <f>HYPERLINK("http://141.218.60.56/~jnz1568/getInfo.php?workbook=12_04.xlsx&amp;sheet=U0&amp;row=388&amp;col=7&amp;number=0.00174&amp;sourceID=14","0.00174")</f>
        <v>0.00174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HYPERLINK("http://141.218.60.56/~jnz1568/getInfo.php?workbook=12_04.xlsx&amp;sheet=U0&amp;row=389&amp;col=6&amp;number=3.5&amp;sourceID=14","3.5")</f>
        <v>3.5</v>
      </c>
      <c r="G389" s="4" t="str">
        <f>HYPERLINK("http://141.218.60.56/~jnz1568/getInfo.php?workbook=12_04.xlsx&amp;sheet=U0&amp;row=389&amp;col=7&amp;number=0.00173&amp;sourceID=14","0.00173")</f>
        <v>0.00173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HYPERLINK("http://141.218.60.56/~jnz1568/getInfo.php?workbook=12_04.xlsx&amp;sheet=U0&amp;row=390&amp;col=6&amp;number=3.6&amp;sourceID=14","3.6")</f>
        <v>3.6</v>
      </c>
      <c r="G390" s="4" t="str">
        <f>HYPERLINK("http://141.218.60.56/~jnz1568/getInfo.php?workbook=12_04.xlsx&amp;sheet=U0&amp;row=390&amp;col=7&amp;number=0.00173&amp;sourceID=14","0.00173")</f>
        <v>0.00173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HYPERLINK("http://141.218.60.56/~jnz1568/getInfo.php?workbook=12_04.xlsx&amp;sheet=U0&amp;row=391&amp;col=6&amp;number=3.7&amp;sourceID=14","3.7")</f>
        <v>3.7</v>
      </c>
      <c r="G391" s="4" t="str">
        <f>HYPERLINK("http://141.218.60.56/~jnz1568/getInfo.php?workbook=12_04.xlsx&amp;sheet=U0&amp;row=391&amp;col=7&amp;number=0.00172&amp;sourceID=14","0.00172")</f>
        <v>0.00172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HYPERLINK("http://141.218.60.56/~jnz1568/getInfo.php?workbook=12_04.xlsx&amp;sheet=U0&amp;row=392&amp;col=6&amp;number=3.8&amp;sourceID=14","3.8")</f>
        <v>3.8</v>
      </c>
      <c r="G392" s="4" t="str">
        <f>HYPERLINK("http://141.218.60.56/~jnz1568/getInfo.php?workbook=12_04.xlsx&amp;sheet=U0&amp;row=392&amp;col=7&amp;number=0.00171&amp;sourceID=14","0.00171")</f>
        <v>0.00171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HYPERLINK("http://141.218.60.56/~jnz1568/getInfo.php?workbook=12_04.xlsx&amp;sheet=U0&amp;row=393&amp;col=6&amp;number=3.9&amp;sourceID=14","3.9")</f>
        <v>3.9</v>
      </c>
      <c r="G393" s="4" t="str">
        <f>HYPERLINK("http://141.218.60.56/~jnz1568/getInfo.php?workbook=12_04.xlsx&amp;sheet=U0&amp;row=393&amp;col=7&amp;number=0.0017&amp;sourceID=14","0.0017")</f>
        <v>0.0017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HYPERLINK("http://141.218.60.56/~jnz1568/getInfo.php?workbook=12_04.xlsx&amp;sheet=U0&amp;row=394&amp;col=6&amp;number=4&amp;sourceID=14","4")</f>
        <v>4</v>
      </c>
      <c r="G394" s="4" t="str">
        <f>HYPERLINK("http://141.218.60.56/~jnz1568/getInfo.php?workbook=12_04.xlsx&amp;sheet=U0&amp;row=394&amp;col=7&amp;number=0.00169&amp;sourceID=14","0.00169")</f>
        <v>0.00169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HYPERLINK("http://141.218.60.56/~jnz1568/getInfo.php?workbook=12_04.xlsx&amp;sheet=U0&amp;row=395&amp;col=6&amp;number=4.1&amp;sourceID=14","4.1")</f>
        <v>4.1</v>
      </c>
      <c r="G395" s="4" t="str">
        <f>HYPERLINK("http://141.218.60.56/~jnz1568/getInfo.php?workbook=12_04.xlsx&amp;sheet=U0&amp;row=395&amp;col=7&amp;number=0.00168&amp;sourceID=14","0.00168")</f>
        <v>0.00168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HYPERLINK("http://141.218.60.56/~jnz1568/getInfo.php?workbook=12_04.xlsx&amp;sheet=U0&amp;row=396&amp;col=6&amp;number=4.2&amp;sourceID=14","4.2")</f>
        <v>4.2</v>
      </c>
      <c r="G396" s="4" t="str">
        <f>HYPERLINK("http://141.218.60.56/~jnz1568/getInfo.php?workbook=12_04.xlsx&amp;sheet=U0&amp;row=396&amp;col=7&amp;number=0.00166&amp;sourceID=14","0.00166")</f>
        <v>0.00166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HYPERLINK("http://141.218.60.56/~jnz1568/getInfo.php?workbook=12_04.xlsx&amp;sheet=U0&amp;row=397&amp;col=6&amp;number=4.3&amp;sourceID=14","4.3")</f>
        <v>4.3</v>
      </c>
      <c r="G397" s="4" t="str">
        <f>HYPERLINK("http://141.218.60.56/~jnz1568/getInfo.php?workbook=12_04.xlsx&amp;sheet=U0&amp;row=397&amp;col=7&amp;number=0.00164&amp;sourceID=14","0.00164")</f>
        <v>0.00164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HYPERLINK("http://141.218.60.56/~jnz1568/getInfo.php?workbook=12_04.xlsx&amp;sheet=U0&amp;row=398&amp;col=6&amp;number=4.4&amp;sourceID=14","4.4")</f>
        <v>4.4</v>
      </c>
      <c r="G398" s="4" t="str">
        <f>HYPERLINK("http://141.218.60.56/~jnz1568/getInfo.php?workbook=12_04.xlsx&amp;sheet=U0&amp;row=398&amp;col=7&amp;number=0.00161&amp;sourceID=14","0.00161")</f>
        <v>0.00161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HYPERLINK("http://141.218.60.56/~jnz1568/getInfo.php?workbook=12_04.xlsx&amp;sheet=U0&amp;row=399&amp;col=6&amp;number=4.5&amp;sourceID=14","4.5")</f>
        <v>4.5</v>
      </c>
      <c r="G399" s="4" t="str">
        <f>HYPERLINK("http://141.218.60.56/~jnz1568/getInfo.php?workbook=12_04.xlsx&amp;sheet=U0&amp;row=399&amp;col=7&amp;number=0.00158&amp;sourceID=14","0.00158")</f>
        <v>0.00158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HYPERLINK("http://141.218.60.56/~jnz1568/getInfo.php?workbook=12_04.xlsx&amp;sheet=U0&amp;row=400&amp;col=6&amp;number=4.6&amp;sourceID=14","4.6")</f>
        <v>4.6</v>
      </c>
      <c r="G400" s="4" t="str">
        <f>HYPERLINK("http://141.218.60.56/~jnz1568/getInfo.php?workbook=12_04.xlsx&amp;sheet=U0&amp;row=400&amp;col=7&amp;number=0.00153&amp;sourceID=14","0.00153")</f>
        <v>0.00153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HYPERLINK("http://141.218.60.56/~jnz1568/getInfo.php?workbook=12_04.xlsx&amp;sheet=U0&amp;row=401&amp;col=6&amp;number=4.7&amp;sourceID=14","4.7")</f>
        <v>4.7</v>
      </c>
      <c r="G401" s="4" t="str">
        <f>HYPERLINK("http://141.218.60.56/~jnz1568/getInfo.php?workbook=12_04.xlsx&amp;sheet=U0&amp;row=401&amp;col=7&amp;number=0.00148&amp;sourceID=14","0.00148")</f>
        <v>0.00148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HYPERLINK("http://141.218.60.56/~jnz1568/getInfo.php?workbook=12_04.xlsx&amp;sheet=U0&amp;row=402&amp;col=6&amp;number=4.8&amp;sourceID=14","4.8")</f>
        <v>4.8</v>
      </c>
      <c r="G402" s="4" t="str">
        <f>HYPERLINK("http://141.218.60.56/~jnz1568/getInfo.php?workbook=12_04.xlsx&amp;sheet=U0&amp;row=402&amp;col=7&amp;number=0.00142&amp;sourceID=14","0.00142")</f>
        <v>0.00142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HYPERLINK("http://141.218.60.56/~jnz1568/getInfo.php?workbook=12_04.xlsx&amp;sheet=U0&amp;row=403&amp;col=6&amp;number=4.9&amp;sourceID=14","4.9")</f>
        <v>4.9</v>
      </c>
      <c r="G403" s="4" t="str">
        <f>HYPERLINK("http://141.218.60.56/~jnz1568/getInfo.php?workbook=12_04.xlsx&amp;sheet=U0&amp;row=403&amp;col=7&amp;number=0.00134&amp;sourceID=14","0.00134")</f>
        <v>0.00134</v>
      </c>
    </row>
    <row r="404" spans="1:7">
      <c r="A404" s="3">
        <v>12</v>
      </c>
      <c r="B404" s="3">
        <v>4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HYPERLINK("http://141.218.60.56/~jnz1568/getInfo.php?workbook=12_04.xlsx&amp;sheet=U0&amp;row=404&amp;col=6&amp;number=3&amp;sourceID=14","3")</f>
        <v>3</v>
      </c>
      <c r="G404" s="4" t="str">
        <f>HYPERLINK("http://141.218.60.56/~jnz1568/getInfo.php?workbook=12_04.xlsx&amp;sheet=U0&amp;row=404&amp;col=7&amp;number=0.00317&amp;sourceID=14","0.00317")</f>
        <v>0.00317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HYPERLINK("http://141.218.60.56/~jnz1568/getInfo.php?workbook=12_04.xlsx&amp;sheet=U0&amp;row=405&amp;col=6&amp;number=3.1&amp;sourceID=14","3.1")</f>
        <v>3.1</v>
      </c>
      <c r="G405" s="4" t="str">
        <f>HYPERLINK("http://141.218.60.56/~jnz1568/getInfo.php?workbook=12_04.xlsx&amp;sheet=U0&amp;row=405&amp;col=7&amp;number=0.00318&amp;sourceID=14","0.00318")</f>
        <v>0.00318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HYPERLINK("http://141.218.60.56/~jnz1568/getInfo.php?workbook=12_04.xlsx&amp;sheet=U0&amp;row=406&amp;col=6&amp;number=3.2&amp;sourceID=14","3.2")</f>
        <v>3.2</v>
      </c>
      <c r="G406" s="4" t="str">
        <f>HYPERLINK("http://141.218.60.56/~jnz1568/getInfo.php?workbook=12_04.xlsx&amp;sheet=U0&amp;row=406&amp;col=7&amp;number=0.0032&amp;sourceID=14","0.0032")</f>
        <v>0.0032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HYPERLINK("http://141.218.60.56/~jnz1568/getInfo.php?workbook=12_04.xlsx&amp;sheet=U0&amp;row=407&amp;col=6&amp;number=3.3&amp;sourceID=14","3.3")</f>
        <v>3.3</v>
      </c>
      <c r="G407" s="4" t="str">
        <f>HYPERLINK("http://141.218.60.56/~jnz1568/getInfo.php?workbook=12_04.xlsx&amp;sheet=U0&amp;row=407&amp;col=7&amp;number=0.00322&amp;sourceID=14","0.00322")</f>
        <v>0.00322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HYPERLINK("http://141.218.60.56/~jnz1568/getInfo.php?workbook=12_04.xlsx&amp;sheet=U0&amp;row=408&amp;col=6&amp;number=3.4&amp;sourceID=14","3.4")</f>
        <v>3.4</v>
      </c>
      <c r="G408" s="4" t="str">
        <f>HYPERLINK("http://141.218.60.56/~jnz1568/getInfo.php?workbook=12_04.xlsx&amp;sheet=U0&amp;row=408&amp;col=7&amp;number=0.00324&amp;sourceID=14","0.00324")</f>
        <v>0.00324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HYPERLINK("http://141.218.60.56/~jnz1568/getInfo.php?workbook=12_04.xlsx&amp;sheet=U0&amp;row=409&amp;col=6&amp;number=3.5&amp;sourceID=14","3.5")</f>
        <v>3.5</v>
      </c>
      <c r="G409" s="4" t="str">
        <f>HYPERLINK("http://141.218.60.56/~jnz1568/getInfo.php?workbook=12_04.xlsx&amp;sheet=U0&amp;row=409&amp;col=7&amp;number=0.00327&amp;sourceID=14","0.00327")</f>
        <v>0.00327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HYPERLINK("http://141.218.60.56/~jnz1568/getInfo.php?workbook=12_04.xlsx&amp;sheet=U0&amp;row=410&amp;col=6&amp;number=3.6&amp;sourceID=14","3.6")</f>
        <v>3.6</v>
      </c>
      <c r="G410" s="4" t="str">
        <f>HYPERLINK("http://141.218.60.56/~jnz1568/getInfo.php?workbook=12_04.xlsx&amp;sheet=U0&amp;row=410&amp;col=7&amp;number=0.00331&amp;sourceID=14","0.00331")</f>
        <v>0.00331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HYPERLINK("http://141.218.60.56/~jnz1568/getInfo.php?workbook=12_04.xlsx&amp;sheet=U0&amp;row=411&amp;col=6&amp;number=3.7&amp;sourceID=14","3.7")</f>
        <v>3.7</v>
      </c>
      <c r="G411" s="4" t="str">
        <f>HYPERLINK("http://141.218.60.56/~jnz1568/getInfo.php?workbook=12_04.xlsx&amp;sheet=U0&amp;row=411&amp;col=7&amp;number=0.00336&amp;sourceID=14","0.00336")</f>
        <v>0.00336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HYPERLINK("http://141.218.60.56/~jnz1568/getInfo.php?workbook=12_04.xlsx&amp;sheet=U0&amp;row=412&amp;col=6&amp;number=3.8&amp;sourceID=14","3.8")</f>
        <v>3.8</v>
      </c>
      <c r="G412" s="4" t="str">
        <f>HYPERLINK("http://141.218.60.56/~jnz1568/getInfo.php?workbook=12_04.xlsx&amp;sheet=U0&amp;row=412&amp;col=7&amp;number=0.00341&amp;sourceID=14","0.00341")</f>
        <v>0.00341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HYPERLINK("http://141.218.60.56/~jnz1568/getInfo.php?workbook=12_04.xlsx&amp;sheet=U0&amp;row=413&amp;col=6&amp;number=3.9&amp;sourceID=14","3.9")</f>
        <v>3.9</v>
      </c>
      <c r="G413" s="4" t="str">
        <f>HYPERLINK("http://141.218.60.56/~jnz1568/getInfo.php?workbook=12_04.xlsx&amp;sheet=U0&amp;row=413&amp;col=7&amp;number=0.00349&amp;sourceID=14","0.00349")</f>
        <v>0.00349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HYPERLINK("http://141.218.60.56/~jnz1568/getInfo.php?workbook=12_04.xlsx&amp;sheet=U0&amp;row=414&amp;col=6&amp;number=4&amp;sourceID=14","4")</f>
        <v>4</v>
      </c>
      <c r="G414" s="4" t="str">
        <f>HYPERLINK("http://141.218.60.56/~jnz1568/getInfo.php?workbook=12_04.xlsx&amp;sheet=U0&amp;row=414&amp;col=7&amp;number=0.00358&amp;sourceID=14","0.00358")</f>
        <v>0.00358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HYPERLINK("http://141.218.60.56/~jnz1568/getInfo.php?workbook=12_04.xlsx&amp;sheet=U0&amp;row=415&amp;col=6&amp;number=4.1&amp;sourceID=14","4.1")</f>
        <v>4.1</v>
      </c>
      <c r="G415" s="4" t="str">
        <f>HYPERLINK("http://141.218.60.56/~jnz1568/getInfo.php?workbook=12_04.xlsx&amp;sheet=U0&amp;row=415&amp;col=7&amp;number=0.00369&amp;sourceID=14","0.00369")</f>
        <v>0.00369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HYPERLINK("http://141.218.60.56/~jnz1568/getInfo.php?workbook=12_04.xlsx&amp;sheet=U0&amp;row=416&amp;col=6&amp;number=4.2&amp;sourceID=14","4.2")</f>
        <v>4.2</v>
      </c>
      <c r="G416" s="4" t="str">
        <f>HYPERLINK("http://141.218.60.56/~jnz1568/getInfo.php?workbook=12_04.xlsx&amp;sheet=U0&amp;row=416&amp;col=7&amp;number=0.00381&amp;sourceID=14","0.00381")</f>
        <v>0.00381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HYPERLINK("http://141.218.60.56/~jnz1568/getInfo.php?workbook=12_04.xlsx&amp;sheet=U0&amp;row=417&amp;col=6&amp;number=4.3&amp;sourceID=14","4.3")</f>
        <v>4.3</v>
      </c>
      <c r="G417" s="4" t="str">
        <f>HYPERLINK("http://141.218.60.56/~jnz1568/getInfo.php?workbook=12_04.xlsx&amp;sheet=U0&amp;row=417&amp;col=7&amp;number=0.00396&amp;sourceID=14","0.00396")</f>
        <v>0.00396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HYPERLINK("http://141.218.60.56/~jnz1568/getInfo.php?workbook=12_04.xlsx&amp;sheet=U0&amp;row=418&amp;col=6&amp;number=4.4&amp;sourceID=14","4.4")</f>
        <v>4.4</v>
      </c>
      <c r="G418" s="4" t="str">
        <f>HYPERLINK("http://141.218.60.56/~jnz1568/getInfo.php?workbook=12_04.xlsx&amp;sheet=U0&amp;row=418&amp;col=7&amp;number=0.00411&amp;sourceID=14","0.00411")</f>
        <v>0.00411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HYPERLINK("http://141.218.60.56/~jnz1568/getInfo.php?workbook=12_04.xlsx&amp;sheet=U0&amp;row=419&amp;col=6&amp;number=4.5&amp;sourceID=14","4.5")</f>
        <v>4.5</v>
      </c>
      <c r="G419" s="4" t="str">
        <f>HYPERLINK("http://141.218.60.56/~jnz1568/getInfo.php?workbook=12_04.xlsx&amp;sheet=U0&amp;row=419&amp;col=7&amp;number=0.00425&amp;sourceID=14","0.00425")</f>
        <v>0.00425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HYPERLINK("http://141.218.60.56/~jnz1568/getInfo.php?workbook=12_04.xlsx&amp;sheet=U0&amp;row=420&amp;col=6&amp;number=4.6&amp;sourceID=14","4.6")</f>
        <v>4.6</v>
      </c>
      <c r="G420" s="4" t="str">
        <f>HYPERLINK("http://141.218.60.56/~jnz1568/getInfo.php?workbook=12_04.xlsx&amp;sheet=U0&amp;row=420&amp;col=7&amp;number=0.00432&amp;sourceID=14","0.00432")</f>
        <v>0.00432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HYPERLINK("http://141.218.60.56/~jnz1568/getInfo.php?workbook=12_04.xlsx&amp;sheet=U0&amp;row=421&amp;col=6&amp;number=4.7&amp;sourceID=14","4.7")</f>
        <v>4.7</v>
      </c>
      <c r="G421" s="4" t="str">
        <f>HYPERLINK("http://141.218.60.56/~jnz1568/getInfo.php?workbook=12_04.xlsx&amp;sheet=U0&amp;row=421&amp;col=7&amp;number=0.00427&amp;sourceID=14","0.00427")</f>
        <v>0.00427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HYPERLINK("http://141.218.60.56/~jnz1568/getInfo.php?workbook=12_04.xlsx&amp;sheet=U0&amp;row=422&amp;col=6&amp;number=4.8&amp;sourceID=14","4.8")</f>
        <v>4.8</v>
      </c>
      <c r="G422" s="4" t="str">
        <f>HYPERLINK("http://141.218.60.56/~jnz1568/getInfo.php?workbook=12_04.xlsx&amp;sheet=U0&amp;row=422&amp;col=7&amp;number=0.00406&amp;sourceID=14","0.00406")</f>
        <v>0.00406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HYPERLINK("http://141.218.60.56/~jnz1568/getInfo.php?workbook=12_04.xlsx&amp;sheet=U0&amp;row=423&amp;col=6&amp;number=4.9&amp;sourceID=14","4.9")</f>
        <v>4.9</v>
      </c>
      <c r="G423" s="4" t="str">
        <f>HYPERLINK("http://141.218.60.56/~jnz1568/getInfo.php?workbook=12_04.xlsx&amp;sheet=U0&amp;row=423&amp;col=7&amp;number=0.00371&amp;sourceID=14","0.00371")</f>
        <v>0.00371</v>
      </c>
    </row>
    <row r="424" spans="1:7">
      <c r="A424" s="3">
        <v>12</v>
      </c>
      <c r="B424" s="3">
        <v>4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HYPERLINK("http://141.218.60.56/~jnz1568/getInfo.php?workbook=12_04.xlsx&amp;sheet=U0&amp;row=424&amp;col=6&amp;number=3&amp;sourceID=14","3")</f>
        <v>3</v>
      </c>
      <c r="G424" s="4" t="str">
        <f>HYPERLINK("http://141.218.60.56/~jnz1568/getInfo.php?workbook=12_04.xlsx&amp;sheet=U0&amp;row=424&amp;col=7&amp;number=0.00612&amp;sourceID=14","0.00612")</f>
        <v>0.00612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HYPERLINK("http://141.218.60.56/~jnz1568/getInfo.php?workbook=12_04.xlsx&amp;sheet=U0&amp;row=425&amp;col=6&amp;number=3.1&amp;sourceID=14","3.1")</f>
        <v>3.1</v>
      </c>
      <c r="G425" s="4" t="str">
        <f>HYPERLINK("http://141.218.60.56/~jnz1568/getInfo.php?workbook=12_04.xlsx&amp;sheet=U0&amp;row=425&amp;col=7&amp;number=0.00613&amp;sourceID=14","0.00613")</f>
        <v>0.00613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HYPERLINK("http://141.218.60.56/~jnz1568/getInfo.php?workbook=12_04.xlsx&amp;sheet=U0&amp;row=426&amp;col=6&amp;number=3.2&amp;sourceID=14","3.2")</f>
        <v>3.2</v>
      </c>
      <c r="G426" s="4" t="str">
        <f>HYPERLINK("http://141.218.60.56/~jnz1568/getInfo.php?workbook=12_04.xlsx&amp;sheet=U0&amp;row=426&amp;col=7&amp;number=0.00614&amp;sourceID=14","0.00614")</f>
        <v>0.00614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HYPERLINK("http://141.218.60.56/~jnz1568/getInfo.php?workbook=12_04.xlsx&amp;sheet=U0&amp;row=427&amp;col=6&amp;number=3.3&amp;sourceID=14","3.3")</f>
        <v>3.3</v>
      </c>
      <c r="G427" s="4" t="str">
        <f>HYPERLINK("http://141.218.60.56/~jnz1568/getInfo.php?workbook=12_04.xlsx&amp;sheet=U0&amp;row=427&amp;col=7&amp;number=0.00615&amp;sourceID=14","0.00615")</f>
        <v>0.00615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HYPERLINK("http://141.218.60.56/~jnz1568/getInfo.php?workbook=12_04.xlsx&amp;sheet=U0&amp;row=428&amp;col=6&amp;number=3.4&amp;sourceID=14","3.4")</f>
        <v>3.4</v>
      </c>
      <c r="G428" s="4" t="str">
        <f>HYPERLINK("http://141.218.60.56/~jnz1568/getInfo.php?workbook=12_04.xlsx&amp;sheet=U0&amp;row=428&amp;col=7&amp;number=0.00616&amp;sourceID=14","0.00616")</f>
        <v>0.00616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HYPERLINK("http://141.218.60.56/~jnz1568/getInfo.php?workbook=12_04.xlsx&amp;sheet=U0&amp;row=429&amp;col=6&amp;number=3.5&amp;sourceID=14","3.5")</f>
        <v>3.5</v>
      </c>
      <c r="G429" s="4" t="str">
        <f>HYPERLINK("http://141.218.60.56/~jnz1568/getInfo.php?workbook=12_04.xlsx&amp;sheet=U0&amp;row=429&amp;col=7&amp;number=0.00618&amp;sourceID=14","0.00618")</f>
        <v>0.00618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HYPERLINK("http://141.218.60.56/~jnz1568/getInfo.php?workbook=12_04.xlsx&amp;sheet=U0&amp;row=430&amp;col=6&amp;number=3.6&amp;sourceID=14","3.6")</f>
        <v>3.6</v>
      </c>
      <c r="G430" s="4" t="str">
        <f>HYPERLINK("http://141.218.60.56/~jnz1568/getInfo.php?workbook=12_04.xlsx&amp;sheet=U0&amp;row=430&amp;col=7&amp;number=0.0062&amp;sourceID=14","0.0062")</f>
        <v>0.0062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HYPERLINK("http://141.218.60.56/~jnz1568/getInfo.php?workbook=12_04.xlsx&amp;sheet=U0&amp;row=431&amp;col=6&amp;number=3.7&amp;sourceID=14","3.7")</f>
        <v>3.7</v>
      </c>
      <c r="G431" s="4" t="str">
        <f>HYPERLINK("http://141.218.60.56/~jnz1568/getInfo.php?workbook=12_04.xlsx&amp;sheet=U0&amp;row=431&amp;col=7&amp;number=0.00623&amp;sourceID=14","0.00623")</f>
        <v>0.00623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HYPERLINK("http://141.218.60.56/~jnz1568/getInfo.php?workbook=12_04.xlsx&amp;sheet=U0&amp;row=432&amp;col=6&amp;number=3.8&amp;sourceID=14","3.8")</f>
        <v>3.8</v>
      </c>
      <c r="G432" s="4" t="str">
        <f>HYPERLINK("http://141.218.60.56/~jnz1568/getInfo.php?workbook=12_04.xlsx&amp;sheet=U0&amp;row=432&amp;col=7&amp;number=0.00626&amp;sourceID=14","0.00626")</f>
        <v>0.00626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HYPERLINK("http://141.218.60.56/~jnz1568/getInfo.php?workbook=12_04.xlsx&amp;sheet=U0&amp;row=433&amp;col=6&amp;number=3.9&amp;sourceID=14","3.9")</f>
        <v>3.9</v>
      </c>
      <c r="G433" s="4" t="str">
        <f>HYPERLINK("http://141.218.60.56/~jnz1568/getInfo.php?workbook=12_04.xlsx&amp;sheet=U0&amp;row=433&amp;col=7&amp;number=0.0063&amp;sourceID=14","0.0063")</f>
        <v>0.0063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HYPERLINK("http://141.218.60.56/~jnz1568/getInfo.php?workbook=12_04.xlsx&amp;sheet=U0&amp;row=434&amp;col=6&amp;number=4&amp;sourceID=14","4")</f>
        <v>4</v>
      </c>
      <c r="G434" s="4" t="str">
        <f>HYPERLINK("http://141.218.60.56/~jnz1568/getInfo.php?workbook=12_04.xlsx&amp;sheet=U0&amp;row=434&amp;col=7&amp;number=0.00635&amp;sourceID=14","0.00635")</f>
        <v>0.00635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HYPERLINK("http://141.218.60.56/~jnz1568/getInfo.php?workbook=12_04.xlsx&amp;sheet=U0&amp;row=435&amp;col=6&amp;number=4.1&amp;sourceID=14","4.1")</f>
        <v>4.1</v>
      </c>
      <c r="G435" s="4" t="str">
        <f>HYPERLINK("http://141.218.60.56/~jnz1568/getInfo.php?workbook=12_04.xlsx&amp;sheet=U0&amp;row=435&amp;col=7&amp;number=0.00641&amp;sourceID=14","0.00641")</f>
        <v>0.00641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HYPERLINK("http://141.218.60.56/~jnz1568/getInfo.php?workbook=12_04.xlsx&amp;sheet=U0&amp;row=436&amp;col=6&amp;number=4.2&amp;sourceID=14","4.2")</f>
        <v>4.2</v>
      </c>
      <c r="G436" s="4" t="str">
        <f>HYPERLINK("http://141.218.60.56/~jnz1568/getInfo.php?workbook=12_04.xlsx&amp;sheet=U0&amp;row=436&amp;col=7&amp;number=0.00649&amp;sourceID=14","0.00649")</f>
        <v>0.00649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HYPERLINK("http://141.218.60.56/~jnz1568/getInfo.php?workbook=12_04.xlsx&amp;sheet=U0&amp;row=437&amp;col=6&amp;number=4.3&amp;sourceID=14","4.3")</f>
        <v>4.3</v>
      </c>
      <c r="G437" s="4" t="str">
        <f>HYPERLINK("http://141.218.60.56/~jnz1568/getInfo.php?workbook=12_04.xlsx&amp;sheet=U0&amp;row=437&amp;col=7&amp;number=0.00658&amp;sourceID=14","0.00658")</f>
        <v>0.00658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HYPERLINK("http://141.218.60.56/~jnz1568/getInfo.php?workbook=12_04.xlsx&amp;sheet=U0&amp;row=438&amp;col=6&amp;number=4.4&amp;sourceID=14","4.4")</f>
        <v>4.4</v>
      </c>
      <c r="G438" s="4" t="str">
        <f>HYPERLINK("http://141.218.60.56/~jnz1568/getInfo.php?workbook=12_04.xlsx&amp;sheet=U0&amp;row=438&amp;col=7&amp;number=0.00668&amp;sourceID=14","0.00668")</f>
        <v>0.00668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HYPERLINK("http://141.218.60.56/~jnz1568/getInfo.php?workbook=12_04.xlsx&amp;sheet=U0&amp;row=439&amp;col=6&amp;number=4.5&amp;sourceID=14","4.5")</f>
        <v>4.5</v>
      </c>
      <c r="G439" s="4" t="str">
        <f>HYPERLINK("http://141.218.60.56/~jnz1568/getInfo.php?workbook=12_04.xlsx&amp;sheet=U0&amp;row=439&amp;col=7&amp;number=0.00678&amp;sourceID=14","0.00678")</f>
        <v>0.00678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HYPERLINK("http://141.218.60.56/~jnz1568/getInfo.php?workbook=12_04.xlsx&amp;sheet=U0&amp;row=440&amp;col=6&amp;number=4.6&amp;sourceID=14","4.6")</f>
        <v>4.6</v>
      </c>
      <c r="G440" s="4" t="str">
        <f>HYPERLINK("http://141.218.60.56/~jnz1568/getInfo.php?workbook=12_04.xlsx&amp;sheet=U0&amp;row=440&amp;col=7&amp;number=0.00687&amp;sourceID=14","0.00687")</f>
        <v>0.00687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HYPERLINK("http://141.218.60.56/~jnz1568/getInfo.php?workbook=12_04.xlsx&amp;sheet=U0&amp;row=441&amp;col=6&amp;number=4.7&amp;sourceID=14","4.7")</f>
        <v>4.7</v>
      </c>
      <c r="G441" s="4" t="str">
        <f>HYPERLINK("http://141.218.60.56/~jnz1568/getInfo.php?workbook=12_04.xlsx&amp;sheet=U0&amp;row=441&amp;col=7&amp;number=0.00693&amp;sourceID=14","0.00693")</f>
        <v>0.00693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HYPERLINK("http://141.218.60.56/~jnz1568/getInfo.php?workbook=12_04.xlsx&amp;sheet=U0&amp;row=442&amp;col=6&amp;number=4.8&amp;sourceID=14","4.8")</f>
        <v>4.8</v>
      </c>
      <c r="G442" s="4" t="str">
        <f>HYPERLINK("http://141.218.60.56/~jnz1568/getInfo.php?workbook=12_04.xlsx&amp;sheet=U0&amp;row=442&amp;col=7&amp;number=0.00688&amp;sourceID=14","0.00688")</f>
        <v>0.00688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HYPERLINK("http://141.218.60.56/~jnz1568/getInfo.php?workbook=12_04.xlsx&amp;sheet=U0&amp;row=443&amp;col=6&amp;number=4.9&amp;sourceID=14","4.9")</f>
        <v>4.9</v>
      </c>
      <c r="G443" s="4" t="str">
        <f>HYPERLINK("http://141.218.60.56/~jnz1568/getInfo.php?workbook=12_04.xlsx&amp;sheet=U0&amp;row=443&amp;col=7&amp;number=0.00663&amp;sourceID=14","0.00663")</f>
        <v>0.00663</v>
      </c>
    </row>
    <row r="444" spans="1:7">
      <c r="A444" s="3">
        <v>12</v>
      </c>
      <c r="B444" s="3">
        <v>4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HYPERLINK("http://141.218.60.56/~jnz1568/getInfo.php?workbook=12_04.xlsx&amp;sheet=U0&amp;row=444&amp;col=6&amp;number=3&amp;sourceID=14","3")</f>
        <v>3</v>
      </c>
      <c r="G444" s="4" t="str">
        <f>HYPERLINK("http://141.218.60.56/~jnz1568/getInfo.php?workbook=12_04.xlsx&amp;sheet=U0&amp;row=444&amp;col=7&amp;number=0.0165&amp;sourceID=14","0.0165")</f>
        <v>0.0165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HYPERLINK("http://141.218.60.56/~jnz1568/getInfo.php?workbook=12_04.xlsx&amp;sheet=U0&amp;row=445&amp;col=6&amp;number=3.1&amp;sourceID=14","3.1")</f>
        <v>3.1</v>
      </c>
      <c r="G445" s="4" t="str">
        <f>HYPERLINK("http://141.218.60.56/~jnz1568/getInfo.php?workbook=12_04.xlsx&amp;sheet=U0&amp;row=445&amp;col=7&amp;number=0.0164&amp;sourceID=14","0.0164")</f>
        <v>0.0164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HYPERLINK("http://141.218.60.56/~jnz1568/getInfo.php?workbook=12_04.xlsx&amp;sheet=U0&amp;row=446&amp;col=6&amp;number=3.2&amp;sourceID=14","3.2")</f>
        <v>3.2</v>
      </c>
      <c r="G446" s="4" t="str">
        <f>HYPERLINK("http://141.218.60.56/~jnz1568/getInfo.php?workbook=12_04.xlsx&amp;sheet=U0&amp;row=446&amp;col=7&amp;number=0.0164&amp;sourceID=14","0.0164")</f>
        <v>0.0164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HYPERLINK("http://141.218.60.56/~jnz1568/getInfo.php?workbook=12_04.xlsx&amp;sheet=U0&amp;row=447&amp;col=6&amp;number=3.3&amp;sourceID=14","3.3")</f>
        <v>3.3</v>
      </c>
      <c r="G447" s="4" t="str">
        <f>HYPERLINK("http://141.218.60.56/~jnz1568/getInfo.php?workbook=12_04.xlsx&amp;sheet=U0&amp;row=447&amp;col=7&amp;number=0.0164&amp;sourceID=14","0.0164")</f>
        <v>0.0164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HYPERLINK("http://141.218.60.56/~jnz1568/getInfo.php?workbook=12_04.xlsx&amp;sheet=U0&amp;row=448&amp;col=6&amp;number=3.4&amp;sourceID=14","3.4")</f>
        <v>3.4</v>
      </c>
      <c r="G448" s="4" t="str">
        <f>HYPERLINK("http://141.218.60.56/~jnz1568/getInfo.php?workbook=12_04.xlsx&amp;sheet=U0&amp;row=448&amp;col=7&amp;number=0.0163&amp;sourceID=14","0.0163")</f>
        <v>0.0163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HYPERLINK("http://141.218.60.56/~jnz1568/getInfo.php?workbook=12_04.xlsx&amp;sheet=U0&amp;row=449&amp;col=6&amp;number=3.5&amp;sourceID=14","3.5")</f>
        <v>3.5</v>
      </c>
      <c r="G449" s="4" t="str">
        <f>HYPERLINK("http://141.218.60.56/~jnz1568/getInfo.php?workbook=12_04.xlsx&amp;sheet=U0&amp;row=449&amp;col=7&amp;number=0.0162&amp;sourceID=14","0.0162")</f>
        <v>0.0162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HYPERLINK("http://141.218.60.56/~jnz1568/getInfo.php?workbook=12_04.xlsx&amp;sheet=U0&amp;row=450&amp;col=6&amp;number=3.6&amp;sourceID=14","3.6")</f>
        <v>3.6</v>
      </c>
      <c r="G450" s="4" t="str">
        <f>HYPERLINK("http://141.218.60.56/~jnz1568/getInfo.php?workbook=12_04.xlsx&amp;sheet=U0&amp;row=450&amp;col=7&amp;number=0.0161&amp;sourceID=14","0.0161")</f>
        <v>0.0161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HYPERLINK("http://141.218.60.56/~jnz1568/getInfo.php?workbook=12_04.xlsx&amp;sheet=U0&amp;row=451&amp;col=6&amp;number=3.7&amp;sourceID=14","3.7")</f>
        <v>3.7</v>
      </c>
      <c r="G451" s="4" t="str">
        <f>HYPERLINK("http://141.218.60.56/~jnz1568/getInfo.php?workbook=12_04.xlsx&amp;sheet=U0&amp;row=451&amp;col=7&amp;number=0.016&amp;sourceID=14","0.016")</f>
        <v>0.016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HYPERLINK("http://141.218.60.56/~jnz1568/getInfo.php?workbook=12_04.xlsx&amp;sheet=U0&amp;row=452&amp;col=6&amp;number=3.8&amp;sourceID=14","3.8")</f>
        <v>3.8</v>
      </c>
      <c r="G452" s="4" t="str">
        <f>HYPERLINK("http://141.218.60.56/~jnz1568/getInfo.php?workbook=12_04.xlsx&amp;sheet=U0&amp;row=452&amp;col=7&amp;number=0.0159&amp;sourceID=14","0.0159")</f>
        <v>0.0159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HYPERLINK("http://141.218.60.56/~jnz1568/getInfo.php?workbook=12_04.xlsx&amp;sheet=U0&amp;row=453&amp;col=6&amp;number=3.9&amp;sourceID=14","3.9")</f>
        <v>3.9</v>
      </c>
      <c r="G453" s="4" t="str">
        <f>HYPERLINK("http://141.218.60.56/~jnz1568/getInfo.php?workbook=12_04.xlsx&amp;sheet=U0&amp;row=453&amp;col=7&amp;number=0.0157&amp;sourceID=14","0.0157")</f>
        <v>0.0157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HYPERLINK("http://141.218.60.56/~jnz1568/getInfo.php?workbook=12_04.xlsx&amp;sheet=U0&amp;row=454&amp;col=6&amp;number=4&amp;sourceID=14","4")</f>
        <v>4</v>
      </c>
      <c r="G454" s="4" t="str">
        <f>HYPERLINK("http://141.218.60.56/~jnz1568/getInfo.php?workbook=12_04.xlsx&amp;sheet=U0&amp;row=454&amp;col=7&amp;number=0.0155&amp;sourceID=14","0.0155")</f>
        <v>0.0155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HYPERLINK("http://141.218.60.56/~jnz1568/getInfo.php?workbook=12_04.xlsx&amp;sheet=U0&amp;row=455&amp;col=6&amp;number=4.1&amp;sourceID=14","4.1")</f>
        <v>4.1</v>
      </c>
      <c r="G455" s="4" t="str">
        <f>HYPERLINK("http://141.218.60.56/~jnz1568/getInfo.php?workbook=12_04.xlsx&amp;sheet=U0&amp;row=455&amp;col=7&amp;number=0.0152&amp;sourceID=14","0.0152")</f>
        <v>0.0152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HYPERLINK("http://141.218.60.56/~jnz1568/getInfo.php?workbook=12_04.xlsx&amp;sheet=U0&amp;row=456&amp;col=6&amp;number=4.2&amp;sourceID=14","4.2")</f>
        <v>4.2</v>
      </c>
      <c r="G456" s="4" t="str">
        <f>HYPERLINK("http://141.218.60.56/~jnz1568/getInfo.php?workbook=12_04.xlsx&amp;sheet=U0&amp;row=456&amp;col=7&amp;number=0.0148&amp;sourceID=14","0.0148")</f>
        <v>0.0148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HYPERLINK("http://141.218.60.56/~jnz1568/getInfo.php?workbook=12_04.xlsx&amp;sheet=U0&amp;row=457&amp;col=6&amp;number=4.3&amp;sourceID=14","4.3")</f>
        <v>4.3</v>
      </c>
      <c r="G457" s="4" t="str">
        <f>HYPERLINK("http://141.218.60.56/~jnz1568/getInfo.php?workbook=12_04.xlsx&amp;sheet=U0&amp;row=457&amp;col=7&amp;number=0.0144&amp;sourceID=14","0.0144")</f>
        <v>0.0144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HYPERLINK("http://141.218.60.56/~jnz1568/getInfo.php?workbook=12_04.xlsx&amp;sheet=U0&amp;row=458&amp;col=6&amp;number=4.4&amp;sourceID=14","4.4")</f>
        <v>4.4</v>
      </c>
      <c r="G458" s="4" t="str">
        <f>HYPERLINK("http://141.218.60.56/~jnz1568/getInfo.php?workbook=12_04.xlsx&amp;sheet=U0&amp;row=458&amp;col=7&amp;number=0.0139&amp;sourceID=14","0.0139")</f>
        <v>0.0139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HYPERLINK("http://141.218.60.56/~jnz1568/getInfo.php?workbook=12_04.xlsx&amp;sheet=U0&amp;row=459&amp;col=6&amp;number=4.5&amp;sourceID=14","4.5")</f>
        <v>4.5</v>
      </c>
      <c r="G459" s="4" t="str">
        <f>HYPERLINK("http://141.218.60.56/~jnz1568/getInfo.php?workbook=12_04.xlsx&amp;sheet=U0&amp;row=459&amp;col=7&amp;number=0.0132&amp;sourceID=14","0.0132")</f>
        <v>0.0132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HYPERLINK("http://141.218.60.56/~jnz1568/getInfo.php?workbook=12_04.xlsx&amp;sheet=U0&amp;row=460&amp;col=6&amp;number=4.6&amp;sourceID=14","4.6")</f>
        <v>4.6</v>
      </c>
      <c r="G460" s="4" t="str">
        <f>HYPERLINK("http://141.218.60.56/~jnz1568/getInfo.php?workbook=12_04.xlsx&amp;sheet=U0&amp;row=460&amp;col=7&amp;number=0.0124&amp;sourceID=14","0.0124")</f>
        <v>0.0124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HYPERLINK("http://141.218.60.56/~jnz1568/getInfo.php?workbook=12_04.xlsx&amp;sheet=U0&amp;row=461&amp;col=6&amp;number=4.7&amp;sourceID=14","4.7")</f>
        <v>4.7</v>
      </c>
      <c r="G461" s="4" t="str">
        <f>HYPERLINK("http://141.218.60.56/~jnz1568/getInfo.php?workbook=12_04.xlsx&amp;sheet=U0&amp;row=461&amp;col=7&amp;number=0.0115&amp;sourceID=14","0.0115")</f>
        <v>0.0115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HYPERLINK("http://141.218.60.56/~jnz1568/getInfo.php?workbook=12_04.xlsx&amp;sheet=U0&amp;row=462&amp;col=6&amp;number=4.8&amp;sourceID=14","4.8")</f>
        <v>4.8</v>
      </c>
      <c r="G462" s="4" t="str">
        <f>HYPERLINK("http://141.218.60.56/~jnz1568/getInfo.php?workbook=12_04.xlsx&amp;sheet=U0&amp;row=462&amp;col=7&amp;number=0.0104&amp;sourceID=14","0.0104")</f>
        <v>0.0104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HYPERLINK("http://141.218.60.56/~jnz1568/getInfo.php?workbook=12_04.xlsx&amp;sheet=U0&amp;row=463&amp;col=6&amp;number=4.9&amp;sourceID=14","4.9")</f>
        <v>4.9</v>
      </c>
      <c r="G463" s="4" t="str">
        <f>HYPERLINK("http://141.218.60.56/~jnz1568/getInfo.php?workbook=12_04.xlsx&amp;sheet=U0&amp;row=463&amp;col=7&amp;number=0.0091&amp;sourceID=14","0.0091")</f>
        <v>0.0091</v>
      </c>
    </row>
    <row r="464" spans="1:7">
      <c r="A464" s="3">
        <v>12</v>
      </c>
      <c r="B464" s="3">
        <v>4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HYPERLINK("http://141.218.60.56/~jnz1568/getInfo.php?workbook=12_04.xlsx&amp;sheet=U0&amp;row=464&amp;col=6&amp;number=3&amp;sourceID=14","3")</f>
        <v>3</v>
      </c>
      <c r="G464" s="4" t="str">
        <f>HYPERLINK("http://141.218.60.56/~jnz1568/getInfo.php?workbook=12_04.xlsx&amp;sheet=U0&amp;row=464&amp;col=7&amp;number=0.00495&amp;sourceID=14","0.00495")</f>
        <v>0.00495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HYPERLINK("http://141.218.60.56/~jnz1568/getInfo.php?workbook=12_04.xlsx&amp;sheet=U0&amp;row=465&amp;col=6&amp;number=3.1&amp;sourceID=14","3.1")</f>
        <v>3.1</v>
      </c>
      <c r="G465" s="4" t="str">
        <f>HYPERLINK("http://141.218.60.56/~jnz1568/getInfo.php?workbook=12_04.xlsx&amp;sheet=U0&amp;row=465&amp;col=7&amp;number=0.00495&amp;sourceID=14","0.00495")</f>
        <v>0.00495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HYPERLINK("http://141.218.60.56/~jnz1568/getInfo.php?workbook=12_04.xlsx&amp;sheet=U0&amp;row=466&amp;col=6&amp;number=3.2&amp;sourceID=14","3.2")</f>
        <v>3.2</v>
      </c>
      <c r="G466" s="4" t="str">
        <f>HYPERLINK("http://141.218.60.56/~jnz1568/getInfo.php?workbook=12_04.xlsx&amp;sheet=U0&amp;row=466&amp;col=7&amp;number=0.00494&amp;sourceID=14","0.00494")</f>
        <v>0.00494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HYPERLINK("http://141.218.60.56/~jnz1568/getInfo.php?workbook=12_04.xlsx&amp;sheet=U0&amp;row=467&amp;col=6&amp;number=3.3&amp;sourceID=14","3.3")</f>
        <v>3.3</v>
      </c>
      <c r="G467" s="4" t="str">
        <f>HYPERLINK("http://141.218.60.56/~jnz1568/getInfo.php?workbook=12_04.xlsx&amp;sheet=U0&amp;row=467&amp;col=7&amp;number=0.00493&amp;sourceID=14","0.00493")</f>
        <v>0.00493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HYPERLINK("http://141.218.60.56/~jnz1568/getInfo.php?workbook=12_04.xlsx&amp;sheet=U0&amp;row=468&amp;col=6&amp;number=3.4&amp;sourceID=14","3.4")</f>
        <v>3.4</v>
      </c>
      <c r="G468" s="4" t="str">
        <f>HYPERLINK("http://141.218.60.56/~jnz1568/getInfo.php?workbook=12_04.xlsx&amp;sheet=U0&amp;row=468&amp;col=7&amp;number=0.00492&amp;sourceID=14","0.00492")</f>
        <v>0.00492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HYPERLINK("http://141.218.60.56/~jnz1568/getInfo.php?workbook=12_04.xlsx&amp;sheet=U0&amp;row=469&amp;col=6&amp;number=3.5&amp;sourceID=14","3.5")</f>
        <v>3.5</v>
      </c>
      <c r="G469" s="4" t="str">
        <f>HYPERLINK("http://141.218.60.56/~jnz1568/getInfo.php?workbook=12_04.xlsx&amp;sheet=U0&amp;row=469&amp;col=7&amp;number=0.0049&amp;sourceID=14","0.0049")</f>
        <v>0.0049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HYPERLINK("http://141.218.60.56/~jnz1568/getInfo.php?workbook=12_04.xlsx&amp;sheet=U0&amp;row=470&amp;col=6&amp;number=3.6&amp;sourceID=14","3.6")</f>
        <v>3.6</v>
      </c>
      <c r="G470" s="4" t="str">
        <f>HYPERLINK("http://141.218.60.56/~jnz1568/getInfo.php?workbook=12_04.xlsx&amp;sheet=U0&amp;row=470&amp;col=7&amp;number=0.00488&amp;sourceID=14","0.00488")</f>
        <v>0.00488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HYPERLINK("http://141.218.60.56/~jnz1568/getInfo.php?workbook=12_04.xlsx&amp;sheet=U0&amp;row=471&amp;col=6&amp;number=3.7&amp;sourceID=14","3.7")</f>
        <v>3.7</v>
      </c>
      <c r="G471" s="4" t="str">
        <f>HYPERLINK("http://141.218.60.56/~jnz1568/getInfo.php?workbook=12_04.xlsx&amp;sheet=U0&amp;row=471&amp;col=7&amp;number=0.00485&amp;sourceID=14","0.00485")</f>
        <v>0.00485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HYPERLINK("http://141.218.60.56/~jnz1568/getInfo.php?workbook=12_04.xlsx&amp;sheet=U0&amp;row=472&amp;col=6&amp;number=3.8&amp;sourceID=14","3.8")</f>
        <v>3.8</v>
      </c>
      <c r="G472" s="4" t="str">
        <f>HYPERLINK("http://141.218.60.56/~jnz1568/getInfo.php?workbook=12_04.xlsx&amp;sheet=U0&amp;row=472&amp;col=7&amp;number=0.00482&amp;sourceID=14","0.00482")</f>
        <v>0.00482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HYPERLINK("http://141.218.60.56/~jnz1568/getInfo.php?workbook=12_04.xlsx&amp;sheet=U0&amp;row=473&amp;col=6&amp;number=3.9&amp;sourceID=14","3.9")</f>
        <v>3.9</v>
      </c>
      <c r="G473" s="4" t="str">
        <f>HYPERLINK("http://141.218.60.56/~jnz1568/getInfo.php?workbook=12_04.xlsx&amp;sheet=U0&amp;row=473&amp;col=7&amp;number=0.00478&amp;sourceID=14","0.00478")</f>
        <v>0.00478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HYPERLINK("http://141.218.60.56/~jnz1568/getInfo.php?workbook=12_04.xlsx&amp;sheet=U0&amp;row=474&amp;col=6&amp;number=4&amp;sourceID=14","4")</f>
        <v>4</v>
      </c>
      <c r="G474" s="4" t="str">
        <f>HYPERLINK("http://141.218.60.56/~jnz1568/getInfo.php?workbook=12_04.xlsx&amp;sheet=U0&amp;row=474&amp;col=7&amp;number=0.00473&amp;sourceID=14","0.00473")</f>
        <v>0.00473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HYPERLINK("http://141.218.60.56/~jnz1568/getInfo.php?workbook=12_04.xlsx&amp;sheet=U0&amp;row=475&amp;col=6&amp;number=4.1&amp;sourceID=14","4.1")</f>
        <v>4.1</v>
      </c>
      <c r="G475" s="4" t="str">
        <f>HYPERLINK("http://141.218.60.56/~jnz1568/getInfo.php?workbook=12_04.xlsx&amp;sheet=U0&amp;row=475&amp;col=7&amp;number=0.00467&amp;sourceID=14","0.00467")</f>
        <v>0.00467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HYPERLINK("http://141.218.60.56/~jnz1568/getInfo.php?workbook=12_04.xlsx&amp;sheet=U0&amp;row=476&amp;col=6&amp;number=4.2&amp;sourceID=14","4.2")</f>
        <v>4.2</v>
      </c>
      <c r="G476" s="4" t="str">
        <f>HYPERLINK("http://141.218.60.56/~jnz1568/getInfo.php?workbook=12_04.xlsx&amp;sheet=U0&amp;row=476&amp;col=7&amp;number=0.00458&amp;sourceID=14","0.00458")</f>
        <v>0.00458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HYPERLINK("http://141.218.60.56/~jnz1568/getInfo.php?workbook=12_04.xlsx&amp;sheet=U0&amp;row=477&amp;col=6&amp;number=4.3&amp;sourceID=14","4.3")</f>
        <v>4.3</v>
      </c>
      <c r="G477" s="4" t="str">
        <f>HYPERLINK("http://141.218.60.56/~jnz1568/getInfo.php?workbook=12_04.xlsx&amp;sheet=U0&amp;row=477&amp;col=7&amp;number=0.00449&amp;sourceID=14","0.00449")</f>
        <v>0.00449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HYPERLINK("http://141.218.60.56/~jnz1568/getInfo.php?workbook=12_04.xlsx&amp;sheet=U0&amp;row=478&amp;col=6&amp;number=4.4&amp;sourceID=14","4.4")</f>
        <v>4.4</v>
      </c>
      <c r="G478" s="4" t="str">
        <f>HYPERLINK("http://141.218.60.56/~jnz1568/getInfo.php?workbook=12_04.xlsx&amp;sheet=U0&amp;row=478&amp;col=7&amp;number=0.00436&amp;sourceID=14","0.00436")</f>
        <v>0.00436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HYPERLINK("http://141.218.60.56/~jnz1568/getInfo.php?workbook=12_04.xlsx&amp;sheet=U0&amp;row=479&amp;col=6&amp;number=4.5&amp;sourceID=14","4.5")</f>
        <v>4.5</v>
      </c>
      <c r="G479" s="4" t="str">
        <f>HYPERLINK("http://141.218.60.56/~jnz1568/getInfo.php?workbook=12_04.xlsx&amp;sheet=U0&amp;row=479&amp;col=7&amp;number=0.00421&amp;sourceID=14","0.00421")</f>
        <v>0.00421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HYPERLINK("http://141.218.60.56/~jnz1568/getInfo.php?workbook=12_04.xlsx&amp;sheet=U0&amp;row=480&amp;col=6&amp;number=4.6&amp;sourceID=14","4.6")</f>
        <v>4.6</v>
      </c>
      <c r="G480" s="4" t="str">
        <f>HYPERLINK("http://141.218.60.56/~jnz1568/getInfo.php?workbook=12_04.xlsx&amp;sheet=U0&amp;row=480&amp;col=7&amp;number=0.00402&amp;sourceID=14","0.00402")</f>
        <v>0.00402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HYPERLINK("http://141.218.60.56/~jnz1568/getInfo.php?workbook=12_04.xlsx&amp;sheet=U0&amp;row=481&amp;col=6&amp;number=4.7&amp;sourceID=14","4.7")</f>
        <v>4.7</v>
      </c>
      <c r="G481" s="4" t="str">
        <f>HYPERLINK("http://141.218.60.56/~jnz1568/getInfo.php?workbook=12_04.xlsx&amp;sheet=U0&amp;row=481&amp;col=7&amp;number=0.00378&amp;sourceID=14","0.00378")</f>
        <v>0.00378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HYPERLINK("http://141.218.60.56/~jnz1568/getInfo.php?workbook=12_04.xlsx&amp;sheet=U0&amp;row=482&amp;col=6&amp;number=4.8&amp;sourceID=14","4.8")</f>
        <v>4.8</v>
      </c>
      <c r="G482" s="4" t="str">
        <f>HYPERLINK("http://141.218.60.56/~jnz1568/getInfo.php?workbook=12_04.xlsx&amp;sheet=U0&amp;row=482&amp;col=7&amp;number=0.0035&amp;sourceID=14","0.0035")</f>
        <v>0.0035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HYPERLINK("http://141.218.60.56/~jnz1568/getInfo.php?workbook=12_04.xlsx&amp;sheet=U0&amp;row=483&amp;col=6&amp;number=4.9&amp;sourceID=14","4.9")</f>
        <v>4.9</v>
      </c>
      <c r="G483" s="4" t="str">
        <f>HYPERLINK("http://141.218.60.56/~jnz1568/getInfo.php?workbook=12_04.xlsx&amp;sheet=U0&amp;row=483&amp;col=7&amp;number=0.00317&amp;sourceID=14","0.00317")</f>
        <v>0.00317</v>
      </c>
    </row>
    <row r="484" spans="1:7">
      <c r="A484" s="3">
        <v>12</v>
      </c>
      <c r="B484" s="3">
        <v>4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HYPERLINK("http://141.218.60.56/~jnz1568/getInfo.php?workbook=12_04.xlsx&amp;sheet=U0&amp;row=484&amp;col=6&amp;number=3&amp;sourceID=14","3")</f>
        <v>3</v>
      </c>
      <c r="G484" s="4" t="str">
        <f>HYPERLINK("http://141.218.60.56/~jnz1568/getInfo.php?workbook=12_04.xlsx&amp;sheet=U0&amp;row=484&amp;col=7&amp;number=0.00693&amp;sourceID=14","0.00693")</f>
        <v>0.00693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HYPERLINK("http://141.218.60.56/~jnz1568/getInfo.php?workbook=12_04.xlsx&amp;sheet=U0&amp;row=485&amp;col=6&amp;number=3.1&amp;sourceID=14","3.1")</f>
        <v>3.1</v>
      </c>
      <c r="G485" s="4" t="str">
        <f>HYPERLINK("http://141.218.60.56/~jnz1568/getInfo.php?workbook=12_04.xlsx&amp;sheet=U0&amp;row=485&amp;col=7&amp;number=0.00692&amp;sourceID=14","0.00692")</f>
        <v>0.00692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HYPERLINK("http://141.218.60.56/~jnz1568/getInfo.php?workbook=12_04.xlsx&amp;sheet=U0&amp;row=486&amp;col=6&amp;number=3.2&amp;sourceID=14","3.2")</f>
        <v>3.2</v>
      </c>
      <c r="G486" s="4" t="str">
        <f>HYPERLINK("http://141.218.60.56/~jnz1568/getInfo.php?workbook=12_04.xlsx&amp;sheet=U0&amp;row=486&amp;col=7&amp;number=0.0069&amp;sourceID=14","0.0069")</f>
        <v>0.0069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HYPERLINK("http://141.218.60.56/~jnz1568/getInfo.php?workbook=12_04.xlsx&amp;sheet=U0&amp;row=487&amp;col=6&amp;number=3.3&amp;sourceID=14","3.3")</f>
        <v>3.3</v>
      </c>
      <c r="G487" s="4" t="str">
        <f>HYPERLINK("http://141.218.60.56/~jnz1568/getInfo.php?workbook=12_04.xlsx&amp;sheet=U0&amp;row=487&amp;col=7&amp;number=0.00687&amp;sourceID=14","0.00687")</f>
        <v>0.00687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HYPERLINK("http://141.218.60.56/~jnz1568/getInfo.php?workbook=12_04.xlsx&amp;sheet=U0&amp;row=488&amp;col=6&amp;number=3.4&amp;sourceID=14","3.4")</f>
        <v>3.4</v>
      </c>
      <c r="G488" s="4" t="str">
        <f>HYPERLINK("http://141.218.60.56/~jnz1568/getInfo.php?workbook=12_04.xlsx&amp;sheet=U0&amp;row=488&amp;col=7&amp;number=0.00684&amp;sourceID=14","0.00684")</f>
        <v>0.00684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HYPERLINK("http://141.218.60.56/~jnz1568/getInfo.php?workbook=12_04.xlsx&amp;sheet=U0&amp;row=489&amp;col=6&amp;number=3.5&amp;sourceID=14","3.5")</f>
        <v>3.5</v>
      </c>
      <c r="G489" s="4" t="str">
        <f>HYPERLINK("http://141.218.60.56/~jnz1568/getInfo.php?workbook=12_04.xlsx&amp;sheet=U0&amp;row=489&amp;col=7&amp;number=0.0068&amp;sourceID=14","0.0068")</f>
        <v>0.0068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HYPERLINK("http://141.218.60.56/~jnz1568/getInfo.php?workbook=12_04.xlsx&amp;sheet=U0&amp;row=490&amp;col=6&amp;number=3.6&amp;sourceID=14","3.6")</f>
        <v>3.6</v>
      </c>
      <c r="G490" s="4" t="str">
        <f>HYPERLINK("http://141.218.60.56/~jnz1568/getInfo.php?workbook=12_04.xlsx&amp;sheet=U0&amp;row=490&amp;col=7&amp;number=0.00675&amp;sourceID=14","0.00675")</f>
        <v>0.00675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HYPERLINK("http://141.218.60.56/~jnz1568/getInfo.php?workbook=12_04.xlsx&amp;sheet=U0&amp;row=491&amp;col=6&amp;number=3.7&amp;sourceID=14","3.7")</f>
        <v>3.7</v>
      </c>
      <c r="G491" s="4" t="str">
        <f>HYPERLINK("http://141.218.60.56/~jnz1568/getInfo.php?workbook=12_04.xlsx&amp;sheet=U0&amp;row=491&amp;col=7&amp;number=0.00669&amp;sourceID=14","0.00669")</f>
        <v>0.00669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HYPERLINK("http://141.218.60.56/~jnz1568/getInfo.php?workbook=12_04.xlsx&amp;sheet=U0&amp;row=492&amp;col=6&amp;number=3.8&amp;sourceID=14","3.8")</f>
        <v>3.8</v>
      </c>
      <c r="G492" s="4" t="str">
        <f>HYPERLINK("http://141.218.60.56/~jnz1568/getInfo.php?workbook=12_04.xlsx&amp;sheet=U0&amp;row=492&amp;col=7&amp;number=0.00661&amp;sourceID=14","0.00661")</f>
        <v>0.00661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HYPERLINK("http://141.218.60.56/~jnz1568/getInfo.php?workbook=12_04.xlsx&amp;sheet=U0&amp;row=493&amp;col=6&amp;number=3.9&amp;sourceID=14","3.9")</f>
        <v>3.9</v>
      </c>
      <c r="G493" s="4" t="str">
        <f>HYPERLINK("http://141.218.60.56/~jnz1568/getInfo.php?workbook=12_04.xlsx&amp;sheet=U0&amp;row=493&amp;col=7&amp;number=0.00651&amp;sourceID=14","0.00651")</f>
        <v>0.00651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HYPERLINK("http://141.218.60.56/~jnz1568/getInfo.php?workbook=12_04.xlsx&amp;sheet=U0&amp;row=494&amp;col=6&amp;number=4&amp;sourceID=14","4")</f>
        <v>4</v>
      </c>
      <c r="G494" s="4" t="str">
        <f>HYPERLINK("http://141.218.60.56/~jnz1568/getInfo.php?workbook=12_04.xlsx&amp;sheet=U0&amp;row=494&amp;col=7&amp;number=0.00639&amp;sourceID=14","0.00639")</f>
        <v>0.00639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HYPERLINK("http://141.218.60.56/~jnz1568/getInfo.php?workbook=12_04.xlsx&amp;sheet=U0&amp;row=495&amp;col=6&amp;number=4.1&amp;sourceID=14","4.1")</f>
        <v>4.1</v>
      </c>
      <c r="G495" s="4" t="str">
        <f>HYPERLINK("http://141.218.60.56/~jnz1568/getInfo.php?workbook=12_04.xlsx&amp;sheet=U0&amp;row=495&amp;col=7&amp;number=0.00624&amp;sourceID=14","0.00624")</f>
        <v>0.00624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HYPERLINK("http://141.218.60.56/~jnz1568/getInfo.php?workbook=12_04.xlsx&amp;sheet=U0&amp;row=496&amp;col=6&amp;number=4.2&amp;sourceID=14","4.2")</f>
        <v>4.2</v>
      </c>
      <c r="G496" s="4" t="str">
        <f>HYPERLINK("http://141.218.60.56/~jnz1568/getInfo.php?workbook=12_04.xlsx&amp;sheet=U0&amp;row=496&amp;col=7&amp;number=0.00605&amp;sourceID=14","0.00605")</f>
        <v>0.00605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HYPERLINK("http://141.218.60.56/~jnz1568/getInfo.php?workbook=12_04.xlsx&amp;sheet=U0&amp;row=497&amp;col=6&amp;number=4.3&amp;sourceID=14","4.3")</f>
        <v>4.3</v>
      </c>
      <c r="G497" s="4" t="str">
        <f>HYPERLINK("http://141.218.60.56/~jnz1568/getInfo.php?workbook=12_04.xlsx&amp;sheet=U0&amp;row=497&amp;col=7&amp;number=0.00582&amp;sourceID=14","0.00582")</f>
        <v>0.00582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HYPERLINK("http://141.218.60.56/~jnz1568/getInfo.php?workbook=12_04.xlsx&amp;sheet=U0&amp;row=498&amp;col=6&amp;number=4.4&amp;sourceID=14","4.4")</f>
        <v>4.4</v>
      </c>
      <c r="G498" s="4" t="str">
        <f>HYPERLINK("http://141.218.60.56/~jnz1568/getInfo.php?workbook=12_04.xlsx&amp;sheet=U0&amp;row=498&amp;col=7&amp;number=0.00553&amp;sourceID=14","0.00553")</f>
        <v>0.00553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HYPERLINK("http://141.218.60.56/~jnz1568/getInfo.php?workbook=12_04.xlsx&amp;sheet=U0&amp;row=499&amp;col=6&amp;number=4.5&amp;sourceID=14","4.5")</f>
        <v>4.5</v>
      </c>
      <c r="G499" s="4" t="str">
        <f>HYPERLINK("http://141.218.60.56/~jnz1568/getInfo.php?workbook=12_04.xlsx&amp;sheet=U0&amp;row=499&amp;col=7&amp;number=0.00518&amp;sourceID=14","0.00518")</f>
        <v>0.00518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HYPERLINK("http://141.218.60.56/~jnz1568/getInfo.php?workbook=12_04.xlsx&amp;sheet=U0&amp;row=500&amp;col=6&amp;number=4.6&amp;sourceID=14","4.6")</f>
        <v>4.6</v>
      </c>
      <c r="G500" s="4" t="str">
        <f>HYPERLINK("http://141.218.60.56/~jnz1568/getInfo.php?workbook=12_04.xlsx&amp;sheet=U0&amp;row=500&amp;col=7&amp;number=0.00476&amp;sourceID=14","0.00476")</f>
        <v>0.00476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HYPERLINK("http://141.218.60.56/~jnz1568/getInfo.php?workbook=12_04.xlsx&amp;sheet=U0&amp;row=501&amp;col=6&amp;number=4.7&amp;sourceID=14","4.7")</f>
        <v>4.7</v>
      </c>
      <c r="G501" s="4" t="str">
        <f>HYPERLINK("http://141.218.60.56/~jnz1568/getInfo.php?workbook=12_04.xlsx&amp;sheet=U0&amp;row=501&amp;col=7&amp;number=0.00427&amp;sourceID=14","0.00427")</f>
        <v>0.00427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HYPERLINK("http://141.218.60.56/~jnz1568/getInfo.php?workbook=12_04.xlsx&amp;sheet=U0&amp;row=502&amp;col=6&amp;number=4.8&amp;sourceID=14","4.8")</f>
        <v>4.8</v>
      </c>
      <c r="G502" s="4" t="str">
        <f>HYPERLINK("http://141.218.60.56/~jnz1568/getInfo.php?workbook=12_04.xlsx&amp;sheet=U0&amp;row=502&amp;col=7&amp;number=0.00371&amp;sourceID=14","0.00371")</f>
        <v>0.00371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HYPERLINK("http://141.218.60.56/~jnz1568/getInfo.php?workbook=12_04.xlsx&amp;sheet=U0&amp;row=503&amp;col=6&amp;number=4.9&amp;sourceID=14","4.9")</f>
        <v>4.9</v>
      </c>
      <c r="G503" s="4" t="str">
        <f>HYPERLINK("http://141.218.60.56/~jnz1568/getInfo.php?workbook=12_04.xlsx&amp;sheet=U0&amp;row=503&amp;col=7&amp;number=0.00311&amp;sourceID=14","0.00311")</f>
        <v>0.00311</v>
      </c>
    </row>
    <row r="504" spans="1:7">
      <c r="A504" s="3">
        <v>12</v>
      </c>
      <c r="B504" s="3">
        <v>4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HYPERLINK("http://141.218.60.56/~jnz1568/getInfo.php?workbook=12_04.xlsx&amp;sheet=U0&amp;row=504&amp;col=6&amp;number=3&amp;sourceID=14","3")</f>
        <v>3</v>
      </c>
      <c r="G504" s="4" t="str">
        <f>HYPERLINK("http://141.218.60.56/~jnz1568/getInfo.php?workbook=12_04.xlsx&amp;sheet=U0&amp;row=504&amp;col=7&amp;number=0.011&amp;sourceID=14","0.011")</f>
        <v>0.011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HYPERLINK("http://141.218.60.56/~jnz1568/getInfo.php?workbook=12_04.xlsx&amp;sheet=U0&amp;row=505&amp;col=6&amp;number=3.1&amp;sourceID=14","3.1")</f>
        <v>3.1</v>
      </c>
      <c r="G505" s="4" t="str">
        <f>HYPERLINK("http://141.218.60.56/~jnz1568/getInfo.php?workbook=12_04.xlsx&amp;sheet=U0&amp;row=505&amp;col=7&amp;number=0.011&amp;sourceID=14","0.011")</f>
        <v>0.011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HYPERLINK("http://141.218.60.56/~jnz1568/getInfo.php?workbook=12_04.xlsx&amp;sheet=U0&amp;row=506&amp;col=6&amp;number=3.2&amp;sourceID=14","3.2")</f>
        <v>3.2</v>
      </c>
      <c r="G506" s="4" t="str">
        <f>HYPERLINK("http://141.218.60.56/~jnz1568/getInfo.php?workbook=12_04.xlsx&amp;sheet=U0&amp;row=506&amp;col=7&amp;number=0.011&amp;sourceID=14","0.011")</f>
        <v>0.011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HYPERLINK("http://141.218.60.56/~jnz1568/getInfo.php?workbook=12_04.xlsx&amp;sheet=U0&amp;row=507&amp;col=6&amp;number=3.3&amp;sourceID=14","3.3")</f>
        <v>3.3</v>
      </c>
      <c r="G507" s="4" t="str">
        <f>HYPERLINK("http://141.218.60.56/~jnz1568/getInfo.php?workbook=12_04.xlsx&amp;sheet=U0&amp;row=507&amp;col=7&amp;number=0.011&amp;sourceID=14","0.011")</f>
        <v>0.011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HYPERLINK("http://141.218.60.56/~jnz1568/getInfo.php?workbook=12_04.xlsx&amp;sheet=U0&amp;row=508&amp;col=6&amp;number=3.4&amp;sourceID=14","3.4")</f>
        <v>3.4</v>
      </c>
      <c r="G508" s="4" t="str">
        <f>HYPERLINK("http://141.218.60.56/~jnz1568/getInfo.php?workbook=12_04.xlsx&amp;sheet=U0&amp;row=508&amp;col=7&amp;number=0.0109&amp;sourceID=14","0.0109")</f>
        <v>0.0109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HYPERLINK("http://141.218.60.56/~jnz1568/getInfo.php?workbook=12_04.xlsx&amp;sheet=U0&amp;row=509&amp;col=6&amp;number=3.5&amp;sourceID=14","3.5")</f>
        <v>3.5</v>
      </c>
      <c r="G509" s="4" t="str">
        <f>HYPERLINK("http://141.218.60.56/~jnz1568/getInfo.php?workbook=12_04.xlsx&amp;sheet=U0&amp;row=509&amp;col=7&amp;number=0.0108&amp;sourceID=14","0.0108")</f>
        <v>0.0108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HYPERLINK("http://141.218.60.56/~jnz1568/getInfo.php?workbook=12_04.xlsx&amp;sheet=U0&amp;row=510&amp;col=6&amp;number=3.6&amp;sourceID=14","3.6")</f>
        <v>3.6</v>
      </c>
      <c r="G510" s="4" t="str">
        <f>HYPERLINK("http://141.218.60.56/~jnz1568/getInfo.php?workbook=12_04.xlsx&amp;sheet=U0&amp;row=510&amp;col=7&amp;number=0.0108&amp;sourceID=14","0.0108")</f>
        <v>0.0108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HYPERLINK("http://141.218.60.56/~jnz1568/getInfo.php?workbook=12_04.xlsx&amp;sheet=U0&amp;row=511&amp;col=6&amp;number=3.7&amp;sourceID=14","3.7")</f>
        <v>3.7</v>
      </c>
      <c r="G511" s="4" t="str">
        <f>HYPERLINK("http://141.218.60.56/~jnz1568/getInfo.php?workbook=12_04.xlsx&amp;sheet=U0&amp;row=511&amp;col=7&amp;number=0.0107&amp;sourceID=14","0.0107")</f>
        <v>0.0107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HYPERLINK("http://141.218.60.56/~jnz1568/getInfo.php?workbook=12_04.xlsx&amp;sheet=U0&amp;row=512&amp;col=6&amp;number=3.8&amp;sourceID=14","3.8")</f>
        <v>3.8</v>
      </c>
      <c r="G512" s="4" t="str">
        <f>HYPERLINK("http://141.218.60.56/~jnz1568/getInfo.php?workbook=12_04.xlsx&amp;sheet=U0&amp;row=512&amp;col=7&amp;number=0.0106&amp;sourceID=14","0.0106")</f>
        <v>0.0106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HYPERLINK("http://141.218.60.56/~jnz1568/getInfo.php?workbook=12_04.xlsx&amp;sheet=U0&amp;row=513&amp;col=6&amp;number=3.9&amp;sourceID=14","3.9")</f>
        <v>3.9</v>
      </c>
      <c r="G513" s="4" t="str">
        <f>HYPERLINK("http://141.218.60.56/~jnz1568/getInfo.php?workbook=12_04.xlsx&amp;sheet=U0&amp;row=513&amp;col=7&amp;number=0.0104&amp;sourceID=14","0.0104")</f>
        <v>0.0104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HYPERLINK("http://141.218.60.56/~jnz1568/getInfo.php?workbook=12_04.xlsx&amp;sheet=U0&amp;row=514&amp;col=6&amp;number=4&amp;sourceID=14","4")</f>
        <v>4</v>
      </c>
      <c r="G514" s="4" t="str">
        <f>HYPERLINK("http://141.218.60.56/~jnz1568/getInfo.php?workbook=12_04.xlsx&amp;sheet=U0&amp;row=514&amp;col=7&amp;number=0.0102&amp;sourceID=14","0.0102")</f>
        <v>0.0102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HYPERLINK("http://141.218.60.56/~jnz1568/getInfo.php?workbook=12_04.xlsx&amp;sheet=U0&amp;row=515&amp;col=6&amp;number=4.1&amp;sourceID=14","4.1")</f>
        <v>4.1</v>
      </c>
      <c r="G515" s="4" t="str">
        <f>HYPERLINK("http://141.218.60.56/~jnz1568/getInfo.php?workbook=12_04.xlsx&amp;sheet=U0&amp;row=515&amp;col=7&amp;number=0.00999&amp;sourceID=14","0.00999")</f>
        <v>0.00999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HYPERLINK("http://141.218.60.56/~jnz1568/getInfo.php?workbook=12_04.xlsx&amp;sheet=U0&amp;row=516&amp;col=6&amp;number=4.2&amp;sourceID=14","4.2")</f>
        <v>4.2</v>
      </c>
      <c r="G516" s="4" t="str">
        <f>HYPERLINK("http://141.218.60.56/~jnz1568/getInfo.php?workbook=12_04.xlsx&amp;sheet=U0&amp;row=516&amp;col=7&amp;number=0.00971&amp;sourceID=14","0.00971")</f>
        <v>0.00971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HYPERLINK("http://141.218.60.56/~jnz1568/getInfo.php?workbook=12_04.xlsx&amp;sheet=U0&amp;row=517&amp;col=6&amp;number=4.3&amp;sourceID=14","4.3")</f>
        <v>4.3</v>
      </c>
      <c r="G517" s="4" t="str">
        <f>HYPERLINK("http://141.218.60.56/~jnz1568/getInfo.php?workbook=12_04.xlsx&amp;sheet=U0&amp;row=517&amp;col=7&amp;number=0.00935&amp;sourceID=14","0.00935")</f>
        <v>0.00935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HYPERLINK("http://141.218.60.56/~jnz1568/getInfo.php?workbook=12_04.xlsx&amp;sheet=U0&amp;row=518&amp;col=6&amp;number=4.4&amp;sourceID=14","4.4")</f>
        <v>4.4</v>
      </c>
      <c r="G518" s="4" t="str">
        <f>HYPERLINK("http://141.218.60.56/~jnz1568/getInfo.php?workbook=12_04.xlsx&amp;sheet=U0&amp;row=518&amp;col=7&amp;number=0.00891&amp;sourceID=14","0.00891")</f>
        <v>0.00891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HYPERLINK("http://141.218.60.56/~jnz1568/getInfo.php?workbook=12_04.xlsx&amp;sheet=U0&amp;row=519&amp;col=6&amp;number=4.5&amp;sourceID=14","4.5")</f>
        <v>4.5</v>
      </c>
      <c r="G519" s="4" t="str">
        <f>HYPERLINK("http://141.218.60.56/~jnz1568/getInfo.php?workbook=12_04.xlsx&amp;sheet=U0&amp;row=519&amp;col=7&amp;number=0.00838&amp;sourceID=14","0.00838")</f>
        <v>0.00838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HYPERLINK("http://141.218.60.56/~jnz1568/getInfo.php?workbook=12_04.xlsx&amp;sheet=U0&amp;row=520&amp;col=6&amp;number=4.6&amp;sourceID=14","4.6")</f>
        <v>4.6</v>
      </c>
      <c r="G520" s="4" t="str">
        <f>HYPERLINK("http://141.218.60.56/~jnz1568/getInfo.php?workbook=12_04.xlsx&amp;sheet=U0&amp;row=520&amp;col=7&amp;number=0.00774&amp;sourceID=14","0.00774")</f>
        <v>0.00774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HYPERLINK("http://141.218.60.56/~jnz1568/getInfo.php?workbook=12_04.xlsx&amp;sheet=U0&amp;row=521&amp;col=6&amp;number=4.7&amp;sourceID=14","4.7")</f>
        <v>4.7</v>
      </c>
      <c r="G521" s="4" t="str">
        <f>HYPERLINK("http://141.218.60.56/~jnz1568/getInfo.php?workbook=12_04.xlsx&amp;sheet=U0&amp;row=521&amp;col=7&amp;number=0.00699&amp;sourceID=14","0.00699")</f>
        <v>0.00699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HYPERLINK("http://141.218.60.56/~jnz1568/getInfo.php?workbook=12_04.xlsx&amp;sheet=U0&amp;row=522&amp;col=6&amp;number=4.8&amp;sourceID=14","4.8")</f>
        <v>4.8</v>
      </c>
      <c r="G522" s="4" t="str">
        <f>HYPERLINK("http://141.218.60.56/~jnz1568/getInfo.php?workbook=12_04.xlsx&amp;sheet=U0&amp;row=522&amp;col=7&amp;number=0.00613&amp;sourceID=14","0.00613")</f>
        <v>0.00613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HYPERLINK("http://141.218.60.56/~jnz1568/getInfo.php?workbook=12_04.xlsx&amp;sheet=U0&amp;row=523&amp;col=6&amp;number=4.9&amp;sourceID=14","4.9")</f>
        <v>4.9</v>
      </c>
      <c r="G523" s="4" t="str">
        <f>HYPERLINK("http://141.218.60.56/~jnz1568/getInfo.php?workbook=12_04.xlsx&amp;sheet=U0&amp;row=523&amp;col=7&amp;number=0.00521&amp;sourceID=14","0.00521")</f>
        <v>0.00521</v>
      </c>
    </row>
    <row r="524" spans="1:7">
      <c r="A524" s="3">
        <v>12</v>
      </c>
      <c r="B524" s="3">
        <v>4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HYPERLINK("http://141.218.60.56/~jnz1568/getInfo.php?workbook=12_04.xlsx&amp;sheet=U0&amp;row=524&amp;col=6&amp;number=3&amp;sourceID=14","3")</f>
        <v>3</v>
      </c>
      <c r="G524" s="4" t="str">
        <f>HYPERLINK("http://141.218.60.56/~jnz1568/getInfo.php?workbook=12_04.xlsx&amp;sheet=U0&amp;row=524&amp;col=7&amp;number=0.0136&amp;sourceID=14","0.0136")</f>
        <v>0.0136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HYPERLINK("http://141.218.60.56/~jnz1568/getInfo.php?workbook=12_04.xlsx&amp;sheet=U0&amp;row=525&amp;col=6&amp;number=3.1&amp;sourceID=14","3.1")</f>
        <v>3.1</v>
      </c>
      <c r="G525" s="4" t="str">
        <f>HYPERLINK("http://141.218.60.56/~jnz1568/getInfo.php?workbook=12_04.xlsx&amp;sheet=U0&amp;row=525&amp;col=7&amp;number=0.0136&amp;sourceID=14","0.0136")</f>
        <v>0.0136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HYPERLINK("http://141.218.60.56/~jnz1568/getInfo.php?workbook=12_04.xlsx&amp;sheet=U0&amp;row=526&amp;col=6&amp;number=3.2&amp;sourceID=14","3.2")</f>
        <v>3.2</v>
      </c>
      <c r="G526" s="4" t="str">
        <f>HYPERLINK("http://141.218.60.56/~jnz1568/getInfo.php?workbook=12_04.xlsx&amp;sheet=U0&amp;row=526&amp;col=7&amp;number=0.0136&amp;sourceID=14","0.0136")</f>
        <v>0.0136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HYPERLINK("http://141.218.60.56/~jnz1568/getInfo.php?workbook=12_04.xlsx&amp;sheet=U0&amp;row=527&amp;col=6&amp;number=3.3&amp;sourceID=14","3.3")</f>
        <v>3.3</v>
      </c>
      <c r="G527" s="4" t="str">
        <f>HYPERLINK("http://141.218.60.56/~jnz1568/getInfo.php?workbook=12_04.xlsx&amp;sheet=U0&amp;row=527&amp;col=7&amp;number=0.0135&amp;sourceID=14","0.0135")</f>
        <v>0.0135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HYPERLINK("http://141.218.60.56/~jnz1568/getInfo.php?workbook=12_04.xlsx&amp;sheet=U0&amp;row=528&amp;col=6&amp;number=3.4&amp;sourceID=14","3.4")</f>
        <v>3.4</v>
      </c>
      <c r="G528" s="4" t="str">
        <f>HYPERLINK("http://141.218.60.56/~jnz1568/getInfo.php?workbook=12_04.xlsx&amp;sheet=U0&amp;row=528&amp;col=7&amp;number=0.0134&amp;sourceID=14","0.0134")</f>
        <v>0.0134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HYPERLINK("http://141.218.60.56/~jnz1568/getInfo.php?workbook=12_04.xlsx&amp;sheet=U0&amp;row=529&amp;col=6&amp;number=3.5&amp;sourceID=14","3.5")</f>
        <v>3.5</v>
      </c>
      <c r="G529" s="4" t="str">
        <f>HYPERLINK("http://141.218.60.56/~jnz1568/getInfo.php?workbook=12_04.xlsx&amp;sheet=U0&amp;row=529&amp;col=7&amp;number=0.0134&amp;sourceID=14","0.0134")</f>
        <v>0.0134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HYPERLINK("http://141.218.60.56/~jnz1568/getInfo.php?workbook=12_04.xlsx&amp;sheet=U0&amp;row=530&amp;col=6&amp;number=3.6&amp;sourceID=14","3.6")</f>
        <v>3.6</v>
      </c>
      <c r="G530" s="4" t="str">
        <f>HYPERLINK("http://141.218.60.56/~jnz1568/getInfo.php?workbook=12_04.xlsx&amp;sheet=U0&amp;row=530&amp;col=7&amp;number=0.0133&amp;sourceID=14","0.0133")</f>
        <v>0.0133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HYPERLINK("http://141.218.60.56/~jnz1568/getInfo.php?workbook=12_04.xlsx&amp;sheet=U0&amp;row=531&amp;col=6&amp;number=3.7&amp;sourceID=14","3.7")</f>
        <v>3.7</v>
      </c>
      <c r="G531" s="4" t="str">
        <f>HYPERLINK("http://141.218.60.56/~jnz1568/getInfo.php?workbook=12_04.xlsx&amp;sheet=U0&amp;row=531&amp;col=7&amp;number=0.0131&amp;sourceID=14","0.0131")</f>
        <v>0.0131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HYPERLINK("http://141.218.60.56/~jnz1568/getInfo.php?workbook=12_04.xlsx&amp;sheet=U0&amp;row=532&amp;col=6&amp;number=3.8&amp;sourceID=14","3.8")</f>
        <v>3.8</v>
      </c>
      <c r="G532" s="4" t="str">
        <f>HYPERLINK("http://141.218.60.56/~jnz1568/getInfo.php?workbook=12_04.xlsx&amp;sheet=U0&amp;row=532&amp;col=7&amp;number=0.013&amp;sourceID=14","0.013")</f>
        <v>0.013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HYPERLINK("http://141.218.60.56/~jnz1568/getInfo.php?workbook=12_04.xlsx&amp;sheet=U0&amp;row=533&amp;col=6&amp;number=3.9&amp;sourceID=14","3.9")</f>
        <v>3.9</v>
      </c>
      <c r="G533" s="4" t="str">
        <f>HYPERLINK("http://141.218.60.56/~jnz1568/getInfo.php?workbook=12_04.xlsx&amp;sheet=U0&amp;row=533&amp;col=7&amp;number=0.0128&amp;sourceID=14","0.0128")</f>
        <v>0.0128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HYPERLINK("http://141.218.60.56/~jnz1568/getInfo.php?workbook=12_04.xlsx&amp;sheet=U0&amp;row=534&amp;col=6&amp;number=4&amp;sourceID=14","4")</f>
        <v>4</v>
      </c>
      <c r="G534" s="4" t="str">
        <f>HYPERLINK("http://141.218.60.56/~jnz1568/getInfo.php?workbook=12_04.xlsx&amp;sheet=U0&amp;row=534&amp;col=7&amp;number=0.0126&amp;sourceID=14","0.0126")</f>
        <v>0.0126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HYPERLINK("http://141.218.60.56/~jnz1568/getInfo.php?workbook=12_04.xlsx&amp;sheet=U0&amp;row=535&amp;col=6&amp;number=4.1&amp;sourceID=14","4.1")</f>
        <v>4.1</v>
      </c>
      <c r="G535" s="4" t="str">
        <f>HYPERLINK("http://141.218.60.56/~jnz1568/getInfo.php?workbook=12_04.xlsx&amp;sheet=U0&amp;row=535&amp;col=7&amp;number=0.0123&amp;sourceID=14","0.0123")</f>
        <v>0.0123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HYPERLINK("http://141.218.60.56/~jnz1568/getInfo.php?workbook=12_04.xlsx&amp;sheet=U0&amp;row=536&amp;col=6&amp;number=4.2&amp;sourceID=14","4.2")</f>
        <v>4.2</v>
      </c>
      <c r="G536" s="4" t="str">
        <f>HYPERLINK("http://141.218.60.56/~jnz1568/getInfo.php?workbook=12_04.xlsx&amp;sheet=U0&amp;row=536&amp;col=7&amp;number=0.0119&amp;sourceID=14","0.0119")</f>
        <v>0.0119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HYPERLINK("http://141.218.60.56/~jnz1568/getInfo.php?workbook=12_04.xlsx&amp;sheet=U0&amp;row=537&amp;col=6&amp;number=4.3&amp;sourceID=14","4.3")</f>
        <v>4.3</v>
      </c>
      <c r="G537" s="4" t="str">
        <f>HYPERLINK("http://141.218.60.56/~jnz1568/getInfo.php?workbook=12_04.xlsx&amp;sheet=U0&amp;row=537&amp;col=7&amp;number=0.0114&amp;sourceID=14","0.0114")</f>
        <v>0.0114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HYPERLINK("http://141.218.60.56/~jnz1568/getInfo.php?workbook=12_04.xlsx&amp;sheet=U0&amp;row=538&amp;col=6&amp;number=4.4&amp;sourceID=14","4.4")</f>
        <v>4.4</v>
      </c>
      <c r="G538" s="4" t="str">
        <f>HYPERLINK("http://141.218.60.56/~jnz1568/getInfo.php?workbook=12_04.xlsx&amp;sheet=U0&amp;row=538&amp;col=7&amp;number=0.0109&amp;sourceID=14","0.0109")</f>
        <v>0.0109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HYPERLINK("http://141.218.60.56/~jnz1568/getInfo.php?workbook=12_04.xlsx&amp;sheet=U0&amp;row=539&amp;col=6&amp;number=4.5&amp;sourceID=14","4.5")</f>
        <v>4.5</v>
      </c>
      <c r="G539" s="4" t="str">
        <f>HYPERLINK("http://141.218.60.56/~jnz1568/getInfo.php?workbook=12_04.xlsx&amp;sheet=U0&amp;row=539&amp;col=7&amp;number=0.0102&amp;sourceID=14","0.0102")</f>
        <v>0.0102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HYPERLINK("http://141.218.60.56/~jnz1568/getInfo.php?workbook=12_04.xlsx&amp;sheet=U0&amp;row=540&amp;col=6&amp;number=4.6&amp;sourceID=14","4.6")</f>
        <v>4.6</v>
      </c>
      <c r="G540" s="4" t="str">
        <f>HYPERLINK("http://141.218.60.56/~jnz1568/getInfo.php?workbook=12_04.xlsx&amp;sheet=U0&amp;row=540&amp;col=7&amp;number=0.00936&amp;sourceID=14","0.00936")</f>
        <v>0.00936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HYPERLINK("http://141.218.60.56/~jnz1568/getInfo.php?workbook=12_04.xlsx&amp;sheet=U0&amp;row=541&amp;col=6&amp;number=4.7&amp;sourceID=14","4.7")</f>
        <v>4.7</v>
      </c>
      <c r="G541" s="4" t="str">
        <f>HYPERLINK("http://141.218.60.56/~jnz1568/getInfo.php?workbook=12_04.xlsx&amp;sheet=U0&amp;row=541&amp;col=7&amp;number=0.0084&amp;sourceID=14","0.0084")</f>
        <v>0.0084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HYPERLINK("http://141.218.60.56/~jnz1568/getInfo.php?workbook=12_04.xlsx&amp;sheet=U0&amp;row=542&amp;col=6&amp;number=4.8&amp;sourceID=14","4.8")</f>
        <v>4.8</v>
      </c>
      <c r="G542" s="4" t="str">
        <f>HYPERLINK("http://141.218.60.56/~jnz1568/getInfo.php?workbook=12_04.xlsx&amp;sheet=U0&amp;row=542&amp;col=7&amp;number=0.0073&amp;sourceID=14","0.0073")</f>
        <v>0.0073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HYPERLINK("http://141.218.60.56/~jnz1568/getInfo.php?workbook=12_04.xlsx&amp;sheet=U0&amp;row=543&amp;col=6&amp;number=4.9&amp;sourceID=14","4.9")</f>
        <v>4.9</v>
      </c>
      <c r="G543" s="4" t="str">
        <f>HYPERLINK("http://141.218.60.56/~jnz1568/getInfo.php?workbook=12_04.xlsx&amp;sheet=U0&amp;row=543&amp;col=7&amp;number=0.00613&amp;sourceID=14","0.00613")</f>
        <v>0.00613</v>
      </c>
    </row>
    <row r="544" spans="1:7">
      <c r="A544" s="3">
        <v>12</v>
      </c>
      <c r="B544" s="3">
        <v>4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HYPERLINK("http://141.218.60.56/~jnz1568/getInfo.php?workbook=12_04.xlsx&amp;sheet=U0&amp;row=544&amp;col=6&amp;number=3&amp;sourceID=14","3")</f>
        <v>3</v>
      </c>
      <c r="G544" s="4" t="str">
        <f>HYPERLINK("http://141.218.60.56/~jnz1568/getInfo.php?workbook=12_04.xlsx&amp;sheet=U0&amp;row=544&amp;col=7&amp;number=0.00795&amp;sourceID=14","0.00795")</f>
        <v>0.00795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HYPERLINK("http://141.218.60.56/~jnz1568/getInfo.php?workbook=12_04.xlsx&amp;sheet=U0&amp;row=545&amp;col=6&amp;number=3.1&amp;sourceID=14","3.1")</f>
        <v>3.1</v>
      </c>
      <c r="G545" s="4" t="str">
        <f>HYPERLINK("http://141.218.60.56/~jnz1568/getInfo.php?workbook=12_04.xlsx&amp;sheet=U0&amp;row=545&amp;col=7&amp;number=0.00793&amp;sourceID=14","0.00793")</f>
        <v>0.00793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HYPERLINK("http://141.218.60.56/~jnz1568/getInfo.php?workbook=12_04.xlsx&amp;sheet=U0&amp;row=546&amp;col=6&amp;number=3.2&amp;sourceID=14","3.2")</f>
        <v>3.2</v>
      </c>
      <c r="G546" s="4" t="str">
        <f>HYPERLINK("http://141.218.60.56/~jnz1568/getInfo.php?workbook=12_04.xlsx&amp;sheet=U0&amp;row=546&amp;col=7&amp;number=0.00791&amp;sourceID=14","0.00791")</f>
        <v>0.00791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HYPERLINK("http://141.218.60.56/~jnz1568/getInfo.php?workbook=12_04.xlsx&amp;sheet=U0&amp;row=547&amp;col=6&amp;number=3.3&amp;sourceID=14","3.3")</f>
        <v>3.3</v>
      </c>
      <c r="G547" s="4" t="str">
        <f>HYPERLINK("http://141.218.60.56/~jnz1568/getInfo.php?workbook=12_04.xlsx&amp;sheet=U0&amp;row=547&amp;col=7&amp;number=0.00788&amp;sourceID=14","0.00788")</f>
        <v>0.00788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HYPERLINK("http://141.218.60.56/~jnz1568/getInfo.php?workbook=12_04.xlsx&amp;sheet=U0&amp;row=548&amp;col=6&amp;number=3.4&amp;sourceID=14","3.4")</f>
        <v>3.4</v>
      </c>
      <c r="G548" s="4" t="str">
        <f>HYPERLINK("http://141.218.60.56/~jnz1568/getInfo.php?workbook=12_04.xlsx&amp;sheet=U0&amp;row=548&amp;col=7&amp;number=0.00784&amp;sourceID=14","0.00784")</f>
        <v>0.00784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HYPERLINK("http://141.218.60.56/~jnz1568/getInfo.php?workbook=12_04.xlsx&amp;sheet=U0&amp;row=549&amp;col=6&amp;number=3.5&amp;sourceID=14","3.5")</f>
        <v>3.5</v>
      </c>
      <c r="G549" s="4" t="str">
        <f>HYPERLINK("http://141.218.60.56/~jnz1568/getInfo.php?workbook=12_04.xlsx&amp;sheet=U0&amp;row=549&amp;col=7&amp;number=0.00779&amp;sourceID=14","0.00779")</f>
        <v>0.00779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HYPERLINK("http://141.218.60.56/~jnz1568/getInfo.php?workbook=12_04.xlsx&amp;sheet=U0&amp;row=550&amp;col=6&amp;number=3.6&amp;sourceID=14","3.6")</f>
        <v>3.6</v>
      </c>
      <c r="G550" s="4" t="str">
        <f>HYPERLINK("http://141.218.60.56/~jnz1568/getInfo.php?workbook=12_04.xlsx&amp;sheet=U0&amp;row=550&amp;col=7&amp;number=0.00772&amp;sourceID=14","0.00772")</f>
        <v>0.00772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HYPERLINK("http://141.218.60.56/~jnz1568/getInfo.php?workbook=12_04.xlsx&amp;sheet=U0&amp;row=551&amp;col=6&amp;number=3.7&amp;sourceID=14","3.7")</f>
        <v>3.7</v>
      </c>
      <c r="G551" s="4" t="str">
        <f>HYPERLINK("http://141.218.60.56/~jnz1568/getInfo.php?workbook=12_04.xlsx&amp;sheet=U0&amp;row=551&amp;col=7&amp;number=0.00764&amp;sourceID=14","0.00764")</f>
        <v>0.00764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HYPERLINK("http://141.218.60.56/~jnz1568/getInfo.php?workbook=12_04.xlsx&amp;sheet=U0&amp;row=552&amp;col=6&amp;number=3.8&amp;sourceID=14","3.8")</f>
        <v>3.8</v>
      </c>
      <c r="G552" s="4" t="str">
        <f>HYPERLINK("http://141.218.60.56/~jnz1568/getInfo.php?workbook=12_04.xlsx&amp;sheet=U0&amp;row=552&amp;col=7&amp;number=0.00755&amp;sourceID=14","0.00755")</f>
        <v>0.00755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HYPERLINK("http://141.218.60.56/~jnz1568/getInfo.php?workbook=12_04.xlsx&amp;sheet=U0&amp;row=553&amp;col=6&amp;number=3.9&amp;sourceID=14","3.9")</f>
        <v>3.9</v>
      </c>
      <c r="G553" s="4" t="str">
        <f>HYPERLINK("http://141.218.60.56/~jnz1568/getInfo.php?workbook=12_04.xlsx&amp;sheet=U0&amp;row=553&amp;col=7&amp;number=0.00742&amp;sourceID=14","0.00742")</f>
        <v>0.00742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HYPERLINK("http://141.218.60.56/~jnz1568/getInfo.php?workbook=12_04.xlsx&amp;sheet=U0&amp;row=554&amp;col=6&amp;number=4&amp;sourceID=14","4")</f>
        <v>4</v>
      </c>
      <c r="G554" s="4" t="str">
        <f>HYPERLINK("http://141.218.60.56/~jnz1568/getInfo.php?workbook=12_04.xlsx&amp;sheet=U0&amp;row=554&amp;col=7&amp;number=0.00727&amp;sourceID=14","0.00727")</f>
        <v>0.00727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HYPERLINK("http://141.218.60.56/~jnz1568/getInfo.php?workbook=12_04.xlsx&amp;sheet=U0&amp;row=555&amp;col=6&amp;number=4.1&amp;sourceID=14","4.1")</f>
        <v>4.1</v>
      </c>
      <c r="G555" s="4" t="str">
        <f>HYPERLINK("http://141.218.60.56/~jnz1568/getInfo.php?workbook=12_04.xlsx&amp;sheet=U0&amp;row=555&amp;col=7&amp;number=0.00708&amp;sourceID=14","0.00708")</f>
        <v>0.00708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HYPERLINK("http://141.218.60.56/~jnz1568/getInfo.php?workbook=12_04.xlsx&amp;sheet=U0&amp;row=556&amp;col=6&amp;number=4.2&amp;sourceID=14","4.2")</f>
        <v>4.2</v>
      </c>
      <c r="G556" s="4" t="str">
        <f>HYPERLINK("http://141.218.60.56/~jnz1568/getInfo.php?workbook=12_04.xlsx&amp;sheet=U0&amp;row=556&amp;col=7&amp;number=0.00684&amp;sourceID=14","0.00684")</f>
        <v>0.00684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HYPERLINK("http://141.218.60.56/~jnz1568/getInfo.php?workbook=12_04.xlsx&amp;sheet=U0&amp;row=557&amp;col=6&amp;number=4.3&amp;sourceID=14","4.3")</f>
        <v>4.3</v>
      </c>
      <c r="G557" s="4" t="str">
        <f>HYPERLINK("http://141.218.60.56/~jnz1568/getInfo.php?workbook=12_04.xlsx&amp;sheet=U0&amp;row=557&amp;col=7&amp;number=0.00654&amp;sourceID=14","0.00654")</f>
        <v>0.00654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HYPERLINK("http://141.218.60.56/~jnz1568/getInfo.php?workbook=12_04.xlsx&amp;sheet=U0&amp;row=558&amp;col=6&amp;number=4.4&amp;sourceID=14","4.4")</f>
        <v>4.4</v>
      </c>
      <c r="G558" s="4" t="str">
        <f>HYPERLINK("http://141.218.60.56/~jnz1568/getInfo.php?workbook=12_04.xlsx&amp;sheet=U0&amp;row=558&amp;col=7&amp;number=0.00618&amp;sourceID=14","0.00618")</f>
        <v>0.00618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HYPERLINK("http://141.218.60.56/~jnz1568/getInfo.php?workbook=12_04.xlsx&amp;sheet=U0&amp;row=559&amp;col=6&amp;number=4.5&amp;sourceID=14","4.5")</f>
        <v>4.5</v>
      </c>
      <c r="G559" s="4" t="str">
        <f>HYPERLINK("http://141.218.60.56/~jnz1568/getInfo.php?workbook=12_04.xlsx&amp;sheet=U0&amp;row=559&amp;col=7&amp;number=0.00574&amp;sourceID=14","0.00574")</f>
        <v>0.00574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HYPERLINK("http://141.218.60.56/~jnz1568/getInfo.php?workbook=12_04.xlsx&amp;sheet=U0&amp;row=560&amp;col=6&amp;number=4.6&amp;sourceID=14","4.6")</f>
        <v>4.6</v>
      </c>
      <c r="G560" s="4" t="str">
        <f>HYPERLINK("http://141.218.60.56/~jnz1568/getInfo.php?workbook=12_04.xlsx&amp;sheet=U0&amp;row=560&amp;col=7&amp;number=0.00521&amp;sourceID=14","0.00521")</f>
        <v>0.00521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HYPERLINK("http://141.218.60.56/~jnz1568/getInfo.php?workbook=12_04.xlsx&amp;sheet=U0&amp;row=561&amp;col=6&amp;number=4.7&amp;sourceID=14","4.7")</f>
        <v>4.7</v>
      </c>
      <c r="G561" s="4" t="str">
        <f>HYPERLINK("http://141.218.60.56/~jnz1568/getInfo.php?workbook=12_04.xlsx&amp;sheet=U0&amp;row=561&amp;col=7&amp;number=0.00459&amp;sourceID=14","0.00459")</f>
        <v>0.00459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HYPERLINK("http://141.218.60.56/~jnz1568/getInfo.php?workbook=12_04.xlsx&amp;sheet=U0&amp;row=562&amp;col=6&amp;number=4.8&amp;sourceID=14","4.8")</f>
        <v>4.8</v>
      </c>
      <c r="G562" s="4" t="str">
        <f>HYPERLINK("http://141.218.60.56/~jnz1568/getInfo.php?workbook=12_04.xlsx&amp;sheet=U0&amp;row=562&amp;col=7&amp;number=0.00389&amp;sourceID=14","0.00389")</f>
        <v>0.00389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HYPERLINK("http://141.218.60.56/~jnz1568/getInfo.php?workbook=12_04.xlsx&amp;sheet=U0&amp;row=563&amp;col=6&amp;number=4.9&amp;sourceID=14","4.9")</f>
        <v>4.9</v>
      </c>
      <c r="G563" s="4" t="str">
        <f>HYPERLINK("http://141.218.60.56/~jnz1568/getInfo.php?workbook=12_04.xlsx&amp;sheet=U0&amp;row=563&amp;col=7&amp;number=0.00314&amp;sourceID=14","0.00314")</f>
        <v>0.00314</v>
      </c>
    </row>
    <row r="564" spans="1:7">
      <c r="A564" s="3">
        <v>12</v>
      </c>
      <c r="B564" s="3">
        <v>4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HYPERLINK("http://141.218.60.56/~jnz1568/getInfo.php?workbook=12_04.xlsx&amp;sheet=U0&amp;row=564&amp;col=6&amp;number=3&amp;sourceID=14","3")</f>
        <v>3</v>
      </c>
      <c r="G564" s="4" t="str">
        <f>HYPERLINK("http://141.218.60.56/~jnz1568/getInfo.php?workbook=12_04.xlsx&amp;sheet=U0&amp;row=564&amp;col=7&amp;number=0.000841&amp;sourceID=14","0.000841")</f>
        <v>0.000841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HYPERLINK("http://141.218.60.56/~jnz1568/getInfo.php?workbook=12_04.xlsx&amp;sheet=U0&amp;row=565&amp;col=6&amp;number=3.1&amp;sourceID=14","3.1")</f>
        <v>3.1</v>
      </c>
      <c r="G565" s="4" t="str">
        <f>HYPERLINK("http://141.218.60.56/~jnz1568/getInfo.php?workbook=12_04.xlsx&amp;sheet=U0&amp;row=565&amp;col=7&amp;number=0.000839&amp;sourceID=14","0.000839")</f>
        <v>0.000839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HYPERLINK("http://141.218.60.56/~jnz1568/getInfo.php?workbook=12_04.xlsx&amp;sheet=U0&amp;row=566&amp;col=6&amp;number=3.2&amp;sourceID=14","3.2")</f>
        <v>3.2</v>
      </c>
      <c r="G566" s="4" t="str">
        <f>HYPERLINK("http://141.218.60.56/~jnz1568/getInfo.php?workbook=12_04.xlsx&amp;sheet=U0&amp;row=566&amp;col=7&amp;number=0.000836&amp;sourceID=14","0.000836")</f>
        <v>0.000836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HYPERLINK("http://141.218.60.56/~jnz1568/getInfo.php?workbook=12_04.xlsx&amp;sheet=U0&amp;row=567&amp;col=6&amp;number=3.3&amp;sourceID=14","3.3")</f>
        <v>3.3</v>
      </c>
      <c r="G567" s="4" t="str">
        <f>HYPERLINK("http://141.218.60.56/~jnz1568/getInfo.php?workbook=12_04.xlsx&amp;sheet=U0&amp;row=567&amp;col=7&amp;number=0.000833&amp;sourceID=14","0.000833")</f>
        <v>0.000833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HYPERLINK("http://141.218.60.56/~jnz1568/getInfo.php?workbook=12_04.xlsx&amp;sheet=U0&amp;row=568&amp;col=6&amp;number=3.4&amp;sourceID=14","3.4")</f>
        <v>3.4</v>
      </c>
      <c r="G568" s="4" t="str">
        <f>HYPERLINK("http://141.218.60.56/~jnz1568/getInfo.php?workbook=12_04.xlsx&amp;sheet=U0&amp;row=568&amp;col=7&amp;number=0.000829&amp;sourceID=14","0.000829")</f>
        <v>0.000829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HYPERLINK("http://141.218.60.56/~jnz1568/getInfo.php?workbook=12_04.xlsx&amp;sheet=U0&amp;row=569&amp;col=6&amp;number=3.5&amp;sourceID=14","3.5")</f>
        <v>3.5</v>
      </c>
      <c r="G569" s="4" t="str">
        <f>HYPERLINK("http://141.218.60.56/~jnz1568/getInfo.php?workbook=12_04.xlsx&amp;sheet=U0&amp;row=569&amp;col=7&amp;number=0.000824&amp;sourceID=14","0.000824")</f>
        <v>0.000824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HYPERLINK("http://141.218.60.56/~jnz1568/getInfo.php?workbook=12_04.xlsx&amp;sheet=U0&amp;row=570&amp;col=6&amp;number=3.6&amp;sourceID=14","3.6")</f>
        <v>3.6</v>
      </c>
      <c r="G570" s="4" t="str">
        <f>HYPERLINK("http://141.218.60.56/~jnz1568/getInfo.php?workbook=12_04.xlsx&amp;sheet=U0&amp;row=570&amp;col=7&amp;number=0.000818&amp;sourceID=14","0.000818")</f>
        <v>0.000818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HYPERLINK("http://141.218.60.56/~jnz1568/getInfo.php?workbook=12_04.xlsx&amp;sheet=U0&amp;row=571&amp;col=6&amp;number=3.7&amp;sourceID=14","3.7")</f>
        <v>3.7</v>
      </c>
      <c r="G571" s="4" t="str">
        <f>HYPERLINK("http://141.218.60.56/~jnz1568/getInfo.php?workbook=12_04.xlsx&amp;sheet=U0&amp;row=571&amp;col=7&amp;number=0.00081&amp;sourceID=14","0.00081")</f>
        <v>0.00081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HYPERLINK("http://141.218.60.56/~jnz1568/getInfo.php?workbook=12_04.xlsx&amp;sheet=U0&amp;row=572&amp;col=6&amp;number=3.8&amp;sourceID=14","3.8")</f>
        <v>3.8</v>
      </c>
      <c r="G572" s="4" t="str">
        <f>HYPERLINK("http://141.218.60.56/~jnz1568/getInfo.php?workbook=12_04.xlsx&amp;sheet=U0&amp;row=572&amp;col=7&amp;number=0.000801&amp;sourceID=14","0.000801")</f>
        <v>0.000801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HYPERLINK("http://141.218.60.56/~jnz1568/getInfo.php?workbook=12_04.xlsx&amp;sheet=U0&amp;row=573&amp;col=6&amp;number=3.9&amp;sourceID=14","3.9")</f>
        <v>3.9</v>
      </c>
      <c r="G573" s="4" t="str">
        <f>HYPERLINK("http://141.218.60.56/~jnz1568/getInfo.php?workbook=12_04.xlsx&amp;sheet=U0&amp;row=573&amp;col=7&amp;number=0.000789&amp;sourceID=14","0.000789")</f>
        <v>0.000789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HYPERLINK("http://141.218.60.56/~jnz1568/getInfo.php?workbook=12_04.xlsx&amp;sheet=U0&amp;row=574&amp;col=6&amp;number=4&amp;sourceID=14","4")</f>
        <v>4</v>
      </c>
      <c r="G574" s="4" t="str">
        <f>HYPERLINK("http://141.218.60.56/~jnz1568/getInfo.php?workbook=12_04.xlsx&amp;sheet=U0&amp;row=574&amp;col=7&amp;number=0.000773&amp;sourceID=14","0.000773")</f>
        <v>0.000773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HYPERLINK("http://141.218.60.56/~jnz1568/getInfo.php?workbook=12_04.xlsx&amp;sheet=U0&amp;row=575&amp;col=6&amp;number=4.1&amp;sourceID=14","4.1")</f>
        <v>4.1</v>
      </c>
      <c r="G575" s="4" t="str">
        <f>HYPERLINK("http://141.218.60.56/~jnz1568/getInfo.php?workbook=12_04.xlsx&amp;sheet=U0&amp;row=575&amp;col=7&amp;number=0.000754&amp;sourceID=14","0.000754")</f>
        <v>0.000754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HYPERLINK("http://141.218.60.56/~jnz1568/getInfo.php?workbook=12_04.xlsx&amp;sheet=U0&amp;row=576&amp;col=6&amp;number=4.2&amp;sourceID=14","4.2")</f>
        <v>4.2</v>
      </c>
      <c r="G576" s="4" t="str">
        <f>HYPERLINK("http://141.218.60.56/~jnz1568/getInfo.php?workbook=12_04.xlsx&amp;sheet=U0&amp;row=576&amp;col=7&amp;number=0.000731&amp;sourceID=14","0.000731")</f>
        <v>0.000731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HYPERLINK("http://141.218.60.56/~jnz1568/getInfo.php?workbook=12_04.xlsx&amp;sheet=U0&amp;row=577&amp;col=6&amp;number=4.3&amp;sourceID=14","4.3")</f>
        <v>4.3</v>
      </c>
      <c r="G577" s="4" t="str">
        <f>HYPERLINK("http://141.218.60.56/~jnz1568/getInfo.php?workbook=12_04.xlsx&amp;sheet=U0&amp;row=577&amp;col=7&amp;number=0.000702&amp;sourceID=14","0.000702")</f>
        <v>0.000702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HYPERLINK("http://141.218.60.56/~jnz1568/getInfo.php?workbook=12_04.xlsx&amp;sheet=U0&amp;row=578&amp;col=6&amp;number=4.4&amp;sourceID=14","4.4")</f>
        <v>4.4</v>
      </c>
      <c r="G578" s="4" t="str">
        <f>HYPERLINK("http://141.218.60.56/~jnz1568/getInfo.php?workbook=12_04.xlsx&amp;sheet=U0&amp;row=578&amp;col=7&amp;number=0.000666&amp;sourceID=14","0.000666")</f>
        <v>0.000666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HYPERLINK("http://141.218.60.56/~jnz1568/getInfo.php?workbook=12_04.xlsx&amp;sheet=U0&amp;row=579&amp;col=6&amp;number=4.5&amp;sourceID=14","4.5")</f>
        <v>4.5</v>
      </c>
      <c r="G579" s="4" t="str">
        <f>HYPERLINK("http://141.218.60.56/~jnz1568/getInfo.php?workbook=12_04.xlsx&amp;sheet=U0&amp;row=579&amp;col=7&amp;number=0.000622&amp;sourceID=14","0.000622")</f>
        <v>0.000622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HYPERLINK("http://141.218.60.56/~jnz1568/getInfo.php?workbook=12_04.xlsx&amp;sheet=U0&amp;row=580&amp;col=6&amp;number=4.6&amp;sourceID=14","4.6")</f>
        <v>4.6</v>
      </c>
      <c r="G580" s="4" t="str">
        <f>HYPERLINK("http://141.218.60.56/~jnz1568/getInfo.php?workbook=12_04.xlsx&amp;sheet=U0&amp;row=580&amp;col=7&amp;number=0.00057&amp;sourceID=14","0.00057")</f>
        <v>0.00057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HYPERLINK("http://141.218.60.56/~jnz1568/getInfo.php?workbook=12_04.xlsx&amp;sheet=U0&amp;row=581&amp;col=6&amp;number=4.7&amp;sourceID=14","4.7")</f>
        <v>4.7</v>
      </c>
      <c r="G581" s="4" t="str">
        <f>HYPERLINK("http://141.218.60.56/~jnz1568/getInfo.php?workbook=12_04.xlsx&amp;sheet=U0&amp;row=581&amp;col=7&amp;number=0.000509&amp;sourceID=14","0.000509")</f>
        <v>0.000509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HYPERLINK("http://141.218.60.56/~jnz1568/getInfo.php?workbook=12_04.xlsx&amp;sheet=U0&amp;row=582&amp;col=6&amp;number=4.8&amp;sourceID=14","4.8")</f>
        <v>4.8</v>
      </c>
      <c r="G582" s="4" t="str">
        <f>HYPERLINK("http://141.218.60.56/~jnz1568/getInfo.php?workbook=12_04.xlsx&amp;sheet=U0&amp;row=582&amp;col=7&amp;number=0.00044&amp;sourceID=14","0.00044")</f>
        <v>0.00044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HYPERLINK("http://141.218.60.56/~jnz1568/getInfo.php?workbook=12_04.xlsx&amp;sheet=U0&amp;row=583&amp;col=6&amp;number=4.9&amp;sourceID=14","4.9")</f>
        <v>4.9</v>
      </c>
      <c r="G583" s="4" t="str">
        <f>HYPERLINK("http://141.218.60.56/~jnz1568/getInfo.php?workbook=12_04.xlsx&amp;sheet=U0&amp;row=583&amp;col=7&amp;number=0.000367&amp;sourceID=14","0.000367")</f>
        <v>0.000367</v>
      </c>
    </row>
    <row r="584" spans="1:7">
      <c r="A584" s="3">
        <v>12</v>
      </c>
      <c r="B584" s="3">
        <v>4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HYPERLINK("http://141.218.60.56/~jnz1568/getInfo.php?workbook=12_04.xlsx&amp;sheet=U0&amp;row=584&amp;col=6&amp;number=3&amp;sourceID=14","3")</f>
        <v>3</v>
      </c>
      <c r="G584" s="4" t="str">
        <f>HYPERLINK("http://141.218.60.56/~jnz1568/getInfo.php?workbook=12_04.xlsx&amp;sheet=U0&amp;row=584&amp;col=7&amp;number=0.00199&amp;sourceID=14","0.00199")</f>
        <v>0.00199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HYPERLINK("http://141.218.60.56/~jnz1568/getInfo.php?workbook=12_04.xlsx&amp;sheet=U0&amp;row=585&amp;col=6&amp;number=3.1&amp;sourceID=14","3.1")</f>
        <v>3.1</v>
      </c>
      <c r="G585" s="4" t="str">
        <f>HYPERLINK("http://141.218.60.56/~jnz1568/getInfo.php?workbook=12_04.xlsx&amp;sheet=U0&amp;row=585&amp;col=7&amp;number=0.00199&amp;sourceID=14","0.00199")</f>
        <v>0.00199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HYPERLINK("http://141.218.60.56/~jnz1568/getInfo.php?workbook=12_04.xlsx&amp;sheet=U0&amp;row=586&amp;col=6&amp;number=3.2&amp;sourceID=14","3.2")</f>
        <v>3.2</v>
      </c>
      <c r="G586" s="4" t="str">
        <f>HYPERLINK("http://141.218.60.56/~jnz1568/getInfo.php?workbook=12_04.xlsx&amp;sheet=U0&amp;row=586&amp;col=7&amp;number=0.00198&amp;sourceID=14","0.00198")</f>
        <v>0.00198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HYPERLINK("http://141.218.60.56/~jnz1568/getInfo.php?workbook=12_04.xlsx&amp;sheet=U0&amp;row=587&amp;col=6&amp;number=3.3&amp;sourceID=14","3.3")</f>
        <v>3.3</v>
      </c>
      <c r="G587" s="4" t="str">
        <f>HYPERLINK("http://141.218.60.56/~jnz1568/getInfo.php?workbook=12_04.xlsx&amp;sheet=U0&amp;row=587&amp;col=7&amp;number=0.00197&amp;sourceID=14","0.00197")</f>
        <v>0.00197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HYPERLINK("http://141.218.60.56/~jnz1568/getInfo.php?workbook=12_04.xlsx&amp;sheet=U0&amp;row=588&amp;col=6&amp;number=3.4&amp;sourceID=14","3.4")</f>
        <v>3.4</v>
      </c>
      <c r="G588" s="4" t="str">
        <f>HYPERLINK("http://141.218.60.56/~jnz1568/getInfo.php?workbook=12_04.xlsx&amp;sheet=U0&amp;row=588&amp;col=7&amp;number=0.00196&amp;sourceID=14","0.00196")</f>
        <v>0.00196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HYPERLINK("http://141.218.60.56/~jnz1568/getInfo.php?workbook=12_04.xlsx&amp;sheet=U0&amp;row=589&amp;col=6&amp;number=3.5&amp;sourceID=14","3.5")</f>
        <v>3.5</v>
      </c>
      <c r="G589" s="4" t="str">
        <f>HYPERLINK("http://141.218.60.56/~jnz1568/getInfo.php?workbook=12_04.xlsx&amp;sheet=U0&amp;row=589&amp;col=7&amp;number=0.00195&amp;sourceID=14","0.00195")</f>
        <v>0.00195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HYPERLINK("http://141.218.60.56/~jnz1568/getInfo.php?workbook=12_04.xlsx&amp;sheet=U0&amp;row=590&amp;col=6&amp;number=3.6&amp;sourceID=14","3.6")</f>
        <v>3.6</v>
      </c>
      <c r="G590" s="4" t="str">
        <f>HYPERLINK("http://141.218.60.56/~jnz1568/getInfo.php?workbook=12_04.xlsx&amp;sheet=U0&amp;row=590&amp;col=7&amp;number=0.00194&amp;sourceID=14","0.00194")</f>
        <v>0.00194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HYPERLINK("http://141.218.60.56/~jnz1568/getInfo.php?workbook=12_04.xlsx&amp;sheet=U0&amp;row=591&amp;col=6&amp;number=3.7&amp;sourceID=14","3.7")</f>
        <v>3.7</v>
      </c>
      <c r="G591" s="4" t="str">
        <f>HYPERLINK("http://141.218.60.56/~jnz1568/getInfo.php?workbook=12_04.xlsx&amp;sheet=U0&amp;row=591&amp;col=7&amp;number=0.00192&amp;sourceID=14","0.00192")</f>
        <v>0.00192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HYPERLINK("http://141.218.60.56/~jnz1568/getInfo.php?workbook=12_04.xlsx&amp;sheet=U0&amp;row=592&amp;col=6&amp;number=3.8&amp;sourceID=14","3.8")</f>
        <v>3.8</v>
      </c>
      <c r="G592" s="4" t="str">
        <f>HYPERLINK("http://141.218.60.56/~jnz1568/getInfo.php?workbook=12_04.xlsx&amp;sheet=U0&amp;row=592&amp;col=7&amp;number=0.0019&amp;sourceID=14","0.0019")</f>
        <v>0.0019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HYPERLINK("http://141.218.60.56/~jnz1568/getInfo.php?workbook=12_04.xlsx&amp;sheet=U0&amp;row=593&amp;col=6&amp;number=3.9&amp;sourceID=14","3.9")</f>
        <v>3.9</v>
      </c>
      <c r="G593" s="4" t="str">
        <f>HYPERLINK("http://141.218.60.56/~jnz1568/getInfo.php?workbook=12_04.xlsx&amp;sheet=U0&amp;row=593&amp;col=7&amp;number=0.00187&amp;sourceID=14","0.00187")</f>
        <v>0.00187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HYPERLINK("http://141.218.60.56/~jnz1568/getInfo.php?workbook=12_04.xlsx&amp;sheet=U0&amp;row=594&amp;col=6&amp;number=4&amp;sourceID=14","4")</f>
        <v>4</v>
      </c>
      <c r="G594" s="4" t="str">
        <f>HYPERLINK("http://141.218.60.56/~jnz1568/getInfo.php?workbook=12_04.xlsx&amp;sheet=U0&amp;row=594&amp;col=7&amp;number=0.00184&amp;sourceID=14","0.00184")</f>
        <v>0.00184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HYPERLINK("http://141.218.60.56/~jnz1568/getInfo.php?workbook=12_04.xlsx&amp;sheet=U0&amp;row=595&amp;col=6&amp;number=4.1&amp;sourceID=14","4.1")</f>
        <v>4.1</v>
      </c>
      <c r="G595" s="4" t="str">
        <f>HYPERLINK("http://141.218.60.56/~jnz1568/getInfo.php?workbook=12_04.xlsx&amp;sheet=U0&amp;row=595&amp;col=7&amp;number=0.0018&amp;sourceID=14","0.0018")</f>
        <v>0.0018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HYPERLINK("http://141.218.60.56/~jnz1568/getInfo.php?workbook=12_04.xlsx&amp;sheet=U0&amp;row=596&amp;col=6&amp;number=4.2&amp;sourceID=14","4.2")</f>
        <v>4.2</v>
      </c>
      <c r="G596" s="4" t="str">
        <f>HYPERLINK("http://141.218.60.56/~jnz1568/getInfo.php?workbook=12_04.xlsx&amp;sheet=U0&amp;row=596&amp;col=7&amp;number=0.00174&amp;sourceID=14","0.00174")</f>
        <v>0.00174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HYPERLINK("http://141.218.60.56/~jnz1568/getInfo.php?workbook=12_04.xlsx&amp;sheet=U0&amp;row=597&amp;col=6&amp;number=4.3&amp;sourceID=14","4.3")</f>
        <v>4.3</v>
      </c>
      <c r="G597" s="4" t="str">
        <f>HYPERLINK("http://141.218.60.56/~jnz1568/getInfo.php?workbook=12_04.xlsx&amp;sheet=U0&amp;row=597&amp;col=7&amp;number=0.00168&amp;sourceID=14","0.00168")</f>
        <v>0.00168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HYPERLINK("http://141.218.60.56/~jnz1568/getInfo.php?workbook=12_04.xlsx&amp;sheet=U0&amp;row=598&amp;col=6&amp;number=4.4&amp;sourceID=14","4.4")</f>
        <v>4.4</v>
      </c>
      <c r="G598" s="4" t="str">
        <f>HYPERLINK("http://141.218.60.56/~jnz1568/getInfo.php?workbook=12_04.xlsx&amp;sheet=U0&amp;row=598&amp;col=7&amp;number=0.0016&amp;sourceID=14","0.0016")</f>
        <v>0.0016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HYPERLINK("http://141.218.60.56/~jnz1568/getInfo.php?workbook=12_04.xlsx&amp;sheet=U0&amp;row=599&amp;col=6&amp;number=4.5&amp;sourceID=14","4.5")</f>
        <v>4.5</v>
      </c>
      <c r="G599" s="4" t="str">
        <f>HYPERLINK("http://141.218.60.56/~jnz1568/getInfo.php?workbook=12_04.xlsx&amp;sheet=U0&amp;row=599&amp;col=7&amp;number=0.0015&amp;sourceID=14","0.0015")</f>
        <v>0.0015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HYPERLINK("http://141.218.60.56/~jnz1568/getInfo.php?workbook=12_04.xlsx&amp;sheet=U0&amp;row=600&amp;col=6&amp;number=4.6&amp;sourceID=14","4.6")</f>
        <v>4.6</v>
      </c>
      <c r="G600" s="4" t="str">
        <f>HYPERLINK("http://141.218.60.56/~jnz1568/getInfo.php?workbook=12_04.xlsx&amp;sheet=U0&amp;row=600&amp;col=7&amp;number=0.00138&amp;sourceID=14","0.00138")</f>
        <v>0.00138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HYPERLINK("http://141.218.60.56/~jnz1568/getInfo.php?workbook=12_04.xlsx&amp;sheet=U0&amp;row=601&amp;col=6&amp;number=4.7&amp;sourceID=14","4.7")</f>
        <v>4.7</v>
      </c>
      <c r="G601" s="4" t="str">
        <f>HYPERLINK("http://141.218.60.56/~jnz1568/getInfo.php?workbook=12_04.xlsx&amp;sheet=U0&amp;row=601&amp;col=7&amp;number=0.00124&amp;sourceID=14","0.00124")</f>
        <v>0.00124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HYPERLINK("http://141.218.60.56/~jnz1568/getInfo.php?workbook=12_04.xlsx&amp;sheet=U0&amp;row=602&amp;col=6&amp;number=4.8&amp;sourceID=14","4.8")</f>
        <v>4.8</v>
      </c>
      <c r="G602" s="4" t="str">
        <f>HYPERLINK("http://141.218.60.56/~jnz1568/getInfo.php?workbook=12_04.xlsx&amp;sheet=U0&amp;row=602&amp;col=7&amp;number=0.00109&amp;sourceID=14","0.00109")</f>
        <v>0.00109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HYPERLINK("http://141.218.60.56/~jnz1568/getInfo.php?workbook=12_04.xlsx&amp;sheet=U0&amp;row=603&amp;col=6&amp;number=4.9&amp;sourceID=14","4.9")</f>
        <v>4.9</v>
      </c>
      <c r="G603" s="4" t="str">
        <f>HYPERLINK("http://141.218.60.56/~jnz1568/getInfo.php?workbook=12_04.xlsx&amp;sheet=U0&amp;row=603&amp;col=7&amp;number=0.000923&amp;sourceID=14","0.000923")</f>
        <v>0.000923</v>
      </c>
    </row>
    <row r="604" spans="1:7">
      <c r="A604" s="3">
        <v>12</v>
      </c>
      <c r="B604" s="3">
        <v>4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HYPERLINK("http://141.218.60.56/~jnz1568/getInfo.php?workbook=12_04.xlsx&amp;sheet=U0&amp;row=604&amp;col=6&amp;number=3&amp;sourceID=14","3")</f>
        <v>3</v>
      </c>
      <c r="G604" s="4" t="str">
        <f>HYPERLINK("http://141.218.60.56/~jnz1568/getInfo.php?workbook=12_04.xlsx&amp;sheet=U0&amp;row=604&amp;col=7&amp;number=0.00305&amp;sourceID=14","0.00305")</f>
        <v>0.00305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HYPERLINK("http://141.218.60.56/~jnz1568/getInfo.php?workbook=12_04.xlsx&amp;sheet=U0&amp;row=605&amp;col=6&amp;number=3.1&amp;sourceID=14","3.1")</f>
        <v>3.1</v>
      </c>
      <c r="G605" s="4" t="str">
        <f>HYPERLINK("http://141.218.60.56/~jnz1568/getInfo.php?workbook=12_04.xlsx&amp;sheet=U0&amp;row=605&amp;col=7&amp;number=0.00304&amp;sourceID=14","0.00304")</f>
        <v>0.00304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HYPERLINK("http://141.218.60.56/~jnz1568/getInfo.php?workbook=12_04.xlsx&amp;sheet=U0&amp;row=606&amp;col=6&amp;number=3.2&amp;sourceID=14","3.2")</f>
        <v>3.2</v>
      </c>
      <c r="G606" s="4" t="str">
        <f>HYPERLINK("http://141.218.60.56/~jnz1568/getInfo.php?workbook=12_04.xlsx&amp;sheet=U0&amp;row=606&amp;col=7&amp;number=0.00304&amp;sourceID=14","0.00304")</f>
        <v>0.00304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HYPERLINK("http://141.218.60.56/~jnz1568/getInfo.php?workbook=12_04.xlsx&amp;sheet=U0&amp;row=607&amp;col=6&amp;number=3.3&amp;sourceID=14","3.3")</f>
        <v>3.3</v>
      </c>
      <c r="G607" s="4" t="str">
        <f>HYPERLINK("http://141.218.60.56/~jnz1568/getInfo.php?workbook=12_04.xlsx&amp;sheet=U0&amp;row=607&amp;col=7&amp;number=0.00302&amp;sourceID=14","0.00302")</f>
        <v>0.00302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HYPERLINK("http://141.218.60.56/~jnz1568/getInfo.php?workbook=12_04.xlsx&amp;sheet=U0&amp;row=608&amp;col=6&amp;number=3.4&amp;sourceID=14","3.4")</f>
        <v>3.4</v>
      </c>
      <c r="G608" s="4" t="str">
        <f>HYPERLINK("http://141.218.60.56/~jnz1568/getInfo.php?workbook=12_04.xlsx&amp;sheet=U0&amp;row=608&amp;col=7&amp;number=0.00301&amp;sourceID=14","0.00301")</f>
        <v>0.00301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HYPERLINK("http://141.218.60.56/~jnz1568/getInfo.php?workbook=12_04.xlsx&amp;sheet=U0&amp;row=609&amp;col=6&amp;number=3.5&amp;sourceID=14","3.5")</f>
        <v>3.5</v>
      </c>
      <c r="G609" s="4" t="str">
        <f>HYPERLINK("http://141.218.60.56/~jnz1568/getInfo.php?workbook=12_04.xlsx&amp;sheet=U0&amp;row=609&amp;col=7&amp;number=0.00299&amp;sourceID=14","0.00299")</f>
        <v>0.00299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HYPERLINK("http://141.218.60.56/~jnz1568/getInfo.php?workbook=12_04.xlsx&amp;sheet=U0&amp;row=610&amp;col=6&amp;number=3.6&amp;sourceID=14","3.6")</f>
        <v>3.6</v>
      </c>
      <c r="G610" s="4" t="str">
        <f>HYPERLINK("http://141.218.60.56/~jnz1568/getInfo.php?workbook=12_04.xlsx&amp;sheet=U0&amp;row=610&amp;col=7&amp;number=0.00297&amp;sourceID=14","0.00297")</f>
        <v>0.00297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HYPERLINK("http://141.218.60.56/~jnz1568/getInfo.php?workbook=12_04.xlsx&amp;sheet=U0&amp;row=611&amp;col=6&amp;number=3.7&amp;sourceID=14","3.7")</f>
        <v>3.7</v>
      </c>
      <c r="G611" s="4" t="str">
        <f>HYPERLINK("http://141.218.60.56/~jnz1568/getInfo.php?workbook=12_04.xlsx&amp;sheet=U0&amp;row=611&amp;col=7&amp;number=0.00294&amp;sourceID=14","0.00294")</f>
        <v>0.00294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HYPERLINK("http://141.218.60.56/~jnz1568/getInfo.php?workbook=12_04.xlsx&amp;sheet=U0&amp;row=612&amp;col=6&amp;number=3.8&amp;sourceID=14","3.8")</f>
        <v>3.8</v>
      </c>
      <c r="G612" s="4" t="str">
        <f>HYPERLINK("http://141.218.60.56/~jnz1568/getInfo.php?workbook=12_04.xlsx&amp;sheet=U0&amp;row=612&amp;col=7&amp;number=0.00291&amp;sourceID=14","0.00291")</f>
        <v>0.00291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HYPERLINK("http://141.218.60.56/~jnz1568/getInfo.php?workbook=12_04.xlsx&amp;sheet=U0&amp;row=613&amp;col=6&amp;number=3.9&amp;sourceID=14","3.9")</f>
        <v>3.9</v>
      </c>
      <c r="G613" s="4" t="str">
        <f>HYPERLINK("http://141.218.60.56/~jnz1568/getInfo.php?workbook=12_04.xlsx&amp;sheet=U0&amp;row=613&amp;col=7&amp;number=0.00287&amp;sourceID=14","0.00287")</f>
        <v>0.00287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HYPERLINK("http://141.218.60.56/~jnz1568/getInfo.php?workbook=12_04.xlsx&amp;sheet=U0&amp;row=614&amp;col=6&amp;number=4&amp;sourceID=14","4")</f>
        <v>4</v>
      </c>
      <c r="G614" s="4" t="str">
        <f>HYPERLINK("http://141.218.60.56/~jnz1568/getInfo.php?workbook=12_04.xlsx&amp;sheet=U0&amp;row=614&amp;col=7&amp;number=0.00281&amp;sourceID=14","0.00281")</f>
        <v>0.00281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HYPERLINK("http://141.218.60.56/~jnz1568/getInfo.php?workbook=12_04.xlsx&amp;sheet=U0&amp;row=615&amp;col=6&amp;number=4.1&amp;sourceID=14","4.1")</f>
        <v>4.1</v>
      </c>
      <c r="G615" s="4" t="str">
        <f>HYPERLINK("http://141.218.60.56/~jnz1568/getInfo.php?workbook=12_04.xlsx&amp;sheet=U0&amp;row=615&amp;col=7&amp;number=0.00274&amp;sourceID=14","0.00274")</f>
        <v>0.00274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HYPERLINK("http://141.218.60.56/~jnz1568/getInfo.php?workbook=12_04.xlsx&amp;sheet=U0&amp;row=616&amp;col=6&amp;number=4.2&amp;sourceID=14","4.2")</f>
        <v>4.2</v>
      </c>
      <c r="G616" s="4" t="str">
        <f>HYPERLINK("http://141.218.60.56/~jnz1568/getInfo.php?workbook=12_04.xlsx&amp;sheet=U0&amp;row=616&amp;col=7&amp;number=0.00266&amp;sourceID=14","0.00266")</f>
        <v>0.00266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HYPERLINK("http://141.218.60.56/~jnz1568/getInfo.php?workbook=12_04.xlsx&amp;sheet=U0&amp;row=617&amp;col=6&amp;number=4.3&amp;sourceID=14","4.3")</f>
        <v>4.3</v>
      </c>
      <c r="G617" s="4" t="str">
        <f>HYPERLINK("http://141.218.60.56/~jnz1568/getInfo.php?workbook=12_04.xlsx&amp;sheet=U0&amp;row=617&amp;col=7&amp;number=0.00256&amp;sourceID=14","0.00256")</f>
        <v>0.00256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HYPERLINK("http://141.218.60.56/~jnz1568/getInfo.php?workbook=12_04.xlsx&amp;sheet=U0&amp;row=618&amp;col=6&amp;number=4.4&amp;sourceID=14","4.4")</f>
        <v>4.4</v>
      </c>
      <c r="G618" s="4" t="str">
        <f>HYPERLINK("http://141.218.60.56/~jnz1568/getInfo.php?workbook=12_04.xlsx&amp;sheet=U0&amp;row=618&amp;col=7&amp;number=0.00243&amp;sourceID=14","0.00243")</f>
        <v>0.00243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HYPERLINK("http://141.218.60.56/~jnz1568/getInfo.php?workbook=12_04.xlsx&amp;sheet=U0&amp;row=619&amp;col=6&amp;number=4.5&amp;sourceID=14","4.5")</f>
        <v>4.5</v>
      </c>
      <c r="G619" s="4" t="str">
        <f>HYPERLINK("http://141.218.60.56/~jnz1568/getInfo.php?workbook=12_04.xlsx&amp;sheet=U0&amp;row=619&amp;col=7&amp;number=0.00228&amp;sourceID=14","0.00228")</f>
        <v>0.00228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HYPERLINK("http://141.218.60.56/~jnz1568/getInfo.php?workbook=12_04.xlsx&amp;sheet=U0&amp;row=620&amp;col=6&amp;number=4.6&amp;sourceID=14","4.6")</f>
        <v>4.6</v>
      </c>
      <c r="G620" s="4" t="str">
        <f>HYPERLINK("http://141.218.60.56/~jnz1568/getInfo.php?workbook=12_04.xlsx&amp;sheet=U0&amp;row=620&amp;col=7&amp;number=0.00209&amp;sourceID=14","0.00209")</f>
        <v>0.00209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HYPERLINK("http://141.218.60.56/~jnz1568/getInfo.php?workbook=12_04.xlsx&amp;sheet=U0&amp;row=621&amp;col=6&amp;number=4.7&amp;sourceID=14","4.7")</f>
        <v>4.7</v>
      </c>
      <c r="G621" s="4" t="str">
        <f>HYPERLINK("http://141.218.60.56/~jnz1568/getInfo.php?workbook=12_04.xlsx&amp;sheet=U0&amp;row=621&amp;col=7&amp;number=0.00187&amp;sourceID=14","0.00187")</f>
        <v>0.00187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HYPERLINK("http://141.218.60.56/~jnz1568/getInfo.php?workbook=12_04.xlsx&amp;sheet=U0&amp;row=622&amp;col=6&amp;number=4.8&amp;sourceID=14","4.8")</f>
        <v>4.8</v>
      </c>
      <c r="G622" s="4" t="str">
        <f>HYPERLINK("http://141.218.60.56/~jnz1568/getInfo.php?workbook=12_04.xlsx&amp;sheet=U0&amp;row=622&amp;col=7&amp;number=0.00163&amp;sourceID=14","0.00163")</f>
        <v>0.00163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HYPERLINK("http://141.218.60.56/~jnz1568/getInfo.php?workbook=12_04.xlsx&amp;sheet=U0&amp;row=623&amp;col=6&amp;number=4.9&amp;sourceID=14","4.9")</f>
        <v>4.9</v>
      </c>
      <c r="G623" s="4" t="str">
        <f>HYPERLINK("http://141.218.60.56/~jnz1568/getInfo.php?workbook=12_04.xlsx&amp;sheet=U0&amp;row=623&amp;col=7&amp;number=0.00137&amp;sourceID=14","0.00137")</f>
        <v>0.00137</v>
      </c>
    </row>
    <row r="624" spans="1:7">
      <c r="A624" s="3">
        <v>12</v>
      </c>
      <c r="B624" s="3">
        <v>4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HYPERLINK("http://141.218.60.56/~jnz1568/getInfo.php?workbook=12_04.xlsx&amp;sheet=U0&amp;row=624&amp;col=6&amp;number=3&amp;sourceID=14","3")</f>
        <v>3</v>
      </c>
      <c r="G624" s="4" t="str">
        <f>HYPERLINK("http://141.218.60.56/~jnz1568/getInfo.php?workbook=12_04.xlsx&amp;sheet=U0&amp;row=624&amp;col=7&amp;number=0.00384&amp;sourceID=14","0.00384")</f>
        <v>0.00384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HYPERLINK("http://141.218.60.56/~jnz1568/getInfo.php?workbook=12_04.xlsx&amp;sheet=U0&amp;row=625&amp;col=6&amp;number=3.1&amp;sourceID=14","3.1")</f>
        <v>3.1</v>
      </c>
      <c r="G625" s="4" t="str">
        <f>HYPERLINK("http://141.218.60.56/~jnz1568/getInfo.php?workbook=12_04.xlsx&amp;sheet=U0&amp;row=625&amp;col=7&amp;number=0.00383&amp;sourceID=14","0.00383")</f>
        <v>0.00383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HYPERLINK("http://141.218.60.56/~jnz1568/getInfo.php?workbook=12_04.xlsx&amp;sheet=U0&amp;row=626&amp;col=6&amp;number=3.2&amp;sourceID=14","3.2")</f>
        <v>3.2</v>
      </c>
      <c r="G626" s="4" t="str">
        <f>HYPERLINK("http://141.218.60.56/~jnz1568/getInfo.php?workbook=12_04.xlsx&amp;sheet=U0&amp;row=626&amp;col=7&amp;number=0.00382&amp;sourceID=14","0.00382")</f>
        <v>0.00382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HYPERLINK("http://141.218.60.56/~jnz1568/getInfo.php?workbook=12_04.xlsx&amp;sheet=U0&amp;row=627&amp;col=6&amp;number=3.3&amp;sourceID=14","3.3")</f>
        <v>3.3</v>
      </c>
      <c r="G627" s="4" t="str">
        <f>HYPERLINK("http://141.218.60.56/~jnz1568/getInfo.php?workbook=12_04.xlsx&amp;sheet=U0&amp;row=627&amp;col=7&amp;number=0.00381&amp;sourceID=14","0.00381")</f>
        <v>0.00381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HYPERLINK("http://141.218.60.56/~jnz1568/getInfo.php?workbook=12_04.xlsx&amp;sheet=U0&amp;row=628&amp;col=6&amp;number=3.4&amp;sourceID=14","3.4")</f>
        <v>3.4</v>
      </c>
      <c r="G628" s="4" t="str">
        <f>HYPERLINK("http://141.218.60.56/~jnz1568/getInfo.php?workbook=12_04.xlsx&amp;sheet=U0&amp;row=628&amp;col=7&amp;number=0.00379&amp;sourceID=14","0.00379")</f>
        <v>0.00379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HYPERLINK("http://141.218.60.56/~jnz1568/getInfo.php?workbook=12_04.xlsx&amp;sheet=U0&amp;row=629&amp;col=6&amp;number=3.5&amp;sourceID=14","3.5")</f>
        <v>3.5</v>
      </c>
      <c r="G629" s="4" t="str">
        <f>HYPERLINK("http://141.218.60.56/~jnz1568/getInfo.php?workbook=12_04.xlsx&amp;sheet=U0&amp;row=629&amp;col=7&amp;number=0.00377&amp;sourceID=14","0.00377")</f>
        <v>0.00377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HYPERLINK("http://141.218.60.56/~jnz1568/getInfo.php?workbook=12_04.xlsx&amp;sheet=U0&amp;row=630&amp;col=6&amp;number=3.6&amp;sourceID=14","3.6")</f>
        <v>3.6</v>
      </c>
      <c r="G630" s="4" t="str">
        <f>HYPERLINK("http://141.218.60.56/~jnz1568/getInfo.php?workbook=12_04.xlsx&amp;sheet=U0&amp;row=630&amp;col=7&amp;number=0.00375&amp;sourceID=14","0.00375")</f>
        <v>0.00375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HYPERLINK("http://141.218.60.56/~jnz1568/getInfo.php?workbook=12_04.xlsx&amp;sheet=U0&amp;row=631&amp;col=6&amp;number=3.7&amp;sourceID=14","3.7")</f>
        <v>3.7</v>
      </c>
      <c r="G631" s="4" t="str">
        <f>HYPERLINK("http://141.218.60.56/~jnz1568/getInfo.php?workbook=12_04.xlsx&amp;sheet=U0&amp;row=631&amp;col=7&amp;number=0.00371&amp;sourceID=14","0.00371")</f>
        <v>0.00371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HYPERLINK("http://141.218.60.56/~jnz1568/getInfo.php?workbook=12_04.xlsx&amp;sheet=U0&amp;row=632&amp;col=6&amp;number=3.8&amp;sourceID=14","3.8")</f>
        <v>3.8</v>
      </c>
      <c r="G632" s="4" t="str">
        <f>HYPERLINK("http://141.218.60.56/~jnz1568/getInfo.php?workbook=12_04.xlsx&amp;sheet=U0&amp;row=632&amp;col=7&amp;number=0.00367&amp;sourceID=14","0.00367")</f>
        <v>0.00367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HYPERLINK("http://141.218.60.56/~jnz1568/getInfo.php?workbook=12_04.xlsx&amp;sheet=U0&amp;row=633&amp;col=6&amp;number=3.9&amp;sourceID=14","3.9")</f>
        <v>3.9</v>
      </c>
      <c r="G633" s="4" t="str">
        <f>HYPERLINK("http://141.218.60.56/~jnz1568/getInfo.php?workbook=12_04.xlsx&amp;sheet=U0&amp;row=633&amp;col=7&amp;number=0.00362&amp;sourceID=14","0.00362")</f>
        <v>0.00362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HYPERLINK("http://141.218.60.56/~jnz1568/getInfo.php?workbook=12_04.xlsx&amp;sheet=U0&amp;row=634&amp;col=6&amp;number=4&amp;sourceID=14","4")</f>
        <v>4</v>
      </c>
      <c r="G634" s="4" t="str">
        <f>HYPERLINK("http://141.218.60.56/~jnz1568/getInfo.php?workbook=12_04.xlsx&amp;sheet=U0&amp;row=634&amp;col=7&amp;number=0.00356&amp;sourceID=14","0.00356")</f>
        <v>0.00356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HYPERLINK("http://141.218.60.56/~jnz1568/getInfo.php?workbook=12_04.xlsx&amp;sheet=U0&amp;row=635&amp;col=6&amp;number=4.1&amp;sourceID=14","4.1")</f>
        <v>4.1</v>
      </c>
      <c r="G635" s="4" t="str">
        <f>HYPERLINK("http://141.218.60.56/~jnz1568/getInfo.php?workbook=12_04.xlsx&amp;sheet=U0&amp;row=635&amp;col=7&amp;number=0.00348&amp;sourceID=14","0.00348")</f>
        <v>0.00348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HYPERLINK("http://141.218.60.56/~jnz1568/getInfo.php?workbook=12_04.xlsx&amp;sheet=U0&amp;row=636&amp;col=6&amp;number=4.2&amp;sourceID=14","4.2")</f>
        <v>4.2</v>
      </c>
      <c r="G636" s="4" t="str">
        <f>HYPERLINK("http://141.218.60.56/~jnz1568/getInfo.php?workbook=12_04.xlsx&amp;sheet=U0&amp;row=636&amp;col=7&amp;number=0.00339&amp;sourceID=14","0.00339")</f>
        <v>0.00339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HYPERLINK("http://141.218.60.56/~jnz1568/getInfo.php?workbook=12_04.xlsx&amp;sheet=U0&amp;row=637&amp;col=6&amp;number=4.3&amp;sourceID=14","4.3")</f>
        <v>4.3</v>
      </c>
      <c r="G637" s="4" t="str">
        <f>HYPERLINK("http://141.218.60.56/~jnz1568/getInfo.php?workbook=12_04.xlsx&amp;sheet=U0&amp;row=637&amp;col=7&amp;number=0.00327&amp;sourceID=14","0.00327")</f>
        <v>0.00327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HYPERLINK("http://141.218.60.56/~jnz1568/getInfo.php?workbook=12_04.xlsx&amp;sheet=U0&amp;row=638&amp;col=6&amp;number=4.4&amp;sourceID=14","4.4")</f>
        <v>4.4</v>
      </c>
      <c r="G638" s="4" t="str">
        <f>HYPERLINK("http://141.218.60.56/~jnz1568/getInfo.php?workbook=12_04.xlsx&amp;sheet=U0&amp;row=638&amp;col=7&amp;number=0.00312&amp;sourceID=14","0.00312")</f>
        <v>0.00312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HYPERLINK("http://141.218.60.56/~jnz1568/getInfo.php?workbook=12_04.xlsx&amp;sheet=U0&amp;row=639&amp;col=6&amp;number=4.5&amp;sourceID=14","4.5")</f>
        <v>4.5</v>
      </c>
      <c r="G639" s="4" t="str">
        <f>HYPERLINK("http://141.218.60.56/~jnz1568/getInfo.php?workbook=12_04.xlsx&amp;sheet=U0&amp;row=639&amp;col=7&amp;number=0.00294&amp;sourceID=14","0.00294")</f>
        <v>0.00294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HYPERLINK("http://141.218.60.56/~jnz1568/getInfo.php?workbook=12_04.xlsx&amp;sheet=U0&amp;row=640&amp;col=6&amp;number=4.6&amp;sourceID=14","4.6")</f>
        <v>4.6</v>
      </c>
      <c r="G640" s="4" t="str">
        <f>HYPERLINK("http://141.218.60.56/~jnz1568/getInfo.php?workbook=12_04.xlsx&amp;sheet=U0&amp;row=640&amp;col=7&amp;number=0.00272&amp;sourceID=14","0.00272")</f>
        <v>0.00272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HYPERLINK("http://141.218.60.56/~jnz1568/getInfo.php?workbook=12_04.xlsx&amp;sheet=U0&amp;row=641&amp;col=6&amp;number=4.7&amp;sourceID=14","4.7")</f>
        <v>4.7</v>
      </c>
      <c r="G641" s="4" t="str">
        <f>HYPERLINK("http://141.218.60.56/~jnz1568/getInfo.php?workbook=12_04.xlsx&amp;sheet=U0&amp;row=641&amp;col=7&amp;number=0.00247&amp;sourceID=14","0.00247")</f>
        <v>0.00247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HYPERLINK("http://141.218.60.56/~jnz1568/getInfo.php?workbook=12_04.xlsx&amp;sheet=U0&amp;row=642&amp;col=6&amp;number=4.8&amp;sourceID=14","4.8")</f>
        <v>4.8</v>
      </c>
      <c r="G642" s="4" t="str">
        <f>HYPERLINK("http://141.218.60.56/~jnz1568/getInfo.php?workbook=12_04.xlsx&amp;sheet=U0&amp;row=642&amp;col=7&amp;number=0.00218&amp;sourceID=14","0.00218")</f>
        <v>0.00218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HYPERLINK("http://141.218.60.56/~jnz1568/getInfo.php?workbook=12_04.xlsx&amp;sheet=U0&amp;row=643&amp;col=6&amp;number=4.9&amp;sourceID=14","4.9")</f>
        <v>4.9</v>
      </c>
      <c r="G643" s="4" t="str">
        <f>HYPERLINK("http://141.218.60.56/~jnz1568/getInfo.php?workbook=12_04.xlsx&amp;sheet=U0&amp;row=643&amp;col=7&amp;number=0.00186&amp;sourceID=14","0.00186")</f>
        <v>0.00186</v>
      </c>
    </row>
    <row r="644" spans="1:7">
      <c r="A644" s="3">
        <v>12</v>
      </c>
      <c r="B644" s="3">
        <v>4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HYPERLINK("http://141.218.60.56/~jnz1568/getInfo.php?workbook=12_04.xlsx&amp;sheet=U0&amp;row=644&amp;col=6&amp;number=3&amp;sourceID=14","3")</f>
        <v>3</v>
      </c>
      <c r="G644" s="4" t="str">
        <f>HYPERLINK("http://141.218.60.56/~jnz1568/getInfo.php?workbook=12_04.xlsx&amp;sheet=U0&amp;row=644&amp;col=7&amp;number=0.00367&amp;sourceID=14","0.00367")</f>
        <v>0.00367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HYPERLINK("http://141.218.60.56/~jnz1568/getInfo.php?workbook=12_04.xlsx&amp;sheet=U0&amp;row=645&amp;col=6&amp;number=3.1&amp;sourceID=14","3.1")</f>
        <v>3.1</v>
      </c>
      <c r="G645" s="4" t="str">
        <f>HYPERLINK("http://141.218.60.56/~jnz1568/getInfo.php?workbook=12_04.xlsx&amp;sheet=U0&amp;row=645&amp;col=7&amp;number=0.00366&amp;sourceID=14","0.00366")</f>
        <v>0.00366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HYPERLINK("http://141.218.60.56/~jnz1568/getInfo.php?workbook=12_04.xlsx&amp;sheet=U0&amp;row=646&amp;col=6&amp;number=3.2&amp;sourceID=14","3.2")</f>
        <v>3.2</v>
      </c>
      <c r="G646" s="4" t="str">
        <f>HYPERLINK("http://141.218.60.56/~jnz1568/getInfo.php?workbook=12_04.xlsx&amp;sheet=U0&amp;row=646&amp;col=7&amp;number=0.00365&amp;sourceID=14","0.00365")</f>
        <v>0.00365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HYPERLINK("http://141.218.60.56/~jnz1568/getInfo.php?workbook=12_04.xlsx&amp;sheet=U0&amp;row=647&amp;col=6&amp;number=3.3&amp;sourceID=14","3.3")</f>
        <v>3.3</v>
      </c>
      <c r="G647" s="4" t="str">
        <f>HYPERLINK("http://141.218.60.56/~jnz1568/getInfo.php?workbook=12_04.xlsx&amp;sheet=U0&amp;row=647&amp;col=7&amp;number=0.00364&amp;sourceID=14","0.00364")</f>
        <v>0.00364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HYPERLINK("http://141.218.60.56/~jnz1568/getInfo.php?workbook=12_04.xlsx&amp;sheet=U0&amp;row=648&amp;col=6&amp;number=3.4&amp;sourceID=14","3.4")</f>
        <v>3.4</v>
      </c>
      <c r="G648" s="4" t="str">
        <f>HYPERLINK("http://141.218.60.56/~jnz1568/getInfo.php?workbook=12_04.xlsx&amp;sheet=U0&amp;row=648&amp;col=7&amp;number=0.00363&amp;sourceID=14","0.00363")</f>
        <v>0.00363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HYPERLINK("http://141.218.60.56/~jnz1568/getInfo.php?workbook=12_04.xlsx&amp;sheet=U0&amp;row=649&amp;col=6&amp;number=3.5&amp;sourceID=14","3.5")</f>
        <v>3.5</v>
      </c>
      <c r="G649" s="4" t="str">
        <f>HYPERLINK("http://141.218.60.56/~jnz1568/getInfo.php?workbook=12_04.xlsx&amp;sheet=U0&amp;row=649&amp;col=7&amp;number=0.00361&amp;sourceID=14","0.00361")</f>
        <v>0.00361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HYPERLINK("http://141.218.60.56/~jnz1568/getInfo.php?workbook=12_04.xlsx&amp;sheet=U0&amp;row=650&amp;col=6&amp;number=3.6&amp;sourceID=14","3.6")</f>
        <v>3.6</v>
      </c>
      <c r="G650" s="4" t="str">
        <f>HYPERLINK("http://141.218.60.56/~jnz1568/getInfo.php?workbook=12_04.xlsx&amp;sheet=U0&amp;row=650&amp;col=7&amp;number=0.00359&amp;sourceID=14","0.00359")</f>
        <v>0.00359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HYPERLINK("http://141.218.60.56/~jnz1568/getInfo.php?workbook=12_04.xlsx&amp;sheet=U0&amp;row=651&amp;col=6&amp;number=3.7&amp;sourceID=14","3.7")</f>
        <v>3.7</v>
      </c>
      <c r="G651" s="4" t="str">
        <f>HYPERLINK("http://141.218.60.56/~jnz1568/getInfo.php?workbook=12_04.xlsx&amp;sheet=U0&amp;row=651&amp;col=7&amp;number=0.00356&amp;sourceID=14","0.00356")</f>
        <v>0.00356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HYPERLINK("http://141.218.60.56/~jnz1568/getInfo.php?workbook=12_04.xlsx&amp;sheet=U0&amp;row=652&amp;col=6&amp;number=3.8&amp;sourceID=14","3.8")</f>
        <v>3.8</v>
      </c>
      <c r="G652" s="4" t="str">
        <f>HYPERLINK("http://141.218.60.56/~jnz1568/getInfo.php?workbook=12_04.xlsx&amp;sheet=U0&amp;row=652&amp;col=7&amp;number=0.00353&amp;sourceID=14","0.00353")</f>
        <v>0.00353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HYPERLINK("http://141.218.60.56/~jnz1568/getInfo.php?workbook=12_04.xlsx&amp;sheet=U0&amp;row=653&amp;col=6&amp;number=3.9&amp;sourceID=14","3.9")</f>
        <v>3.9</v>
      </c>
      <c r="G653" s="4" t="str">
        <f>HYPERLINK("http://141.218.60.56/~jnz1568/getInfo.php?workbook=12_04.xlsx&amp;sheet=U0&amp;row=653&amp;col=7&amp;number=0.00348&amp;sourceID=14","0.00348")</f>
        <v>0.00348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HYPERLINK("http://141.218.60.56/~jnz1568/getInfo.php?workbook=12_04.xlsx&amp;sheet=U0&amp;row=654&amp;col=6&amp;number=4&amp;sourceID=14","4")</f>
        <v>4</v>
      </c>
      <c r="G654" s="4" t="str">
        <f>HYPERLINK("http://141.218.60.56/~jnz1568/getInfo.php?workbook=12_04.xlsx&amp;sheet=U0&amp;row=654&amp;col=7&amp;number=0.00343&amp;sourceID=14","0.00343")</f>
        <v>0.00343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HYPERLINK("http://141.218.60.56/~jnz1568/getInfo.php?workbook=12_04.xlsx&amp;sheet=U0&amp;row=655&amp;col=6&amp;number=4.1&amp;sourceID=14","4.1")</f>
        <v>4.1</v>
      </c>
      <c r="G655" s="4" t="str">
        <f>HYPERLINK("http://141.218.60.56/~jnz1568/getInfo.php?workbook=12_04.xlsx&amp;sheet=U0&amp;row=655&amp;col=7&amp;number=0.00336&amp;sourceID=14","0.00336")</f>
        <v>0.00336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HYPERLINK("http://141.218.60.56/~jnz1568/getInfo.php?workbook=12_04.xlsx&amp;sheet=U0&amp;row=656&amp;col=6&amp;number=4.2&amp;sourceID=14","4.2")</f>
        <v>4.2</v>
      </c>
      <c r="G656" s="4" t="str">
        <f>HYPERLINK("http://141.218.60.56/~jnz1568/getInfo.php?workbook=12_04.xlsx&amp;sheet=U0&amp;row=656&amp;col=7&amp;number=0.00328&amp;sourceID=14","0.00328")</f>
        <v>0.00328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HYPERLINK("http://141.218.60.56/~jnz1568/getInfo.php?workbook=12_04.xlsx&amp;sheet=U0&amp;row=657&amp;col=6&amp;number=4.3&amp;sourceID=14","4.3")</f>
        <v>4.3</v>
      </c>
      <c r="G657" s="4" t="str">
        <f>HYPERLINK("http://141.218.60.56/~jnz1568/getInfo.php?workbook=12_04.xlsx&amp;sheet=U0&amp;row=657&amp;col=7&amp;number=0.00317&amp;sourceID=14","0.00317")</f>
        <v>0.00317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HYPERLINK("http://141.218.60.56/~jnz1568/getInfo.php?workbook=12_04.xlsx&amp;sheet=U0&amp;row=658&amp;col=6&amp;number=4.4&amp;sourceID=14","4.4")</f>
        <v>4.4</v>
      </c>
      <c r="G658" s="4" t="str">
        <f>HYPERLINK("http://141.218.60.56/~jnz1568/getInfo.php?workbook=12_04.xlsx&amp;sheet=U0&amp;row=658&amp;col=7&amp;number=0.00304&amp;sourceID=14","0.00304")</f>
        <v>0.00304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HYPERLINK("http://141.218.60.56/~jnz1568/getInfo.php?workbook=12_04.xlsx&amp;sheet=U0&amp;row=659&amp;col=6&amp;number=4.5&amp;sourceID=14","4.5")</f>
        <v>4.5</v>
      </c>
      <c r="G659" s="4" t="str">
        <f>HYPERLINK("http://141.218.60.56/~jnz1568/getInfo.php?workbook=12_04.xlsx&amp;sheet=U0&amp;row=659&amp;col=7&amp;number=0.00289&amp;sourceID=14","0.00289")</f>
        <v>0.00289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HYPERLINK("http://141.218.60.56/~jnz1568/getInfo.php?workbook=12_04.xlsx&amp;sheet=U0&amp;row=660&amp;col=6&amp;number=4.6&amp;sourceID=14","4.6")</f>
        <v>4.6</v>
      </c>
      <c r="G660" s="4" t="str">
        <f>HYPERLINK("http://141.218.60.56/~jnz1568/getInfo.php?workbook=12_04.xlsx&amp;sheet=U0&amp;row=660&amp;col=7&amp;number=0.0027&amp;sourceID=14","0.0027")</f>
        <v>0.0027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HYPERLINK("http://141.218.60.56/~jnz1568/getInfo.php?workbook=12_04.xlsx&amp;sheet=U0&amp;row=661&amp;col=6&amp;number=4.7&amp;sourceID=14","4.7")</f>
        <v>4.7</v>
      </c>
      <c r="G661" s="4" t="str">
        <f>HYPERLINK("http://141.218.60.56/~jnz1568/getInfo.php?workbook=12_04.xlsx&amp;sheet=U0&amp;row=661&amp;col=7&amp;number=0.00249&amp;sourceID=14","0.00249")</f>
        <v>0.00249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HYPERLINK("http://141.218.60.56/~jnz1568/getInfo.php?workbook=12_04.xlsx&amp;sheet=U0&amp;row=662&amp;col=6&amp;number=4.8&amp;sourceID=14","4.8")</f>
        <v>4.8</v>
      </c>
      <c r="G662" s="4" t="str">
        <f>HYPERLINK("http://141.218.60.56/~jnz1568/getInfo.php?workbook=12_04.xlsx&amp;sheet=U0&amp;row=662&amp;col=7&amp;number=0.00224&amp;sourceID=14","0.00224")</f>
        <v>0.00224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HYPERLINK("http://141.218.60.56/~jnz1568/getInfo.php?workbook=12_04.xlsx&amp;sheet=U0&amp;row=663&amp;col=6&amp;number=4.9&amp;sourceID=14","4.9")</f>
        <v>4.9</v>
      </c>
      <c r="G663" s="4" t="str">
        <f>HYPERLINK("http://141.218.60.56/~jnz1568/getInfo.php?workbook=12_04.xlsx&amp;sheet=U0&amp;row=663&amp;col=7&amp;number=0.00199&amp;sourceID=14","0.00199")</f>
        <v>0.00199</v>
      </c>
    </row>
    <row r="664" spans="1:7">
      <c r="A664" s="3">
        <v>12</v>
      </c>
      <c r="B664" s="3">
        <v>4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HYPERLINK("http://141.218.60.56/~jnz1568/getInfo.php?workbook=12_04.xlsx&amp;sheet=U0&amp;row=664&amp;col=6&amp;number=3&amp;sourceID=14","3")</f>
        <v>3</v>
      </c>
      <c r="G664" s="4" t="str">
        <f>HYPERLINK("http://141.218.60.56/~jnz1568/getInfo.php?workbook=12_04.xlsx&amp;sheet=U0&amp;row=664&amp;col=7&amp;number=0.00276&amp;sourceID=14","0.00276")</f>
        <v>0.00276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HYPERLINK("http://141.218.60.56/~jnz1568/getInfo.php?workbook=12_04.xlsx&amp;sheet=U0&amp;row=665&amp;col=6&amp;number=3.1&amp;sourceID=14","3.1")</f>
        <v>3.1</v>
      </c>
      <c r="G665" s="4" t="str">
        <f>HYPERLINK("http://141.218.60.56/~jnz1568/getInfo.php?workbook=12_04.xlsx&amp;sheet=U0&amp;row=665&amp;col=7&amp;number=0.00276&amp;sourceID=14","0.00276")</f>
        <v>0.00276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HYPERLINK("http://141.218.60.56/~jnz1568/getInfo.php?workbook=12_04.xlsx&amp;sheet=U0&amp;row=666&amp;col=6&amp;number=3.2&amp;sourceID=14","3.2")</f>
        <v>3.2</v>
      </c>
      <c r="G666" s="4" t="str">
        <f>HYPERLINK("http://141.218.60.56/~jnz1568/getInfo.php?workbook=12_04.xlsx&amp;sheet=U0&amp;row=666&amp;col=7&amp;number=0.00275&amp;sourceID=14","0.00275")</f>
        <v>0.00275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HYPERLINK("http://141.218.60.56/~jnz1568/getInfo.php?workbook=12_04.xlsx&amp;sheet=U0&amp;row=667&amp;col=6&amp;number=3.3&amp;sourceID=14","3.3")</f>
        <v>3.3</v>
      </c>
      <c r="G667" s="4" t="str">
        <f>HYPERLINK("http://141.218.60.56/~jnz1568/getInfo.php?workbook=12_04.xlsx&amp;sheet=U0&amp;row=667&amp;col=7&amp;number=0.00275&amp;sourceID=14","0.00275")</f>
        <v>0.00275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HYPERLINK("http://141.218.60.56/~jnz1568/getInfo.php?workbook=12_04.xlsx&amp;sheet=U0&amp;row=668&amp;col=6&amp;number=3.4&amp;sourceID=14","3.4")</f>
        <v>3.4</v>
      </c>
      <c r="G668" s="4" t="str">
        <f>HYPERLINK("http://141.218.60.56/~jnz1568/getInfo.php?workbook=12_04.xlsx&amp;sheet=U0&amp;row=668&amp;col=7&amp;number=0.00274&amp;sourceID=14","0.00274")</f>
        <v>0.00274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HYPERLINK("http://141.218.60.56/~jnz1568/getInfo.php?workbook=12_04.xlsx&amp;sheet=U0&amp;row=669&amp;col=6&amp;number=3.5&amp;sourceID=14","3.5")</f>
        <v>3.5</v>
      </c>
      <c r="G669" s="4" t="str">
        <f>HYPERLINK("http://141.218.60.56/~jnz1568/getInfo.php?workbook=12_04.xlsx&amp;sheet=U0&amp;row=669&amp;col=7&amp;number=0.00274&amp;sourceID=14","0.00274")</f>
        <v>0.00274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HYPERLINK("http://141.218.60.56/~jnz1568/getInfo.php?workbook=12_04.xlsx&amp;sheet=U0&amp;row=670&amp;col=6&amp;number=3.6&amp;sourceID=14","3.6")</f>
        <v>3.6</v>
      </c>
      <c r="G670" s="4" t="str">
        <f>HYPERLINK("http://141.218.60.56/~jnz1568/getInfo.php?workbook=12_04.xlsx&amp;sheet=U0&amp;row=670&amp;col=7&amp;number=0.00273&amp;sourceID=14","0.00273")</f>
        <v>0.00273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HYPERLINK("http://141.218.60.56/~jnz1568/getInfo.php?workbook=12_04.xlsx&amp;sheet=U0&amp;row=671&amp;col=6&amp;number=3.7&amp;sourceID=14","3.7")</f>
        <v>3.7</v>
      </c>
      <c r="G671" s="4" t="str">
        <f>HYPERLINK("http://141.218.60.56/~jnz1568/getInfo.php?workbook=12_04.xlsx&amp;sheet=U0&amp;row=671&amp;col=7&amp;number=0.00271&amp;sourceID=14","0.00271")</f>
        <v>0.00271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HYPERLINK("http://141.218.60.56/~jnz1568/getInfo.php?workbook=12_04.xlsx&amp;sheet=U0&amp;row=672&amp;col=6&amp;number=3.8&amp;sourceID=14","3.8")</f>
        <v>3.8</v>
      </c>
      <c r="G672" s="4" t="str">
        <f>HYPERLINK("http://141.218.60.56/~jnz1568/getInfo.php?workbook=12_04.xlsx&amp;sheet=U0&amp;row=672&amp;col=7&amp;number=0.0027&amp;sourceID=14","0.0027")</f>
        <v>0.0027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HYPERLINK("http://141.218.60.56/~jnz1568/getInfo.php?workbook=12_04.xlsx&amp;sheet=U0&amp;row=673&amp;col=6&amp;number=3.9&amp;sourceID=14","3.9")</f>
        <v>3.9</v>
      </c>
      <c r="G673" s="4" t="str">
        <f>HYPERLINK("http://141.218.60.56/~jnz1568/getInfo.php?workbook=12_04.xlsx&amp;sheet=U0&amp;row=673&amp;col=7&amp;number=0.00268&amp;sourceID=14","0.00268")</f>
        <v>0.00268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HYPERLINK("http://141.218.60.56/~jnz1568/getInfo.php?workbook=12_04.xlsx&amp;sheet=U0&amp;row=674&amp;col=6&amp;number=4&amp;sourceID=14","4")</f>
        <v>4</v>
      </c>
      <c r="G674" s="4" t="str">
        <f>HYPERLINK("http://141.218.60.56/~jnz1568/getInfo.php?workbook=12_04.xlsx&amp;sheet=U0&amp;row=674&amp;col=7&amp;number=0.00266&amp;sourceID=14","0.00266")</f>
        <v>0.00266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HYPERLINK("http://141.218.60.56/~jnz1568/getInfo.php?workbook=12_04.xlsx&amp;sheet=U0&amp;row=675&amp;col=6&amp;number=4.1&amp;sourceID=14","4.1")</f>
        <v>4.1</v>
      </c>
      <c r="G675" s="4" t="str">
        <f>HYPERLINK("http://141.218.60.56/~jnz1568/getInfo.php?workbook=12_04.xlsx&amp;sheet=U0&amp;row=675&amp;col=7&amp;number=0.00263&amp;sourceID=14","0.00263")</f>
        <v>0.00263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HYPERLINK("http://141.218.60.56/~jnz1568/getInfo.php?workbook=12_04.xlsx&amp;sheet=U0&amp;row=676&amp;col=6&amp;number=4.2&amp;sourceID=14","4.2")</f>
        <v>4.2</v>
      </c>
      <c r="G676" s="4" t="str">
        <f>HYPERLINK("http://141.218.60.56/~jnz1568/getInfo.php?workbook=12_04.xlsx&amp;sheet=U0&amp;row=676&amp;col=7&amp;number=0.00259&amp;sourceID=14","0.00259")</f>
        <v>0.00259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HYPERLINK("http://141.218.60.56/~jnz1568/getInfo.php?workbook=12_04.xlsx&amp;sheet=U0&amp;row=677&amp;col=6&amp;number=4.3&amp;sourceID=14","4.3")</f>
        <v>4.3</v>
      </c>
      <c r="G677" s="4" t="str">
        <f>HYPERLINK("http://141.218.60.56/~jnz1568/getInfo.php?workbook=12_04.xlsx&amp;sheet=U0&amp;row=677&amp;col=7&amp;number=0.00255&amp;sourceID=14","0.00255")</f>
        <v>0.00255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HYPERLINK("http://141.218.60.56/~jnz1568/getInfo.php?workbook=12_04.xlsx&amp;sheet=U0&amp;row=678&amp;col=6&amp;number=4.4&amp;sourceID=14","4.4")</f>
        <v>4.4</v>
      </c>
      <c r="G678" s="4" t="str">
        <f>HYPERLINK("http://141.218.60.56/~jnz1568/getInfo.php?workbook=12_04.xlsx&amp;sheet=U0&amp;row=678&amp;col=7&amp;number=0.00249&amp;sourceID=14","0.00249")</f>
        <v>0.00249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HYPERLINK("http://141.218.60.56/~jnz1568/getInfo.php?workbook=12_04.xlsx&amp;sheet=U0&amp;row=679&amp;col=6&amp;number=4.5&amp;sourceID=14","4.5")</f>
        <v>4.5</v>
      </c>
      <c r="G679" s="4" t="str">
        <f>HYPERLINK("http://141.218.60.56/~jnz1568/getInfo.php?workbook=12_04.xlsx&amp;sheet=U0&amp;row=679&amp;col=7&amp;number=0.00242&amp;sourceID=14","0.00242")</f>
        <v>0.00242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HYPERLINK("http://141.218.60.56/~jnz1568/getInfo.php?workbook=12_04.xlsx&amp;sheet=U0&amp;row=680&amp;col=6&amp;number=4.6&amp;sourceID=14","4.6")</f>
        <v>4.6</v>
      </c>
      <c r="G680" s="4" t="str">
        <f>HYPERLINK("http://141.218.60.56/~jnz1568/getInfo.php?workbook=12_04.xlsx&amp;sheet=U0&amp;row=680&amp;col=7&amp;number=0.00233&amp;sourceID=14","0.00233")</f>
        <v>0.00233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HYPERLINK("http://141.218.60.56/~jnz1568/getInfo.php?workbook=12_04.xlsx&amp;sheet=U0&amp;row=681&amp;col=6&amp;number=4.7&amp;sourceID=14","4.7")</f>
        <v>4.7</v>
      </c>
      <c r="G681" s="4" t="str">
        <f>HYPERLINK("http://141.218.60.56/~jnz1568/getInfo.php?workbook=12_04.xlsx&amp;sheet=U0&amp;row=681&amp;col=7&amp;number=0.00223&amp;sourceID=14","0.00223")</f>
        <v>0.00223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HYPERLINK("http://141.218.60.56/~jnz1568/getInfo.php?workbook=12_04.xlsx&amp;sheet=U0&amp;row=682&amp;col=6&amp;number=4.8&amp;sourceID=14","4.8")</f>
        <v>4.8</v>
      </c>
      <c r="G682" s="4" t="str">
        <f>HYPERLINK("http://141.218.60.56/~jnz1568/getInfo.php?workbook=12_04.xlsx&amp;sheet=U0&amp;row=682&amp;col=7&amp;number=0.0021&amp;sourceID=14","0.0021")</f>
        <v>0.0021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HYPERLINK("http://141.218.60.56/~jnz1568/getInfo.php?workbook=12_04.xlsx&amp;sheet=U0&amp;row=683&amp;col=6&amp;number=4.9&amp;sourceID=14","4.9")</f>
        <v>4.9</v>
      </c>
      <c r="G683" s="4" t="str">
        <f>HYPERLINK("http://141.218.60.56/~jnz1568/getInfo.php?workbook=12_04.xlsx&amp;sheet=U0&amp;row=683&amp;col=7&amp;number=0.00195&amp;sourceID=14","0.00195")</f>
        <v>0.00195</v>
      </c>
    </row>
    <row r="684" spans="1:7">
      <c r="A684" s="3">
        <v>12</v>
      </c>
      <c r="B684" s="3">
        <v>4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HYPERLINK("http://141.218.60.56/~jnz1568/getInfo.php?workbook=12_04.xlsx&amp;sheet=U0&amp;row=684&amp;col=6&amp;number=3&amp;sourceID=14","3")</f>
        <v>3</v>
      </c>
      <c r="G684" s="4" t="str">
        <f>HYPERLINK("http://141.218.60.56/~jnz1568/getInfo.php?workbook=12_04.xlsx&amp;sheet=U0&amp;row=684&amp;col=7&amp;number=0.00362&amp;sourceID=14","0.00362")</f>
        <v>0.00362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HYPERLINK("http://141.218.60.56/~jnz1568/getInfo.php?workbook=12_04.xlsx&amp;sheet=U0&amp;row=685&amp;col=6&amp;number=3.1&amp;sourceID=14","3.1")</f>
        <v>3.1</v>
      </c>
      <c r="G685" s="4" t="str">
        <f>HYPERLINK("http://141.218.60.56/~jnz1568/getInfo.php?workbook=12_04.xlsx&amp;sheet=U0&amp;row=685&amp;col=7&amp;number=0.00362&amp;sourceID=14","0.00362")</f>
        <v>0.00362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HYPERLINK("http://141.218.60.56/~jnz1568/getInfo.php?workbook=12_04.xlsx&amp;sheet=U0&amp;row=686&amp;col=6&amp;number=3.2&amp;sourceID=14","3.2")</f>
        <v>3.2</v>
      </c>
      <c r="G686" s="4" t="str">
        <f>HYPERLINK("http://141.218.60.56/~jnz1568/getInfo.php?workbook=12_04.xlsx&amp;sheet=U0&amp;row=686&amp;col=7&amp;number=0.00361&amp;sourceID=14","0.00361")</f>
        <v>0.00361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HYPERLINK("http://141.218.60.56/~jnz1568/getInfo.php?workbook=12_04.xlsx&amp;sheet=U0&amp;row=687&amp;col=6&amp;number=3.3&amp;sourceID=14","3.3")</f>
        <v>3.3</v>
      </c>
      <c r="G687" s="4" t="str">
        <f>HYPERLINK("http://141.218.60.56/~jnz1568/getInfo.php?workbook=12_04.xlsx&amp;sheet=U0&amp;row=687&amp;col=7&amp;number=0.00361&amp;sourceID=14","0.00361")</f>
        <v>0.00361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HYPERLINK("http://141.218.60.56/~jnz1568/getInfo.php?workbook=12_04.xlsx&amp;sheet=U0&amp;row=688&amp;col=6&amp;number=3.4&amp;sourceID=14","3.4")</f>
        <v>3.4</v>
      </c>
      <c r="G688" s="4" t="str">
        <f>HYPERLINK("http://141.218.60.56/~jnz1568/getInfo.php?workbook=12_04.xlsx&amp;sheet=U0&amp;row=688&amp;col=7&amp;number=0.0036&amp;sourceID=14","0.0036")</f>
        <v>0.0036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HYPERLINK("http://141.218.60.56/~jnz1568/getInfo.php?workbook=12_04.xlsx&amp;sheet=U0&amp;row=689&amp;col=6&amp;number=3.5&amp;sourceID=14","3.5")</f>
        <v>3.5</v>
      </c>
      <c r="G689" s="4" t="str">
        <f>HYPERLINK("http://141.218.60.56/~jnz1568/getInfo.php?workbook=12_04.xlsx&amp;sheet=U0&amp;row=689&amp;col=7&amp;number=0.00359&amp;sourceID=14","0.00359")</f>
        <v>0.00359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HYPERLINK("http://141.218.60.56/~jnz1568/getInfo.php?workbook=12_04.xlsx&amp;sheet=U0&amp;row=690&amp;col=6&amp;number=3.6&amp;sourceID=14","3.6")</f>
        <v>3.6</v>
      </c>
      <c r="G690" s="4" t="str">
        <f>HYPERLINK("http://141.218.60.56/~jnz1568/getInfo.php?workbook=12_04.xlsx&amp;sheet=U0&amp;row=690&amp;col=7&amp;number=0.00358&amp;sourceID=14","0.00358")</f>
        <v>0.00358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HYPERLINK("http://141.218.60.56/~jnz1568/getInfo.php?workbook=12_04.xlsx&amp;sheet=U0&amp;row=691&amp;col=6&amp;number=3.7&amp;sourceID=14","3.7")</f>
        <v>3.7</v>
      </c>
      <c r="G691" s="4" t="str">
        <f>HYPERLINK("http://141.218.60.56/~jnz1568/getInfo.php?workbook=12_04.xlsx&amp;sheet=U0&amp;row=691&amp;col=7&amp;number=0.00357&amp;sourceID=14","0.00357")</f>
        <v>0.00357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HYPERLINK("http://141.218.60.56/~jnz1568/getInfo.php?workbook=12_04.xlsx&amp;sheet=U0&amp;row=692&amp;col=6&amp;number=3.8&amp;sourceID=14","3.8")</f>
        <v>3.8</v>
      </c>
      <c r="G692" s="4" t="str">
        <f>HYPERLINK("http://141.218.60.56/~jnz1568/getInfo.php?workbook=12_04.xlsx&amp;sheet=U0&amp;row=692&amp;col=7&amp;number=0.00355&amp;sourceID=14","0.00355")</f>
        <v>0.00355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HYPERLINK("http://141.218.60.56/~jnz1568/getInfo.php?workbook=12_04.xlsx&amp;sheet=U0&amp;row=693&amp;col=6&amp;number=3.9&amp;sourceID=14","3.9")</f>
        <v>3.9</v>
      </c>
      <c r="G693" s="4" t="str">
        <f>HYPERLINK("http://141.218.60.56/~jnz1568/getInfo.php?workbook=12_04.xlsx&amp;sheet=U0&amp;row=693&amp;col=7&amp;number=0.00353&amp;sourceID=14","0.00353")</f>
        <v>0.00353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HYPERLINK("http://141.218.60.56/~jnz1568/getInfo.php?workbook=12_04.xlsx&amp;sheet=U0&amp;row=694&amp;col=6&amp;number=4&amp;sourceID=14","4")</f>
        <v>4</v>
      </c>
      <c r="G694" s="4" t="str">
        <f>HYPERLINK("http://141.218.60.56/~jnz1568/getInfo.php?workbook=12_04.xlsx&amp;sheet=U0&amp;row=694&amp;col=7&amp;number=0.00351&amp;sourceID=14","0.00351")</f>
        <v>0.00351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HYPERLINK("http://141.218.60.56/~jnz1568/getInfo.php?workbook=12_04.xlsx&amp;sheet=U0&amp;row=695&amp;col=6&amp;number=4.1&amp;sourceID=14","4.1")</f>
        <v>4.1</v>
      </c>
      <c r="G695" s="4" t="str">
        <f>HYPERLINK("http://141.218.60.56/~jnz1568/getInfo.php?workbook=12_04.xlsx&amp;sheet=U0&amp;row=695&amp;col=7&amp;number=0.00347&amp;sourceID=14","0.00347")</f>
        <v>0.00347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HYPERLINK("http://141.218.60.56/~jnz1568/getInfo.php?workbook=12_04.xlsx&amp;sheet=U0&amp;row=696&amp;col=6&amp;number=4.2&amp;sourceID=14","4.2")</f>
        <v>4.2</v>
      </c>
      <c r="G696" s="4" t="str">
        <f>HYPERLINK("http://141.218.60.56/~jnz1568/getInfo.php?workbook=12_04.xlsx&amp;sheet=U0&amp;row=696&amp;col=7&amp;number=0.00343&amp;sourceID=14","0.00343")</f>
        <v>0.00343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HYPERLINK("http://141.218.60.56/~jnz1568/getInfo.php?workbook=12_04.xlsx&amp;sheet=U0&amp;row=697&amp;col=6&amp;number=4.3&amp;sourceID=14","4.3")</f>
        <v>4.3</v>
      </c>
      <c r="G697" s="4" t="str">
        <f>HYPERLINK("http://141.218.60.56/~jnz1568/getInfo.php?workbook=12_04.xlsx&amp;sheet=U0&amp;row=697&amp;col=7&amp;number=0.00338&amp;sourceID=14","0.00338")</f>
        <v>0.00338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HYPERLINK("http://141.218.60.56/~jnz1568/getInfo.php?workbook=12_04.xlsx&amp;sheet=U0&amp;row=698&amp;col=6&amp;number=4.4&amp;sourceID=14","4.4")</f>
        <v>4.4</v>
      </c>
      <c r="G698" s="4" t="str">
        <f>HYPERLINK("http://141.218.60.56/~jnz1568/getInfo.php?workbook=12_04.xlsx&amp;sheet=U0&amp;row=698&amp;col=7&amp;number=0.00332&amp;sourceID=14","0.00332")</f>
        <v>0.00332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HYPERLINK("http://141.218.60.56/~jnz1568/getInfo.php?workbook=12_04.xlsx&amp;sheet=U0&amp;row=699&amp;col=6&amp;number=4.5&amp;sourceID=14","4.5")</f>
        <v>4.5</v>
      </c>
      <c r="G699" s="4" t="str">
        <f>HYPERLINK("http://141.218.60.56/~jnz1568/getInfo.php?workbook=12_04.xlsx&amp;sheet=U0&amp;row=699&amp;col=7&amp;number=0.00324&amp;sourceID=14","0.00324")</f>
        <v>0.00324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HYPERLINK("http://141.218.60.56/~jnz1568/getInfo.php?workbook=12_04.xlsx&amp;sheet=U0&amp;row=700&amp;col=6&amp;number=4.6&amp;sourceID=14","4.6")</f>
        <v>4.6</v>
      </c>
      <c r="G700" s="4" t="str">
        <f>HYPERLINK("http://141.218.60.56/~jnz1568/getInfo.php?workbook=12_04.xlsx&amp;sheet=U0&amp;row=700&amp;col=7&amp;number=0.00314&amp;sourceID=14","0.00314")</f>
        <v>0.00314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HYPERLINK("http://141.218.60.56/~jnz1568/getInfo.php?workbook=12_04.xlsx&amp;sheet=U0&amp;row=701&amp;col=6&amp;number=4.7&amp;sourceID=14","4.7")</f>
        <v>4.7</v>
      </c>
      <c r="G701" s="4" t="str">
        <f>HYPERLINK("http://141.218.60.56/~jnz1568/getInfo.php?workbook=12_04.xlsx&amp;sheet=U0&amp;row=701&amp;col=7&amp;number=0.00303&amp;sourceID=14","0.00303")</f>
        <v>0.00303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HYPERLINK("http://141.218.60.56/~jnz1568/getInfo.php?workbook=12_04.xlsx&amp;sheet=U0&amp;row=702&amp;col=6&amp;number=4.8&amp;sourceID=14","4.8")</f>
        <v>4.8</v>
      </c>
      <c r="G702" s="4" t="str">
        <f>HYPERLINK("http://141.218.60.56/~jnz1568/getInfo.php?workbook=12_04.xlsx&amp;sheet=U0&amp;row=702&amp;col=7&amp;number=0.00288&amp;sourceID=14","0.00288")</f>
        <v>0.00288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HYPERLINK("http://141.218.60.56/~jnz1568/getInfo.php?workbook=12_04.xlsx&amp;sheet=U0&amp;row=703&amp;col=6&amp;number=4.9&amp;sourceID=14","4.9")</f>
        <v>4.9</v>
      </c>
      <c r="G703" s="4" t="str">
        <f>HYPERLINK("http://141.218.60.56/~jnz1568/getInfo.php?workbook=12_04.xlsx&amp;sheet=U0&amp;row=703&amp;col=7&amp;number=0.00271&amp;sourceID=14","0.00271")</f>
        <v>0.00271</v>
      </c>
    </row>
    <row r="704" spans="1:7">
      <c r="A704" s="3">
        <v>12</v>
      </c>
      <c r="B704" s="3">
        <v>4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HYPERLINK("http://141.218.60.56/~jnz1568/getInfo.php?workbook=12_04.xlsx&amp;sheet=U0&amp;row=704&amp;col=6&amp;number=3&amp;sourceID=14","3")</f>
        <v>3</v>
      </c>
      <c r="G704" s="4" t="str">
        <f>HYPERLINK("http://141.218.60.56/~jnz1568/getInfo.php?workbook=12_04.xlsx&amp;sheet=U0&amp;row=704&amp;col=7&amp;number=0.00241&amp;sourceID=14","0.00241")</f>
        <v>0.00241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HYPERLINK("http://141.218.60.56/~jnz1568/getInfo.php?workbook=12_04.xlsx&amp;sheet=U0&amp;row=705&amp;col=6&amp;number=3.1&amp;sourceID=14","3.1")</f>
        <v>3.1</v>
      </c>
      <c r="G705" s="4" t="str">
        <f>HYPERLINK("http://141.218.60.56/~jnz1568/getInfo.php?workbook=12_04.xlsx&amp;sheet=U0&amp;row=705&amp;col=7&amp;number=0.00241&amp;sourceID=14","0.00241")</f>
        <v>0.00241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HYPERLINK("http://141.218.60.56/~jnz1568/getInfo.php?workbook=12_04.xlsx&amp;sheet=U0&amp;row=706&amp;col=6&amp;number=3.2&amp;sourceID=14","3.2")</f>
        <v>3.2</v>
      </c>
      <c r="G706" s="4" t="str">
        <f>HYPERLINK("http://141.218.60.56/~jnz1568/getInfo.php?workbook=12_04.xlsx&amp;sheet=U0&amp;row=706&amp;col=7&amp;number=0.00241&amp;sourceID=14","0.00241")</f>
        <v>0.00241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HYPERLINK("http://141.218.60.56/~jnz1568/getInfo.php?workbook=12_04.xlsx&amp;sheet=U0&amp;row=707&amp;col=6&amp;number=3.3&amp;sourceID=14","3.3")</f>
        <v>3.3</v>
      </c>
      <c r="G707" s="4" t="str">
        <f>HYPERLINK("http://141.218.60.56/~jnz1568/getInfo.php?workbook=12_04.xlsx&amp;sheet=U0&amp;row=707&amp;col=7&amp;number=0.0024&amp;sourceID=14","0.0024")</f>
        <v>0.0024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HYPERLINK("http://141.218.60.56/~jnz1568/getInfo.php?workbook=12_04.xlsx&amp;sheet=U0&amp;row=708&amp;col=6&amp;number=3.4&amp;sourceID=14","3.4")</f>
        <v>3.4</v>
      </c>
      <c r="G708" s="4" t="str">
        <f>HYPERLINK("http://141.218.60.56/~jnz1568/getInfo.php?workbook=12_04.xlsx&amp;sheet=U0&amp;row=708&amp;col=7&amp;number=0.0024&amp;sourceID=14","0.0024")</f>
        <v>0.0024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HYPERLINK("http://141.218.60.56/~jnz1568/getInfo.php?workbook=12_04.xlsx&amp;sheet=U0&amp;row=709&amp;col=6&amp;number=3.5&amp;sourceID=14","3.5")</f>
        <v>3.5</v>
      </c>
      <c r="G709" s="4" t="str">
        <f>HYPERLINK("http://141.218.60.56/~jnz1568/getInfo.php?workbook=12_04.xlsx&amp;sheet=U0&amp;row=709&amp;col=7&amp;number=0.0024&amp;sourceID=14","0.0024")</f>
        <v>0.0024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HYPERLINK("http://141.218.60.56/~jnz1568/getInfo.php?workbook=12_04.xlsx&amp;sheet=U0&amp;row=710&amp;col=6&amp;number=3.6&amp;sourceID=14","3.6")</f>
        <v>3.6</v>
      </c>
      <c r="G710" s="4" t="str">
        <f>HYPERLINK("http://141.218.60.56/~jnz1568/getInfo.php?workbook=12_04.xlsx&amp;sheet=U0&amp;row=710&amp;col=7&amp;number=0.00239&amp;sourceID=14","0.00239")</f>
        <v>0.00239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HYPERLINK("http://141.218.60.56/~jnz1568/getInfo.php?workbook=12_04.xlsx&amp;sheet=U0&amp;row=711&amp;col=6&amp;number=3.7&amp;sourceID=14","3.7")</f>
        <v>3.7</v>
      </c>
      <c r="G711" s="4" t="str">
        <f>HYPERLINK("http://141.218.60.56/~jnz1568/getInfo.php?workbook=12_04.xlsx&amp;sheet=U0&amp;row=711&amp;col=7&amp;number=0.00238&amp;sourceID=14","0.00238")</f>
        <v>0.00238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HYPERLINK("http://141.218.60.56/~jnz1568/getInfo.php?workbook=12_04.xlsx&amp;sheet=U0&amp;row=712&amp;col=6&amp;number=3.8&amp;sourceID=14","3.8")</f>
        <v>3.8</v>
      </c>
      <c r="G712" s="4" t="str">
        <f>HYPERLINK("http://141.218.60.56/~jnz1568/getInfo.php?workbook=12_04.xlsx&amp;sheet=U0&amp;row=712&amp;col=7&amp;number=0.00238&amp;sourceID=14","0.00238")</f>
        <v>0.00238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HYPERLINK("http://141.218.60.56/~jnz1568/getInfo.php?workbook=12_04.xlsx&amp;sheet=U0&amp;row=713&amp;col=6&amp;number=3.9&amp;sourceID=14","3.9")</f>
        <v>3.9</v>
      </c>
      <c r="G713" s="4" t="str">
        <f>HYPERLINK("http://141.218.60.56/~jnz1568/getInfo.php?workbook=12_04.xlsx&amp;sheet=U0&amp;row=713&amp;col=7&amp;number=0.00237&amp;sourceID=14","0.00237")</f>
        <v>0.00237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HYPERLINK("http://141.218.60.56/~jnz1568/getInfo.php?workbook=12_04.xlsx&amp;sheet=U0&amp;row=714&amp;col=6&amp;number=4&amp;sourceID=14","4")</f>
        <v>4</v>
      </c>
      <c r="G714" s="4" t="str">
        <f>HYPERLINK("http://141.218.60.56/~jnz1568/getInfo.php?workbook=12_04.xlsx&amp;sheet=U0&amp;row=714&amp;col=7&amp;number=0.00235&amp;sourceID=14","0.00235")</f>
        <v>0.00235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HYPERLINK("http://141.218.60.56/~jnz1568/getInfo.php?workbook=12_04.xlsx&amp;sheet=U0&amp;row=715&amp;col=6&amp;number=4.1&amp;sourceID=14","4.1")</f>
        <v>4.1</v>
      </c>
      <c r="G715" s="4" t="str">
        <f>HYPERLINK("http://141.218.60.56/~jnz1568/getInfo.php?workbook=12_04.xlsx&amp;sheet=U0&amp;row=715&amp;col=7&amp;number=0.00234&amp;sourceID=14","0.00234")</f>
        <v>0.00234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HYPERLINK("http://141.218.60.56/~jnz1568/getInfo.php?workbook=12_04.xlsx&amp;sheet=U0&amp;row=716&amp;col=6&amp;number=4.2&amp;sourceID=14","4.2")</f>
        <v>4.2</v>
      </c>
      <c r="G716" s="4" t="str">
        <f>HYPERLINK("http://141.218.60.56/~jnz1568/getInfo.php?workbook=12_04.xlsx&amp;sheet=U0&amp;row=716&amp;col=7&amp;number=0.00232&amp;sourceID=14","0.00232")</f>
        <v>0.00232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HYPERLINK("http://141.218.60.56/~jnz1568/getInfo.php?workbook=12_04.xlsx&amp;sheet=U0&amp;row=717&amp;col=6&amp;number=4.3&amp;sourceID=14","4.3")</f>
        <v>4.3</v>
      </c>
      <c r="G717" s="4" t="str">
        <f>HYPERLINK("http://141.218.60.56/~jnz1568/getInfo.php?workbook=12_04.xlsx&amp;sheet=U0&amp;row=717&amp;col=7&amp;number=0.00229&amp;sourceID=14","0.00229")</f>
        <v>0.00229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HYPERLINK("http://141.218.60.56/~jnz1568/getInfo.php?workbook=12_04.xlsx&amp;sheet=U0&amp;row=718&amp;col=6&amp;number=4.4&amp;sourceID=14","4.4")</f>
        <v>4.4</v>
      </c>
      <c r="G718" s="4" t="str">
        <f>HYPERLINK("http://141.218.60.56/~jnz1568/getInfo.php?workbook=12_04.xlsx&amp;sheet=U0&amp;row=718&amp;col=7&amp;number=0.00226&amp;sourceID=14","0.00226")</f>
        <v>0.00226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HYPERLINK("http://141.218.60.56/~jnz1568/getInfo.php?workbook=12_04.xlsx&amp;sheet=U0&amp;row=719&amp;col=6&amp;number=4.5&amp;sourceID=14","4.5")</f>
        <v>4.5</v>
      </c>
      <c r="G719" s="4" t="str">
        <f>HYPERLINK("http://141.218.60.56/~jnz1568/getInfo.php?workbook=12_04.xlsx&amp;sheet=U0&amp;row=719&amp;col=7&amp;number=0.00222&amp;sourceID=14","0.00222")</f>
        <v>0.00222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HYPERLINK("http://141.218.60.56/~jnz1568/getInfo.php?workbook=12_04.xlsx&amp;sheet=U0&amp;row=720&amp;col=6&amp;number=4.6&amp;sourceID=14","4.6")</f>
        <v>4.6</v>
      </c>
      <c r="G720" s="4" t="str">
        <f>HYPERLINK("http://141.218.60.56/~jnz1568/getInfo.php?workbook=12_04.xlsx&amp;sheet=U0&amp;row=720&amp;col=7&amp;number=0.00218&amp;sourceID=14","0.00218")</f>
        <v>0.00218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HYPERLINK("http://141.218.60.56/~jnz1568/getInfo.php?workbook=12_04.xlsx&amp;sheet=U0&amp;row=721&amp;col=6&amp;number=4.7&amp;sourceID=14","4.7")</f>
        <v>4.7</v>
      </c>
      <c r="G721" s="4" t="str">
        <f>HYPERLINK("http://141.218.60.56/~jnz1568/getInfo.php?workbook=12_04.xlsx&amp;sheet=U0&amp;row=721&amp;col=7&amp;number=0.00213&amp;sourceID=14","0.00213")</f>
        <v>0.00213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HYPERLINK("http://141.218.60.56/~jnz1568/getInfo.php?workbook=12_04.xlsx&amp;sheet=U0&amp;row=722&amp;col=6&amp;number=4.8&amp;sourceID=14","4.8")</f>
        <v>4.8</v>
      </c>
      <c r="G722" s="4" t="str">
        <f>HYPERLINK("http://141.218.60.56/~jnz1568/getInfo.php?workbook=12_04.xlsx&amp;sheet=U0&amp;row=722&amp;col=7&amp;number=0.00207&amp;sourceID=14","0.00207")</f>
        <v>0.00207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HYPERLINK("http://141.218.60.56/~jnz1568/getInfo.php?workbook=12_04.xlsx&amp;sheet=U0&amp;row=723&amp;col=6&amp;number=4.9&amp;sourceID=14","4.9")</f>
        <v>4.9</v>
      </c>
      <c r="G723" s="4" t="str">
        <f>HYPERLINK("http://141.218.60.56/~jnz1568/getInfo.php?workbook=12_04.xlsx&amp;sheet=U0&amp;row=723&amp;col=7&amp;number=0.00201&amp;sourceID=14","0.00201")</f>
        <v>0.00201</v>
      </c>
    </row>
    <row r="724" spans="1:7">
      <c r="A724" s="3">
        <v>12</v>
      </c>
      <c r="B724" s="3">
        <v>4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HYPERLINK("http://141.218.60.56/~jnz1568/getInfo.php?workbook=12_04.xlsx&amp;sheet=U0&amp;row=724&amp;col=6&amp;number=3&amp;sourceID=14","3")</f>
        <v>3</v>
      </c>
      <c r="G724" s="4" t="str">
        <f>HYPERLINK("http://141.218.60.56/~jnz1568/getInfo.php?workbook=12_04.xlsx&amp;sheet=U0&amp;row=724&amp;col=7&amp;number=0.000386&amp;sourceID=14","0.000386")</f>
        <v>0.000386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HYPERLINK("http://141.218.60.56/~jnz1568/getInfo.php?workbook=12_04.xlsx&amp;sheet=U0&amp;row=725&amp;col=6&amp;number=3.1&amp;sourceID=14","3.1")</f>
        <v>3.1</v>
      </c>
      <c r="G725" s="4" t="str">
        <f>HYPERLINK("http://141.218.60.56/~jnz1568/getInfo.php?workbook=12_04.xlsx&amp;sheet=U0&amp;row=725&amp;col=7&amp;number=0.000386&amp;sourceID=14","0.000386")</f>
        <v>0.000386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HYPERLINK("http://141.218.60.56/~jnz1568/getInfo.php?workbook=12_04.xlsx&amp;sheet=U0&amp;row=726&amp;col=6&amp;number=3.2&amp;sourceID=14","3.2")</f>
        <v>3.2</v>
      </c>
      <c r="G726" s="4" t="str">
        <f>HYPERLINK("http://141.218.60.56/~jnz1568/getInfo.php?workbook=12_04.xlsx&amp;sheet=U0&amp;row=726&amp;col=7&amp;number=0.000386&amp;sourceID=14","0.000386")</f>
        <v>0.000386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HYPERLINK("http://141.218.60.56/~jnz1568/getInfo.php?workbook=12_04.xlsx&amp;sheet=U0&amp;row=727&amp;col=6&amp;number=3.3&amp;sourceID=14","3.3")</f>
        <v>3.3</v>
      </c>
      <c r="G727" s="4" t="str">
        <f>HYPERLINK("http://141.218.60.56/~jnz1568/getInfo.php?workbook=12_04.xlsx&amp;sheet=U0&amp;row=727&amp;col=7&amp;number=0.000386&amp;sourceID=14","0.000386")</f>
        <v>0.000386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HYPERLINK("http://141.218.60.56/~jnz1568/getInfo.php?workbook=12_04.xlsx&amp;sheet=U0&amp;row=728&amp;col=6&amp;number=3.4&amp;sourceID=14","3.4")</f>
        <v>3.4</v>
      </c>
      <c r="G728" s="4" t="str">
        <f>HYPERLINK("http://141.218.60.56/~jnz1568/getInfo.php?workbook=12_04.xlsx&amp;sheet=U0&amp;row=728&amp;col=7&amp;number=0.000386&amp;sourceID=14","0.000386")</f>
        <v>0.000386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HYPERLINK("http://141.218.60.56/~jnz1568/getInfo.php?workbook=12_04.xlsx&amp;sheet=U0&amp;row=729&amp;col=6&amp;number=3.5&amp;sourceID=14","3.5")</f>
        <v>3.5</v>
      </c>
      <c r="G729" s="4" t="str">
        <f>HYPERLINK("http://141.218.60.56/~jnz1568/getInfo.php?workbook=12_04.xlsx&amp;sheet=U0&amp;row=729&amp;col=7&amp;number=0.000387&amp;sourceID=14","0.000387")</f>
        <v>0.000387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HYPERLINK("http://141.218.60.56/~jnz1568/getInfo.php?workbook=12_04.xlsx&amp;sheet=U0&amp;row=730&amp;col=6&amp;number=3.6&amp;sourceID=14","3.6")</f>
        <v>3.6</v>
      </c>
      <c r="G730" s="4" t="str">
        <f>HYPERLINK("http://141.218.60.56/~jnz1568/getInfo.php?workbook=12_04.xlsx&amp;sheet=U0&amp;row=730&amp;col=7&amp;number=0.000387&amp;sourceID=14","0.000387")</f>
        <v>0.000387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HYPERLINK("http://141.218.60.56/~jnz1568/getInfo.php?workbook=12_04.xlsx&amp;sheet=U0&amp;row=731&amp;col=6&amp;number=3.7&amp;sourceID=14","3.7")</f>
        <v>3.7</v>
      </c>
      <c r="G731" s="4" t="str">
        <f>HYPERLINK("http://141.218.60.56/~jnz1568/getInfo.php?workbook=12_04.xlsx&amp;sheet=U0&amp;row=731&amp;col=7&amp;number=0.000387&amp;sourceID=14","0.000387")</f>
        <v>0.000387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HYPERLINK("http://141.218.60.56/~jnz1568/getInfo.php?workbook=12_04.xlsx&amp;sheet=U0&amp;row=732&amp;col=6&amp;number=3.8&amp;sourceID=14","3.8")</f>
        <v>3.8</v>
      </c>
      <c r="G732" s="4" t="str">
        <f>HYPERLINK("http://141.218.60.56/~jnz1568/getInfo.php?workbook=12_04.xlsx&amp;sheet=U0&amp;row=732&amp;col=7&amp;number=0.000388&amp;sourceID=14","0.000388")</f>
        <v>0.000388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HYPERLINK("http://141.218.60.56/~jnz1568/getInfo.php?workbook=12_04.xlsx&amp;sheet=U0&amp;row=733&amp;col=6&amp;number=3.9&amp;sourceID=14","3.9")</f>
        <v>3.9</v>
      </c>
      <c r="G733" s="4" t="str">
        <f>HYPERLINK("http://141.218.60.56/~jnz1568/getInfo.php?workbook=12_04.xlsx&amp;sheet=U0&amp;row=733&amp;col=7&amp;number=0.000388&amp;sourceID=14","0.000388")</f>
        <v>0.000388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HYPERLINK("http://141.218.60.56/~jnz1568/getInfo.php?workbook=12_04.xlsx&amp;sheet=U0&amp;row=734&amp;col=6&amp;number=4&amp;sourceID=14","4")</f>
        <v>4</v>
      </c>
      <c r="G734" s="4" t="str">
        <f>HYPERLINK("http://141.218.60.56/~jnz1568/getInfo.php?workbook=12_04.xlsx&amp;sheet=U0&amp;row=734&amp;col=7&amp;number=0.000389&amp;sourceID=14","0.000389")</f>
        <v>0.000389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HYPERLINK("http://141.218.60.56/~jnz1568/getInfo.php?workbook=12_04.xlsx&amp;sheet=U0&amp;row=735&amp;col=6&amp;number=4.1&amp;sourceID=14","4.1")</f>
        <v>4.1</v>
      </c>
      <c r="G735" s="4" t="str">
        <f>HYPERLINK("http://141.218.60.56/~jnz1568/getInfo.php?workbook=12_04.xlsx&amp;sheet=U0&amp;row=735&amp;col=7&amp;number=0.00039&amp;sourceID=14","0.00039")</f>
        <v>0.00039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HYPERLINK("http://141.218.60.56/~jnz1568/getInfo.php?workbook=12_04.xlsx&amp;sheet=U0&amp;row=736&amp;col=6&amp;number=4.2&amp;sourceID=14","4.2")</f>
        <v>4.2</v>
      </c>
      <c r="G736" s="4" t="str">
        <f>HYPERLINK("http://141.218.60.56/~jnz1568/getInfo.php?workbook=12_04.xlsx&amp;sheet=U0&amp;row=736&amp;col=7&amp;number=0.000391&amp;sourceID=14","0.000391")</f>
        <v>0.000391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HYPERLINK("http://141.218.60.56/~jnz1568/getInfo.php?workbook=12_04.xlsx&amp;sheet=U0&amp;row=737&amp;col=6&amp;number=4.3&amp;sourceID=14","4.3")</f>
        <v>4.3</v>
      </c>
      <c r="G737" s="4" t="str">
        <f>HYPERLINK("http://141.218.60.56/~jnz1568/getInfo.php?workbook=12_04.xlsx&amp;sheet=U0&amp;row=737&amp;col=7&amp;number=0.000392&amp;sourceID=14","0.000392")</f>
        <v>0.000392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HYPERLINK("http://141.218.60.56/~jnz1568/getInfo.php?workbook=12_04.xlsx&amp;sheet=U0&amp;row=738&amp;col=6&amp;number=4.4&amp;sourceID=14","4.4")</f>
        <v>4.4</v>
      </c>
      <c r="G738" s="4" t="str">
        <f>HYPERLINK("http://141.218.60.56/~jnz1568/getInfo.php?workbook=12_04.xlsx&amp;sheet=U0&amp;row=738&amp;col=7&amp;number=0.000394&amp;sourceID=14","0.000394")</f>
        <v>0.000394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HYPERLINK("http://141.218.60.56/~jnz1568/getInfo.php?workbook=12_04.xlsx&amp;sheet=U0&amp;row=739&amp;col=6&amp;number=4.5&amp;sourceID=14","4.5")</f>
        <v>4.5</v>
      </c>
      <c r="G739" s="4" t="str">
        <f>HYPERLINK("http://141.218.60.56/~jnz1568/getInfo.php?workbook=12_04.xlsx&amp;sheet=U0&amp;row=739&amp;col=7&amp;number=0.000396&amp;sourceID=14","0.000396")</f>
        <v>0.000396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HYPERLINK("http://141.218.60.56/~jnz1568/getInfo.php?workbook=12_04.xlsx&amp;sheet=U0&amp;row=740&amp;col=6&amp;number=4.6&amp;sourceID=14","4.6")</f>
        <v>4.6</v>
      </c>
      <c r="G740" s="4" t="str">
        <f>HYPERLINK("http://141.218.60.56/~jnz1568/getInfo.php?workbook=12_04.xlsx&amp;sheet=U0&amp;row=740&amp;col=7&amp;number=0.000399&amp;sourceID=14","0.000399")</f>
        <v>0.000399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HYPERLINK("http://141.218.60.56/~jnz1568/getInfo.php?workbook=12_04.xlsx&amp;sheet=U0&amp;row=741&amp;col=6&amp;number=4.7&amp;sourceID=14","4.7")</f>
        <v>4.7</v>
      </c>
      <c r="G741" s="4" t="str">
        <f>HYPERLINK("http://141.218.60.56/~jnz1568/getInfo.php?workbook=12_04.xlsx&amp;sheet=U0&amp;row=741&amp;col=7&amp;number=0.000402&amp;sourceID=14","0.000402")</f>
        <v>0.000402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HYPERLINK("http://141.218.60.56/~jnz1568/getInfo.php?workbook=12_04.xlsx&amp;sheet=U0&amp;row=742&amp;col=6&amp;number=4.8&amp;sourceID=14","4.8")</f>
        <v>4.8</v>
      </c>
      <c r="G742" s="4" t="str">
        <f>HYPERLINK("http://141.218.60.56/~jnz1568/getInfo.php?workbook=12_04.xlsx&amp;sheet=U0&amp;row=742&amp;col=7&amp;number=0.000406&amp;sourceID=14","0.000406")</f>
        <v>0.000406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HYPERLINK("http://141.218.60.56/~jnz1568/getInfo.php?workbook=12_04.xlsx&amp;sheet=U0&amp;row=743&amp;col=6&amp;number=4.9&amp;sourceID=14","4.9")</f>
        <v>4.9</v>
      </c>
      <c r="G743" s="4" t="str">
        <f>HYPERLINK("http://141.218.60.56/~jnz1568/getInfo.php?workbook=12_04.xlsx&amp;sheet=U0&amp;row=743&amp;col=7&amp;number=0.00041&amp;sourceID=14","0.00041")</f>
        <v>0.00041</v>
      </c>
    </row>
    <row r="744" spans="1:7">
      <c r="A744" s="3">
        <v>12</v>
      </c>
      <c r="B744" s="3">
        <v>4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HYPERLINK("http://141.218.60.56/~jnz1568/getInfo.php?workbook=12_04.xlsx&amp;sheet=U0&amp;row=744&amp;col=6&amp;number=3&amp;sourceID=14","3")</f>
        <v>3</v>
      </c>
      <c r="G744" s="4" t="str">
        <f>HYPERLINK("http://141.218.60.56/~jnz1568/getInfo.php?workbook=12_04.xlsx&amp;sheet=U0&amp;row=744&amp;col=7&amp;number=0.000653&amp;sourceID=14","0.000653")</f>
        <v>0.000653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HYPERLINK("http://141.218.60.56/~jnz1568/getInfo.php?workbook=12_04.xlsx&amp;sheet=U0&amp;row=745&amp;col=6&amp;number=3.1&amp;sourceID=14","3.1")</f>
        <v>3.1</v>
      </c>
      <c r="G745" s="4" t="str">
        <f>HYPERLINK("http://141.218.60.56/~jnz1568/getInfo.php?workbook=12_04.xlsx&amp;sheet=U0&amp;row=745&amp;col=7&amp;number=0.000653&amp;sourceID=14","0.000653")</f>
        <v>0.000653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HYPERLINK("http://141.218.60.56/~jnz1568/getInfo.php?workbook=12_04.xlsx&amp;sheet=U0&amp;row=746&amp;col=6&amp;number=3.2&amp;sourceID=14","3.2")</f>
        <v>3.2</v>
      </c>
      <c r="G746" s="4" t="str">
        <f>HYPERLINK("http://141.218.60.56/~jnz1568/getInfo.php?workbook=12_04.xlsx&amp;sheet=U0&amp;row=746&amp;col=7&amp;number=0.000653&amp;sourceID=14","0.000653")</f>
        <v>0.000653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HYPERLINK("http://141.218.60.56/~jnz1568/getInfo.php?workbook=12_04.xlsx&amp;sheet=U0&amp;row=747&amp;col=6&amp;number=3.3&amp;sourceID=14","3.3")</f>
        <v>3.3</v>
      </c>
      <c r="G747" s="4" t="str">
        <f>HYPERLINK("http://141.218.60.56/~jnz1568/getInfo.php?workbook=12_04.xlsx&amp;sheet=U0&amp;row=747&amp;col=7&amp;number=0.000653&amp;sourceID=14","0.000653")</f>
        <v>0.000653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HYPERLINK("http://141.218.60.56/~jnz1568/getInfo.php?workbook=12_04.xlsx&amp;sheet=U0&amp;row=748&amp;col=6&amp;number=3.4&amp;sourceID=14","3.4")</f>
        <v>3.4</v>
      </c>
      <c r="G748" s="4" t="str">
        <f>HYPERLINK("http://141.218.60.56/~jnz1568/getInfo.php?workbook=12_04.xlsx&amp;sheet=U0&amp;row=748&amp;col=7&amp;number=0.000653&amp;sourceID=14","0.000653")</f>
        <v>0.000653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HYPERLINK("http://141.218.60.56/~jnz1568/getInfo.php?workbook=12_04.xlsx&amp;sheet=U0&amp;row=749&amp;col=6&amp;number=3.5&amp;sourceID=14","3.5")</f>
        <v>3.5</v>
      </c>
      <c r="G749" s="4" t="str">
        <f>HYPERLINK("http://141.218.60.56/~jnz1568/getInfo.php?workbook=12_04.xlsx&amp;sheet=U0&amp;row=749&amp;col=7&amp;number=0.000653&amp;sourceID=14","0.000653")</f>
        <v>0.000653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HYPERLINK("http://141.218.60.56/~jnz1568/getInfo.php?workbook=12_04.xlsx&amp;sheet=U0&amp;row=750&amp;col=6&amp;number=3.6&amp;sourceID=14","3.6")</f>
        <v>3.6</v>
      </c>
      <c r="G750" s="4" t="str">
        <f>HYPERLINK("http://141.218.60.56/~jnz1568/getInfo.php?workbook=12_04.xlsx&amp;sheet=U0&amp;row=750&amp;col=7&amp;number=0.000654&amp;sourceID=14","0.000654")</f>
        <v>0.000654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HYPERLINK("http://141.218.60.56/~jnz1568/getInfo.php?workbook=12_04.xlsx&amp;sheet=U0&amp;row=751&amp;col=6&amp;number=3.7&amp;sourceID=14","3.7")</f>
        <v>3.7</v>
      </c>
      <c r="G751" s="4" t="str">
        <f>HYPERLINK("http://141.218.60.56/~jnz1568/getInfo.php?workbook=12_04.xlsx&amp;sheet=U0&amp;row=751&amp;col=7&amp;number=0.000654&amp;sourceID=14","0.000654")</f>
        <v>0.000654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HYPERLINK("http://141.218.60.56/~jnz1568/getInfo.php?workbook=12_04.xlsx&amp;sheet=U0&amp;row=752&amp;col=6&amp;number=3.8&amp;sourceID=14","3.8")</f>
        <v>3.8</v>
      </c>
      <c r="G752" s="4" t="str">
        <f>HYPERLINK("http://141.218.60.56/~jnz1568/getInfo.php?workbook=12_04.xlsx&amp;sheet=U0&amp;row=752&amp;col=7&amp;number=0.000654&amp;sourceID=14","0.000654")</f>
        <v>0.000654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HYPERLINK("http://141.218.60.56/~jnz1568/getInfo.php?workbook=12_04.xlsx&amp;sheet=U0&amp;row=753&amp;col=6&amp;number=3.9&amp;sourceID=14","3.9")</f>
        <v>3.9</v>
      </c>
      <c r="G753" s="4" t="str">
        <f>HYPERLINK("http://141.218.60.56/~jnz1568/getInfo.php?workbook=12_04.xlsx&amp;sheet=U0&amp;row=753&amp;col=7&amp;number=0.000654&amp;sourceID=14","0.000654")</f>
        <v>0.000654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HYPERLINK("http://141.218.60.56/~jnz1568/getInfo.php?workbook=12_04.xlsx&amp;sheet=U0&amp;row=754&amp;col=6&amp;number=4&amp;sourceID=14","4")</f>
        <v>4</v>
      </c>
      <c r="G754" s="4" t="str">
        <f>HYPERLINK("http://141.218.60.56/~jnz1568/getInfo.php?workbook=12_04.xlsx&amp;sheet=U0&amp;row=754&amp;col=7&amp;number=0.000654&amp;sourceID=14","0.000654")</f>
        <v>0.000654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HYPERLINK("http://141.218.60.56/~jnz1568/getInfo.php?workbook=12_04.xlsx&amp;sheet=U0&amp;row=755&amp;col=6&amp;number=4.1&amp;sourceID=14","4.1")</f>
        <v>4.1</v>
      </c>
      <c r="G755" s="4" t="str">
        <f>HYPERLINK("http://141.218.60.56/~jnz1568/getInfo.php?workbook=12_04.xlsx&amp;sheet=U0&amp;row=755&amp;col=7&amp;number=0.000655&amp;sourceID=14","0.000655")</f>
        <v>0.000655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HYPERLINK("http://141.218.60.56/~jnz1568/getInfo.php?workbook=12_04.xlsx&amp;sheet=U0&amp;row=756&amp;col=6&amp;number=4.2&amp;sourceID=14","4.2")</f>
        <v>4.2</v>
      </c>
      <c r="G756" s="4" t="str">
        <f>HYPERLINK("http://141.218.60.56/~jnz1568/getInfo.php?workbook=12_04.xlsx&amp;sheet=U0&amp;row=756&amp;col=7&amp;number=0.000655&amp;sourceID=14","0.000655")</f>
        <v>0.000655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HYPERLINK("http://141.218.60.56/~jnz1568/getInfo.php?workbook=12_04.xlsx&amp;sheet=U0&amp;row=757&amp;col=6&amp;number=4.3&amp;sourceID=14","4.3")</f>
        <v>4.3</v>
      </c>
      <c r="G757" s="4" t="str">
        <f>HYPERLINK("http://141.218.60.56/~jnz1568/getInfo.php?workbook=12_04.xlsx&amp;sheet=U0&amp;row=757&amp;col=7&amp;number=0.000655&amp;sourceID=14","0.000655")</f>
        <v>0.000655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HYPERLINK("http://141.218.60.56/~jnz1568/getInfo.php?workbook=12_04.xlsx&amp;sheet=U0&amp;row=758&amp;col=6&amp;number=4.4&amp;sourceID=14","4.4")</f>
        <v>4.4</v>
      </c>
      <c r="G758" s="4" t="str">
        <f>HYPERLINK("http://141.218.60.56/~jnz1568/getInfo.php?workbook=12_04.xlsx&amp;sheet=U0&amp;row=758&amp;col=7&amp;number=0.000656&amp;sourceID=14","0.000656")</f>
        <v>0.000656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HYPERLINK("http://141.218.60.56/~jnz1568/getInfo.php?workbook=12_04.xlsx&amp;sheet=U0&amp;row=759&amp;col=6&amp;number=4.5&amp;sourceID=14","4.5")</f>
        <v>4.5</v>
      </c>
      <c r="G759" s="4" t="str">
        <f>HYPERLINK("http://141.218.60.56/~jnz1568/getInfo.php?workbook=12_04.xlsx&amp;sheet=U0&amp;row=759&amp;col=7&amp;number=0.000657&amp;sourceID=14","0.000657")</f>
        <v>0.000657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HYPERLINK("http://141.218.60.56/~jnz1568/getInfo.php?workbook=12_04.xlsx&amp;sheet=U0&amp;row=760&amp;col=6&amp;number=4.6&amp;sourceID=14","4.6")</f>
        <v>4.6</v>
      </c>
      <c r="G760" s="4" t="str">
        <f>HYPERLINK("http://141.218.60.56/~jnz1568/getInfo.php?workbook=12_04.xlsx&amp;sheet=U0&amp;row=760&amp;col=7&amp;number=0.000657&amp;sourceID=14","0.000657")</f>
        <v>0.000657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HYPERLINK("http://141.218.60.56/~jnz1568/getInfo.php?workbook=12_04.xlsx&amp;sheet=U0&amp;row=761&amp;col=6&amp;number=4.7&amp;sourceID=14","4.7")</f>
        <v>4.7</v>
      </c>
      <c r="G761" s="4" t="str">
        <f>HYPERLINK("http://141.218.60.56/~jnz1568/getInfo.php?workbook=12_04.xlsx&amp;sheet=U0&amp;row=761&amp;col=7&amp;number=0.000658&amp;sourceID=14","0.000658")</f>
        <v>0.000658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HYPERLINK("http://141.218.60.56/~jnz1568/getInfo.php?workbook=12_04.xlsx&amp;sheet=U0&amp;row=762&amp;col=6&amp;number=4.8&amp;sourceID=14","4.8")</f>
        <v>4.8</v>
      </c>
      <c r="G762" s="4" t="str">
        <f>HYPERLINK("http://141.218.60.56/~jnz1568/getInfo.php?workbook=12_04.xlsx&amp;sheet=U0&amp;row=762&amp;col=7&amp;number=0.000659&amp;sourceID=14","0.000659")</f>
        <v>0.000659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HYPERLINK("http://141.218.60.56/~jnz1568/getInfo.php?workbook=12_04.xlsx&amp;sheet=U0&amp;row=763&amp;col=6&amp;number=4.9&amp;sourceID=14","4.9")</f>
        <v>4.9</v>
      </c>
      <c r="G763" s="4" t="str">
        <f>HYPERLINK("http://141.218.60.56/~jnz1568/getInfo.php?workbook=12_04.xlsx&amp;sheet=U0&amp;row=763&amp;col=7&amp;number=0.000659&amp;sourceID=14","0.000659")</f>
        <v>0.000659</v>
      </c>
    </row>
    <row r="764" spans="1:7">
      <c r="A764" s="3">
        <v>12</v>
      </c>
      <c r="B764" s="3">
        <v>4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HYPERLINK("http://141.218.60.56/~jnz1568/getInfo.php?workbook=12_04.xlsx&amp;sheet=U0&amp;row=764&amp;col=6&amp;number=3&amp;sourceID=14","3")</f>
        <v>3</v>
      </c>
      <c r="G764" s="4" t="str">
        <f>HYPERLINK("http://141.218.60.56/~jnz1568/getInfo.php?workbook=12_04.xlsx&amp;sheet=U0&amp;row=764&amp;col=7&amp;number=0.000742&amp;sourceID=14","0.000742")</f>
        <v>0.000742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HYPERLINK("http://141.218.60.56/~jnz1568/getInfo.php?workbook=12_04.xlsx&amp;sheet=U0&amp;row=765&amp;col=6&amp;number=3.1&amp;sourceID=14","3.1")</f>
        <v>3.1</v>
      </c>
      <c r="G765" s="4" t="str">
        <f>HYPERLINK("http://141.218.60.56/~jnz1568/getInfo.php?workbook=12_04.xlsx&amp;sheet=U0&amp;row=765&amp;col=7&amp;number=0.000742&amp;sourceID=14","0.000742")</f>
        <v>0.000742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HYPERLINK("http://141.218.60.56/~jnz1568/getInfo.php?workbook=12_04.xlsx&amp;sheet=U0&amp;row=766&amp;col=6&amp;number=3.2&amp;sourceID=14","3.2")</f>
        <v>3.2</v>
      </c>
      <c r="G766" s="4" t="str">
        <f>HYPERLINK("http://141.218.60.56/~jnz1568/getInfo.php?workbook=12_04.xlsx&amp;sheet=U0&amp;row=766&amp;col=7&amp;number=0.000742&amp;sourceID=14","0.000742")</f>
        <v>0.000742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HYPERLINK("http://141.218.60.56/~jnz1568/getInfo.php?workbook=12_04.xlsx&amp;sheet=U0&amp;row=767&amp;col=6&amp;number=3.3&amp;sourceID=14","3.3")</f>
        <v>3.3</v>
      </c>
      <c r="G767" s="4" t="str">
        <f>HYPERLINK("http://141.218.60.56/~jnz1568/getInfo.php?workbook=12_04.xlsx&amp;sheet=U0&amp;row=767&amp;col=7&amp;number=0.000742&amp;sourceID=14","0.000742")</f>
        <v>0.000742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HYPERLINK("http://141.218.60.56/~jnz1568/getInfo.php?workbook=12_04.xlsx&amp;sheet=U0&amp;row=768&amp;col=6&amp;number=3.4&amp;sourceID=14","3.4")</f>
        <v>3.4</v>
      </c>
      <c r="G768" s="4" t="str">
        <f>HYPERLINK("http://141.218.60.56/~jnz1568/getInfo.php?workbook=12_04.xlsx&amp;sheet=U0&amp;row=768&amp;col=7&amp;number=0.000742&amp;sourceID=14","0.000742")</f>
        <v>0.000742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HYPERLINK("http://141.218.60.56/~jnz1568/getInfo.php?workbook=12_04.xlsx&amp;sheet=U0&amp;row=769&amp;col=6&amp;number=3.5&amp;sourceID=14","3.5")</f>
        <v>3.5</v>
      </c>
      <c r="G769" s="4" t="str">
        <f>HYPERLINK("http://141.218.60.56/~jnz1568/getInfo.php?workbook=12_04.xlsx&amp;sheet=U0&amp;row=769&amp;col=7&amp;number=0.000743&amp;sourceID=14","0.000743")</f>
        <v>0.000743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HYPERLINK("http://141.218.60.56/~jnz1568/getInfo.php?workbook=12_04.xlsx&amp;sheet=U0&amp;row=770&amp;col=6&amp;number=3.6&amp;sourceID=14","3.6")</f>
        <v>3.6</v>
      </c>
      <c r="G770" s="4" t="str">
        <f>HYPERLINK("http://141.218.60.56/~jnz1568/getInfo.php?workbook=12_04.xlsx&amp;sheet=U0&amp;row=770&amp;col=7&amp;number=0.000743&amp;sourceID=14","0.000743")</f>
        <v>0.000743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HYPERLINK("http://141.218.60.56/~jnz1568/getInfo.php?workbook=12_04.xlsx&amp;sheet=U0&amp;row=771&amp;col=6&amp;number=3.7&amp;sourceID=14","3.7")</f>
        <v>3.7</v>
      </c>
      <c r="G771" s="4" t="str">
        <f>HYPERLINK("http://141.218.60.56/~jnz1568/getInfo.php?workbook=12_04.xlsx&amp;sheet=U0&amp;row=771&amp;col=7&amp;number=0.000744&amp;sourceID=14","0.000744")</f>
        <v>0.000744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HYPERLINK("http://141.218.60.56/~jnz1568/getInfo.php?workbook=12_04.xlsx&amp;sheet=U0&amp;row=772&amp;col=6&amp;number=3.8&amp;sourceID=14","3.8")</f>
        <v>3.8</v>
      </c>
      <c r="G772" s="4" t="str">
        <f>HYPERLINK("http://141.218.60.56/~jnz1568/getInfo.php?workbook=12_04.xlsx&amp;sheet=U0&amp;row=772&amp;col=7&amp;number=0.000744&amp;sourceID=14","0.000744")</f>
        <v>0.000744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HYPERLINK("http://141.218.60.56/~jnz1568/getInfo.php?workbook=12_04.xlsx&amp;sheet=U0&amp;row=773&amp;col=6&amp;number=3.9&amp;sourceID=14","3.9")</f>
        <v>3.9</v>
      </c>
      <c r="G773" s="4" t="str">
        <f>HYPERLINK("http://141.218.60.56/~jnz1568/getInfo.php?workbook=12_04.xlsx&amp;sheet=U0&amp;row=773&amp;col=7&amp;number=0.000745&amp;sourceID=14","0.000745")</f>
        <v>0.000745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HYPERLINK("http://141.218.60.56/~jnz1568/getInfo.php?workbook=12_04.xlsx&amp;sheet=U0&amp;row=774&amp;col=6&amp;number=4&amp;sourceID=14","4")</f>
        <v>4</v>
      </c>
      <c r="G774" s="4" t="str">
        <f>HYPERLINK("http://141.218.60.56/~jnz1568/getInfo.php?workbook=12_04.xlsx&amp;sheet=U0&amp;row=774&amp;col=7&amp;number=0.000746&amp;sourceID=14","0.000746")</f>
        <v>0.000746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HYPERLINK("http://141.218.60.56/~jnz1568/getInfo.php?workbook=12_04.xlsx&amp;sheet=U0&amp;row=775&amp;col=6&amp;number=4.1&amp;sourceID=14","4.1")</f>
        <v>4.1</v>
      </c>
      <c r="G775" s="4" t="str">
        <f>HYPERLINK("http://141.218.60.56/~jnz1568/getInfo.php?workbook=12_04.xlsx&amp;sheet=U0&amp;row=775&amp;col=7&amp;number=0.000747&amp;sourceID=14","0.000747")</f>
        <v>0.000747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HYPERLINK("http://141.218.60.56/~jnz1568/getInfo.php?workbook=12_04.xlsx&amp;sheet=U0&amp;row=776&amp;col=6&amp;number=4.2&amp;sourceID=14","4.2")</f>
        <v>4.2</v>
      </c>
      <c r="G776" s="4" t="str">
        <f>HYPERLINK("http://141.218.60.56/~jnz1568/getInfo.php?workbook=12_04.xlsx&amp;sheet=U0&amp;row=776&amp;col=7&amp;number=0.000749&amp;sourceID=14","0.000749")</f>
        <v>0.000749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HYPERLINK("http://141.218.60.56/~jnz1568/getInfo.php?workbook=12_04.xlsx&amp;sheet=U0&amp;row=777&amp;col=6&amp;number=4.3&amp;sourceID=14","4.3")</f>
        <v>4.3</v>
      </c>
      <c r="G777" s="4" t="str">
        <f>HYPERLINK("http://141.218.60.56/~jnz1568/getInfo.php?workbook=12_04.xlsx&amp;sheet=U0&amp;row=777&amp;col=7&amp;number=0.000751&amp;sourceID=14","0.000751")</f>
        <v>0.000751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HYPERLINK("http://141.218.60.56/~jnz1568/getInfo.php?workbook=12_04.xlsx&amp;sheet=U0&amp;row=778&amp;col=6&amp;number=4.4&amp;sourceID=14","4.4")</f>
        <v>4.4</v>
      </c>
      <c r="G778" s="4" t="str">
        <f>HYPERLINK("http://141.218.60.56/~jnz1568/getInfo.php?workbook=12_04.xlsx&amp;sheet=U0&amp;row=778&amp;col=7&amp;number=0.000753&amp;sourceID=14","0.000753")</f>
        <v>0.000753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HYPERLINK("http://141.218.60.56/~jnz1568/getInfo.php?workbook=12_04.xlsx&amp;sheet=U0&amp;row=779&amp;col=6&amp;number=4.5&amp;sourceID=14","4.5")</f>
        <v>4.5</v>
      </c>
      <c r="G779" s="4" t="str">
        <f>HYPERLINK("http://141.218.60.56/~jnz1568/getInfo.php?workbook=12_04.xlsx&amp;sheet=U0&amp;row=779&amp;col=7&amp;number=0.000756&amp;sourceID=14","0.000756")</f>
        <v>0.000756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HYPERLINK("http://141.218.60.56/~jnz1568/getInfo.php?workbook=12_04.xlsx&amp;sheet=U0&amp;row=780&amp;col=6&amp;number=4.6&amp;sourceID=14","4.6")</f>
        <v>4.6</v>
      </c>
      <c r="G780" s="4" t="str">
        <f>HYPERLINK("http://141.218.60.56/~jnz1568/getInfo.php?workbook=12_04.xlsx&amp;sheet=U0&amp;row=780&amp;col=7&amp;number=0.00076&amp;sourceID=14","0.00076")</f>
        <v>0.00076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HYPERLINK("http://141.218.60.56/~jnz1568/getInfo.php?workbook=12_04.xlsx&amp;sheet=U0&amp;row=781&amp;col=6&amp;number=4.7&amp;sourceID=14","4.7")</f>
        <v>4.7</v>
      </c>
      <c r="G781" s="4" t="str">
        <f>HYPERLINK("http://141.218.60.56/~jnz1568/getInfo.php?workbook=12_04.xlsx&amp;sheet=U0&amp;row=781&amp;col=7&amp;number=0.000764&amp;sourceID=14","0.000764")</f>
        <v>0.000764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HYPERLINK("http://141.218.60.56/~jnz1568/getInfo.php?workbook=12_04.xlsx&amp;sheet=U0&amp;row=782&amp;col=6&amp;number=4.8&amp;sourceID=14","4.8")</f>
        <v>4.8</v>
      </c>
      <c r="G782" s="4" t="str">
        <f>HYPERLINK("http://141.218.60.56/~jnz1568/getInfo.php?workbook=12_04.xlsx&amp;sheet=U0&amp;row=782&amp;col=7&amp;number=0.000769&amp;sourceID=14","0.000769")</f>
        <v>0.000769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HYPERLINK("http://141.218.60.56/~jnz1568/getInfo.php?workbook=12_04.xlsx&amp;sheet=U0&amp;row=783&amp;col=6&amp;number=4.9&amp;sourceID=14","4.9")</f>
        <v>4.9</v>
      </c>
      <c r="G783" s="4" t="str">
        <f>HYPERLINK("http://141.218.60.56/~jnz1568/getInfo.php?workbook=12_04.xlsx&amp;sheet=U0&amp;row=783&amp;col=7&amp;number=0.000774&amp;sourceID=14","0.000774")</f>
        <v>0.000774</v>
      </c>
    </row>
    <row r="784" spans="1:7">
      <c r="A784" s="3">
        <v>12</v>
      </c>
      <c r="B784" s="3">
        <v>4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HYPERLINK("http://141.218.60.56/~jnz1568/getInfo.php?workbook=12_04.xlsx&amp;sheet=U0&amp;row=784&amp;col=6&amp;number=3&amp;sourceID=14","3")</f>
        <v>3</v>
      </c>
      <c r="G784" s="4" t="str">
        <f>HYPERLINK("http://141.218.60.56/~jnz1568/getInfo.php?workbook=12_04.xlsx&amp;sheet=U0&amp;row=784&amp;col=7&amp;number=0.00119&amp;sourceID=14","0.00119")</f>
        <v>0.00119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HYPERLINK("http://141.218.60.56/~jnz1568/getInfo.php?workbook=12_04.xlsx&amp;sheet=U0&amp;row=785&amp;col=6&amp;number=3.1&amp;sourceID=14","3.1")</f>
        <v>3.1</v>
      </c>
      <c r="G785" s="4" t="str">
        <f>HYPERLINK("http://141.218.60.56/~jnz1568/getInfo.php?workbook=12_04.xlsx&amp;sheet=U0&amp;row=785&amp;col=7&amp;number=0.00119&amp;sourceID=14","0.00119")</f>
        <v>0.00119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HYPERLINK("http://141.218.60.56/~jnz1568/getInfo.php?workbook=12_04.xlsx&amp;sheet=U0&amp;row=786&amp;col=6&amp;number=3.2&amp;sourceID=14","3.2")</f>
        <v>3.2</v>
      </c>
      <c r="G786" s="4" t="str">
        <f>HYPERLINK("http://141.218.60.56/~jnz1568/getInfo.php?workbook=12_04.xlsx&amp;sheet=U0&amp;row=786&amp;col=7&amp;number=0.00119&amp;sourceID=14","0.00119")</f>
        <v>0.00119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HYPERLINK("http://141.218.60.56/~jnz1568/getInfo.php?workbook=12_04.xlsx&amp;sheet=U0&amp;row=787&amp;col=6&amp;number=3.3&amp;sourceID=14","3.3")</f>
        <v>3.3</v>
      </c>
      <c r="G787" s="4" t="str">
        <f>HYPERLINK("http://141.218.60.56/~jnz1568/getInfo.php?workbook=12_04.xlsx&amp;sheet=U0&amp;row=787&amp;col=7&amp;number=0.00119&amp;sourceID=14","0.00119")</f>
        <v>0.00119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HYPERLINK("http://141.218.60.56/~jnz1568/getInfo.php?workbook=12_04.xlsx&amp;sheet=U0&amp;row=788&amp;col=6&amp;number=3.4&amp;sourceID=14","3.4")</f>
        <v>3.4</v>
      </c>
      <c r="G788" s="4" t="str">
        <f>HYPERLINK("http://141.218.60.56/~jnz1568/getInfo.php?workbook=12_04.xlsx&amp;sheet=U0&amp;row=788&amp;col=7&amp;number=0.00119&amp;sourceID=14","0.00119")</f>
        <v>0.00119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HYPERLINK("http://141.218.60.56/~jnz1568/getInfo.php?workbook=12_04.xlsx&amp;sheet=U0&amp;row=789&amp;col=6&amp;number=3.5&amp;sourceID=14","3.5")</f>
        <v>3.5</v>
      </c>
      <c r="G789" s="4" t="str">
        <f>HYPERLINK("http://141.218.60.56/~jnz1568/getInfo.php?workbook=12_04.xlsx&amp;sheet=U0&amp;row=789&amp;col=7&amp;number=0.0012&amp;sourceID=14","0.0012")</f>
        <v>0.0012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HYPERLINK("http://141.218.60.56/~jnz1568/getInfo.php?workbook=12_04.xlsx&amp;sheet=U0&amp;row=790&amp;col=6&amp;number=3.6&amp;sourceID=14","3.6")</f>
        <v>3.6</v>
      </c>
      <c r="G790" s="4" t="str">
        <f>HYPERLINK("http://141.218.60.56/~jnz1568/getInfo.php?workbook=12_04.xlsx&amp;sheet=U0&amp;row=790&amp;col=7&amp;number=0.0012&amp;sourceID=14","0.0012")</f>
        <v>0.0012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HYPERLINK("http://141.218.60.56/~jnz1568/getInfo.php?workbook=12_04.xlsx&amp;sheet=U0&amp;row=791&amp;col=6&amp;number=3.7&amp;sourceID=14","3.7")</f>
        <v>3.7</v>
      </c>
      <c r="G791" s="4" t="str">
        <f>HYPERLINK("http://141.218.60.56/~jnz1568/getInfo.php?workbook=12_04.xlsx&amp;sheet=U0&amp;row=791&amp;col=7&amp;number=0.0012&amp;sourceID=14","0.0012")</f>
        <v>0.0012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HYPERLINK("http://141.218.60.56/~jnz1568/getInfo.php?workbook=12_04.xlsx&amp;sheet=U0&amp;row=792&amp;col=6&amp;number=3.8&amp;sourceID=14","3.8")</f>
        <v>3.8</v>
      </c>
      <c r="G792" s="4" t="str">
        <f>HYPERLINK("http://141.218.60.56/~jnz1568/getInfo.php?workbook=12_04.xlsx&amp;sheet=U0&amp;row=792&amp;col=7&amp;number=0.0012&amp;sourceID=14","0.0012")</f>
        <v>0.0012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HYPERLINK("http://141.218.60.56/~jnz1568/getInfo.php?workbook=12_04.xlsx&amp;sheet=U0&amp;row=793&amp;col=6&amp;number=3.9&amp;sourceID=14","3.9")</f>
        <v>3.9</v>
      </c>
      <c r="G793" s="4" t="str">
        <f>HYPERLINK("http://141.218.60.56/~jnz1568/getInfo.php?workbook=12_04.xlsx&amp;sheet=U0&amp;row=793&amp;col=7&amp;number=0.00121&amp;sourceID=14","0.00121")</f>
        <v>0.00121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HYPERLINK("http://141.218.60.56/~jnz1568/getInfo.php?workbook=12_04.xlsx&amp;sheet=U0&amp;row=794&amp;col=6&amp;number=4&amp;sourceID=14","4")</f>
        <v>4</v>
      </c>
      <c r="G794" s="4" t="str">
        <f>HYPERLINK("http://141.218.60.56/~jnz1568/getInfo.php?workbook=12_04.xlsx&amp;sheet=U0&amp;row=794&amp;col=7&amp;number=0.00121&amp;sourceID=14","0.00121")</f>
        <v>0.00121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HYPERLINK("http://141.218.60.56/~jnz1568/getInfo.php?workbook=12_04.xlsx&amp;sheet=U0&amp;row=795&amp;col=6&amp;number=4.1&amp;sourceID=14","4.1")</f>
        <v>4.1</v>
      </c>
      <c r="G795" s="4" t="str">
        <f>HYPERLINK("http://141.218.60.56/~jnz1568/getInfo.php?workbook=12_04.xlsx&amp;sheet=U0&amp;row=795&amp;col=7&amp;number=0.00122&amp;sourceID=14","0.00122")</f>
        <v>0.00122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HYPERLINK("http://141.218.60.56/~jnz1568/getInfo.php?workbook=12_04.xlsx&amp;sheet=U0&amp;row=796&amp;col=6&amp;number=4.2&amp;sourceID=14","4.2")</f>
        <v>4.2</v>
      </c>
      <c r="G796" s="4" t="str">
        <f>HYPERLINK("http://141.218.60.56/~jnz1568/getInfo.php?workbook=12_04.xlsx&amp;sheet=U0&amp;row=796&amp;col=7&amp;number=0.00122&amp;sourceID=14","0.00122")</f>
        <v>0.00122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HYPERLINK("http://141.218.60.56/~jnz1568/getInfo.php?workbook=12_04.xlsx&amp;sheet=U0&amp;row=797&amp;col=6&amp;number=4.3&amp;sourceID=14","4.3")</f>
        <v>4.3</v>
      </c>
      <c r="G797" s="4" t="str">
        <f>HYPERLINK("http://141.218.60.56/~jnz1568/getInfo.php?workbook=12_04.xlsx&amp;sheet=U0&amp;row=797&amp;col=7&amp;number=0.00123&amp;sourceID=14","0.00123")</f>
        <v>0.00123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HYPERLINK("http://141.218.60.56/~jnz1568/getInfo.php?workbook=12_04.xlsx&amp;sheet=U0&amp;row=798&amp;col=6&amp;number=4.4&amp;sourceID=14","4.4")</f>
        <v>4.4</v>
      </c>
      <c r="G798" s="4" t="str">
        <f>HYPERLINK("http://141.218.60.56/~jnz1568/getInfo.php?workbook=12_04.xlsx&amp;sheet=U0&amp;row=798&amp;col=7&amp;number=0.00124&amp;sourceID=14","0.00124")</f>
        <v>0.00124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HYPERLINK("http://141.218.60.56/~jnz1568/getInfo.php?workbook=12_04.xlsx&amp;sheet=U0&amp;row=799&amp;col=6&amp;number=4.5&amp;sourceID=14","4.5")</f>
        <v>4.5</v>
      </c>
      <c r="G799" s="4" t="str">
        <f>HYPERLINK("http://141.218.60.56/~jnz1568/getInfo.php?workbook=12_04.xlsx&amp;sheet=U0&amp;row=799&amp;col=7&amp;number=0.00126&amp;sourceID=14","0.00126")</f>
        <v>0.00126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HYPERLINK("http://141.218.60.56/~jnz1568/getInfo.php?workbook=12_04.xlsx&amp;sheet=U0&amp;row=800&amp;col=6&amp;number=4.6&amp;sourceID=14","4.6")</f>
        <v>4.6</v>
      </c>
      <c r="G800" s="4" t="str">
        <f>HYPERLINK("http://141.218.60.56/~jnz1568/getInfo.php?workbook=12_04.xlsx&amp;sheet=U0&amp;row=800&amp;col=7&amp;number=0.00127&amp;sourceID=14","0.00127")</f>
        <v>0.00127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HYPERLINK("http://141.218.60.56/~jnz1568/getInfo.php?workbook=12_04.xlsx&amp;sheet=U0&amp;row=801&amp;col=6&amp;number=4.7&amp;sourceID=14","4.7")</f>
        <v>4.7</v>
      </c>
      <c r="G801" s="4" t="str">
        <f>HYPERLINK("http://141.218.60.56/~jnz1568/getInfo.php?workbook=12_04.xlsx&amp;sheet=U0&amp;row=801&amp;col=7&amp;number=0.00129&amp;sourceID=14","0.00129")</f>
        <v>0.00129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HYPERLINK("http://141.218.60.56/~jnz1568/getInfo.php?workbook=12_04.xlsx&amp;sheet=U0&amp;row=802&amp;col=6&amp;number=4.8&amp;sourceID=14","4.8")</f>
        <v>4.8</v>
      </c>
      <c r="G802" s="4" t="str">
        <f>HYPERLINK("http://141.218.60.56/~jnz1568/getInfo.php?workbook=12_04.xlsx&amp;sheet=U0&amp;row=802&amp;col=7&amp;number=0.00132&amp;sourceID=14","0.00132")</f>
        <v>0.00132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HYPERLINK("http://141.218.60.56/~jnz1568/getInfo.php?workbook=12_04.xlsx&amp;sheet=U0&amp;row=803&amp;col=6&amp;number=4.9&amp;sourceID=14","4.9")</f>
        <v>4.9</v>
      </c>
      <c r="G803" s="4" t="str">
        <f>HYPERLINK("http://141.218.60.56/~jnz1568/getInfo.php?workbook=12_04.xlsx&amp;sheet=U0&amp;row=803&amp;col=7&amp;number=0.00134&amp;sourceID=14","0.00134")</f>
        <v>0.00134</v>
      </c>
    </row>
    <row r="804" spans="1:7">
      <c r="A804" s="3">
        <v>12</v>
      </c>
      <c r="B804" s="3">
        <v>4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HYPERLINK("http://141.218.60.56/~jnz1568/getInfo.php?workbook=12_04.xlsx&amp;sheet=U0&amp;row=804&amp;col=6&amp;number=3&amp;sourceID=14","3")</f>
        <v>3</v>
      </c>
      <c r="G804" s="4" t="str">
        <f>HYPERLINK("http://141.218.60.56/~jnz1568/getInfo.php?workbook=12_04.xlsx&amp;sheet=U0&amp;row=804&amp;col=7&amp;number=0.000752&amp;sourceID=14","0.000752")</f>
        <v>0.000752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HYPERLINK("http://141.218.60.56/~jnz1568/getInfo.php?workbook=12_04.xlsx&amp;sheet=U0&amp;row=805&amp;col=6&amp;number=3.1&amp;sourceID=14","3.1")</f>
        <v>3.1</v>
      </c>
      <c r="G805" s="4" t="str">
        <f>HYPERLINK("http://141.218.60.56/~jnz1568/getInfo.php?workbook=12_04.xlsx&amp;sheet=U0&amp;row=805&amp;col=7&amp;number=0.000753&amp;sourceID=14","0.000753")</f>
        <v>0.000753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HYPERLINK("http://141.218.60.56/~jnz1568/getInfo.php?workbook=12_04.xlsx&amp;sheet=U0&amp;row=806&amp;col=6&amp;number=3.2&amp;sourceID=14","3.2")</f>
        <v>3.2</v>
      </c>
      <c r="G806" s="4" t="str">
        <f>HYPERLINK("http://141.218.60.56/~jnz1568/getInfo.php?workbook=12_04.xlsx&amp;sheet=U0&amp;row=806&amp;col=7&amp;number=0.000753&amp;sourceID=14","0.000753")</f>
        <v>0.000753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HYPERLINK("http://141.218.60.56/~jnz1568/getInfo.php?workbook=12_04.xlsx&amp;sheet=U0&amp;row=807&amp;col=6&amp;number=3.3&amp;sourceID=14","3.3")</f>
        <v>3.3</v>
      </c>
      <c r="G807" s="4" t="str">
        <f>HYPERLINK("http://141.218.60.56/~jnz1568/getInfo.php?workbook=12_04.xlsx&amp;sheet=U0&amp;row=807&amp;col=7&amp;number=0.000753&amp;sourceID=14","0.000753")</f>
        <v>0.000753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HYPERLINK("http://141.218.60.56/~jnz1568/getInfo.php?workbook=12_04.xlsx&amp;sheet=U0&amp;row=808&amp;col=6&amp;number=3.4&amp;sourceID=14","3.4")</f>
        <v>3.4</v>
      </c>
      <c r="G808" s="4" t="str">
        <f>HYPERLINK("http://141.218.60.56/~jnz1568/getInfo.php?workbook=12_04.xlsx&amp;sheet=U0&amp;row=808&amp;col=7&amp;number=0.000754&amp;sourceID=14","0.000754")</f>
        <v>0.000754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HYPERLINK("http://141.218.60.56/~jnz1568/getInfo.php?workbook=12_04.xlsx&amp;sheet=U0&amp;row=809&amp;col=6&amp;number=3.5&amp;sourceID=14","3.5")</f>
        <v>3.5</v>
      </c>
      <c r="G809" s="4" t="str">
        <f>HYPERLINK("http://141.218.60.56/~jnz1568/getInfo.php?workbook=12_04.xlsx&amp;sheet=U0&amp;row=809&amp;col=7&amp;number=0.000755&amp;sourceID=14","0.000755")</f>
        <v>0.000755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HYPERLINK("http://141.218.60.56/~jnz1568/getInfo.php?workbook=12_04.xlsx&amp;sheet=U0&amp;row=810&amp;col=6&amp;number=3.6&amp;sourceID=14","3.6")</f>
        <v>3.6</v>
      </c>
      <c r="G810" s="4" t="str">
        <f>HYPERLINK("http://141.218.60.56/~jnz1568/getInfo.php?workbook=12_04.xlsx&amp;sheet=U0&amp;row=810&amp;col=7&amp;number=0.000755&amp;sourceID=14","0.000755")</f>
        <v>0.000755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HYPERLINK("http://141.218.60.56/~jnz1568/getInfo.php?workbook=12_04.xlsx&amp;sheet=U0&amp;row=811&amp;col=6&amp;number=3.7&amp;sourceID=14","3.7")</f>
        <v>3.7</v>
      </c>
      <c r="G811" s="4" t="str">
        <f>HYPERLINK("http://141.218.60.56/~jnz1568/getInfo.php?workbook=12_04.xlsx&amp;sheet=U0&amp;row=811&amp;col=7&amp;number=0.000756&amp;sourceID=14","0.000756")</f>
        <v>0.000756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HYPERLINK("http://141.218.60.56/~jnz1568/getInfo.php?workbook=12_04.xlsx&amp;sheet=U0&amp;row=812&amp;col=6&amp;number=3.8&amp;sourceID=14","3.8")</f>
        <v>3.8</v>
      </c>
      <c r="G812" s="4" t="str">
        <f>HYPERLINK("http://141.218.60.56/~jnz1568/getInfo.php?workbook=12_04.xlsx&amp;sheet=U0&amp;row=812&amp;col=7&amp;number=0.000758&amp;sourceID=14","0.000758")</f>
        <v>0.000758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HYPERLINK("http://141.218.60.56/~jnz1568/getInfo.php?workbook=12_04.xlsx&amp;sheet=U0&amp;row=813&amp;col=6&amp;number=3.9&amp;sourceID=14","3.9")</f>
        <v>3.9</v>
      </c>
      <c r="G813" s="4" t="str">
        <f>HYPERLINK("http://141.218.60.56/~jnz1568/getInfo.php?workbook=12_04.xlsx&amp;sheet=U0&amp;row=813&amp;col=7&amp;number=0.000759&amp;sourceID=14","0.000759")</f>
        <v>0.000759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HYPERLINK("http://141.218.60.56/~jnz1568/getInfo.php?workbook=12_04.xlsx&amp;sheet=U0&amp;row=814&amp;col=6&amp;number=4&amp;sourceID=14","4")</f>
        <v>4</v>
      </c>
      <c r="G814" s="4" t="str">
        <f>HYPERLINK("http://141.218.60.56/~jnz1568/getInfo.php?workbook=12_04.xlsx&amp;sheet=U0&amp;row=814&amp;col=7&amp;number=0.000761&amp;sourceID=14","0.000761")</f>
        <v>0.000761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HYPERLINK("http://141.218.60.56/~jnz1568/getInfo.php?workbook=12_04.xlsx&amp;sheet=U0&amp;row=815&amp;col=6&amp;number=4.1&amp;sourceID=14","4.1")</f>
        <v>4.1</v>
      </c>
      <c r="G815" s="4" t="str">
        <f>HYPERLINK("http://141.218.60.56/~jnz1568/getInfo.php?workbook=12_04.xlsx&amp;sheet=U0&amp;row=815&amp;col=7&amp;number=0.000764&amp;sourceID=14","0.000764")</f>
        <v>0.000764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HYPERLINK("http://141.218.60.56/~jnz1568/getInfo.php?workbook=12_04.xlsx&amp;sheet=U0&amp;row=816&amp;col=6&amp;number=4.2&amp;sourceID=14","4.2")</f>
        <v>4.2</v>
      </c>
      <c r="G816" s="4" t="str">
        <f>HYPERLINK("http://141.218.60.56/~jnz1568/getInfo.php?workbook=12_04.xlsx&amp;sheet=U0&amp;row=816&amp;col=7&amp;number=0.000767&amp;sourceID=14","0.000767")</f>
        <v>0.000767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HYPERLINK("http://141.218.60.56/~jnz1568/getInfo.php?workbook=12_04.xlsx&amp;sheet=U0&amp;row=817&amp;col=6&amp;number=4.3&amp;sourceID=14","4.3")</f>
        <v>4.3</v>
      </c>
      <c r="G817" s="4" t="str">
        <f>HYPERLINK("http://141.218.60.56/~jnz1568/getInfo.php?workbook=12_04.xlsx&amp;sheet=U0&amp;row=817&amp;col=7&amp;number=0.000771&amp;sourceID=14","0.000771")</f>
        <v>0.000771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HYPERLINK("http://141.218.60.56/~jnz1568/getInfo.php?workbook=12_04.xlsx&amp;sheet=U0&amp;row=818&amp;col=6&amp;number=4.4&amp;sourceID=14","4.4")</f>
        <v>4.4</v>
      </c>
      <c r="G818" s="4" t="str">
        <f>HYPERLINK("http://141.218.60.56/~jnz1568/getInfo.php?workbook=12_04.xlsx&amp;sheet=U0&amp;row=818&amp;col=7&amp;number=0.000776&amp;sourceID=14","0.000776")</f>
        <v>0.000776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HYPERLINK("http://141.218.60.56/~jnz1568/getInfo.php?workbook=12_04.xlsx&amp;sheet=U0&amp;row=819&amp;col=6&amp;number=4.5&amp;sourceID=14","4.5")</f>
        <v>4.5</v>
      </c>
      <c r="G819" s="4" t="str">
        <f>HYPERLINK("http://141.218.60.56/~jnz1568/getInfo.php?workbook=12_04.xlsx&amp;sheet=U0&amp;row=819&amp;col=7&amp;number=0.000782&amp;sourceID=14","0.000782")</f>
        <v>0.000782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HYPERLINK("http://141.218.60.56/~jnz1568/getInfo.php?workbook=12_04.xlsx&amp;sheet=U0&amp;row=820&amp;col=6&amp;number=4.6&amp;sourceID=14","4.6")</f>
        <v>4.6</v>
      </c>
      <c r="G820" s="4" t="str">
        <f>HYPERLINK("http://141.218.60.56/~jnz1568/getInfo.php?workbook=12_04.xlsx&amp;sheet=U0&amp;row=820&amp;col=7&amp;number=0.000789&amp;sourceID=14","0.000789")</f>
        <v>0.000789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HYPERLINK("http://141.218.60.56/~jnz1568/getInfo.php?workbook=12_04.xlsx&amp;sheet=U0&amp;row=821&amp;col=6&amp;number=4.7&amp;sourceID=14","4.7")</f>
        <v>4.7</v>
      </c>
      <c r="G821" s="4" t="str">
        <f>HYPERLINK("http://141.218.60.56/~jnz1568/getInfo.php?workbook=12_04.xlsx&amp;sheet=U0&amp;row=821&amp;col=7&amp;number=0.000798&amp;sourceID=14","0.000798")</f>
        <v>0.000798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HYPERLINK("http://141.218.60.56/~jnz1568/getInfo.php?workbook=12_04.xlsx&amp;sheet=U0&amp;row=822&amp;col=6&amp;number=4.8&amp;sourceID=14","4.8")</f>
        <v>4.8</v>
      </c>
      <c r="G822" s="4" t="str">
        <f>HYPERLINK("http://141.218.60.56/~jnz1568/getInfo.php?workbook=12_04.xlsx&amp;sheet=U0&amp;row=822&amp;col=7&amp;number=0.000809&amp;sourceID=14","0.000809")</f>
        <v>0.000809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HYPERLINK("http://141.218.60.56/~jnz1568/getInfo.php?workbook=12_04.xlsx&amp;sheet=U0&amp;row=823&amp;col=6&amp;number=4.9&amp;sourceID=14","4.9")</f>
        <v>4.9</v>
      </c>
      <c r="G823" s="4" t="str">
        <f>HYPERLINK("http://141.218.60.56/~jnz1568/getInfo.php?workbook=12_04.xlsx&amp;sheet=U0&amp;row=823&amp;col=7&amp;number=0.000822&amp;sourceID=14","0.000822")</f>
        <v>0.000822</v>
      </c>
    </row>
    <row r="824" spans="1:7">
      <c r="A824" s="3">
        <v>12</v>
      </c>
      <c r="B824" s="3">
        <v>4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HYPERLINK("http://141.218.60.56/~jnz1568/getInfo.php?workbook=12_04.xlsx&amp;sheet=U0&amp;row=824&amp;col=6&amp;number=3&amp;sourceID=14","3")</f>
        <v>3</v>
      </c>
      <c r="G824" s="4" t="str">
        <f>HYPERLINK("http://141.218.60.56/~jnz1568/getInfo.php?workbook=12_04.xlsx&amp;sheet=U0&amp;row=824&amp;col=7&amp;number=0.000245&amp;sourceID=14","0.000245")</f>
        <v>0.000245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HYPERLINK("http://141.218.60.56/~jnz1568/getInfo.php?workbook=12_04.xlsx&amp;sheet=U0&amp;row=825&amp;col=6&amp;number=3.1&amp;sourceID=14","3.1")</f>
        <v>3.1</v>
      </c>
      <c r="G825" s="4" t="str">
        <f>HYPERLINK("http://141.218.60.56/~jnz1568/getInfo.php?workbook=12_04.xlsx&amp;sheet=U0&amp;row=825&amp;col=7&amp;number=0.000245&amp;sourceID=14","0.000245")</f>
        <v>0.000245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HYPERLINK("http://141.218.60.56/~jnz1568/getInfo.php?workbook=12_04.xlsx&amp;sheet=U0&amp;row=826&amp;col=6&amp;number=3.2&amp;sourceID=14","3.2")</f>
        <v>3.2</v>
      </c>
      <c r="G826" s="4" t="str">
        <f>HYPERLINK("http://141.218.60.56/~jnz1568/getInfo.php?workbook=12_04.xlsx&amp;sheet=U0&amp;row=826&amp;col=7&amp;number=0.000245&amp;sourceID=14","0.000245")</f>
        <v>0.000245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HYPERLINK("http://141.218.60.56/~jnz1568/getInfo.php?workbook=12_04.xlsx&amp;sheet=U0&amp;row=827&amp;col=6&amp;number=3.3&amp;sourceID=14","3.3")</f>
        <v>3.3</v>
      </c>
      <c r="G827" s="4" t="str">
        <f>HYPERLINK("http://141.218.60.56/~jnz1568/getInfo.php?workbook=12_04.xlsx&amp;sheet=U0&amp;row=827&amp;col=7&amp;number=0.000245&amp;sourceID=14","0.000245")</f>
        <v>0.000245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HYPERLINK("http://141.218.60.56/~jnz1568/getInfo.php?workbook=12_04.xlsx&amp;sheet=U0&amp;row=828&amp;col=6&amp;number=3.4&amp;sourceID=14","3.4")</f>
        <v>3.4</v>
      </c>
      <c r="G828" s="4" t="str">
        <f>HYPERLINK("http://141.218.60.56/~jnz1568/getInfo.php?workbook=12_04.xlsx&amp;sheet=U0&amp;row=828&amp;col=7&amp;number=0.000246&amp;sourceID=14","0.000246")</f>
        <v>0.000246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HYPERLINK("http://141.218.60.56/~jnz1568/getInfo.php?workbook=12_04.xlsx&amp;sheet=U0&amp;row=829&amp;col=6&amp;number=3.5&amp;sourceID=14","3.5")</f>
        <v>3.5</v>
      </c>
      <c r="G829" s="4" t="str">
        <f>HYPERLINK("http://141.218.60.56/~jnz1568/getInfo.php?workbook=12_04.xlsx&amp;sheet=U0&amp;row=829&amp;col=7&amp;number=0.000246&amp;sourceID=14","0.000246")</f>
        <v>0.000246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HYPERLINK("http://141.218.60.56/~jnz1568/getInfo.php?workbook=12_04.xlsx&amp;sheet=U0&amp;row=830&amp;col=6&amp;number=3.6&amp;sourceID=14","3.6")</f>
        <v>3.6</v>
      </c>
      <c r="G830" s="4" t="str">
        <f>HYPERLINK("http://141.218.60.56/~jnz1568/getInfo.php?workbook=12_04.xlsx&amp;sheet=U0&amp;row=830&amp;col=7&amp;number=0.000246&amp;sourceID=14","0.000246")</f>
        <v>0.000246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HYPERLINK("http://141.218.60.56/~jnz1568/getInfo.php?workbook=12_04.xlsx&amp;sheet=U0&amp;row=831&amp;col=6&amp;number=3.7&amp;sourceID=14","3.7")</f>
        <v>3.7</v>
      </c>
      <c r="G831" s="4" t="str">
        <f>HYPERLINK("http://141.218.60.56/~jnz1568/getInfo.php?workbook=12_04.xlsx&amp;sheet=U0&amp;row=831&amp;col=7&amp;number=0.000247&amp;sourceID=14","0.000247")</f>
        <v>0.000247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HYPERLINK("http://141.218.60.56/~jnz1568/getInfo.php?workbook=12_04.xlsx&amp;sheet=U0&amp;row=832&amp;col=6&amp;number=3.8&amp;sourceID=14","3.8")</f>
        <v>3.8</v>
      </c>
      <c r="G832" s="4" t="str">
        <f>HYPERLINK("http://141.218.60.56/~jnz1568/getInfo.php?workbook=12_04.xlsx&amp;sheet=U0&amp;row=832&amp;col=7&amp;number=0.000247&amp;sourceID=14","0.000247")</f>
        <v>0.000247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HYPERLINK("http://141.218.60.56/~jnz1568/getInfo.php?workbook=12_04.xlsx&amp;sheet=U0&amp;row=833&amp;col=6&amp;number=3.9&amp;sourceID=14","3.9")</f>
        <v>3.9</v>
      </c>
      <c r="G833" s="4" t="str">
        <f>HYPERLINK("http://141.218.60.56/~jnz1568/getInfo.php?workbook=12_04.xlsx&amp;sheet=U0&amp;row=833&amp;col=7&amp;number=0.000248&amp;sourceID=14","0.000248")</f>
        <v>0.000248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HYPERLINK("http://141.218.60.56/~jnz1568/getInfo.php?workbook=12_04.xlsx&amp;sheet=U0&amp;row=834&amp;col=6&amp;number=4&amp;sourceID=14","4")</f>
        <v>4</v>
      </c>
      <c r="G834" s="4" t="str">
        <f>HYPERLINK("http://141.218.60.56/~jnz1568/getInfo.php?workbook=12_04.xlsx&amp;sheet=U0&amp;row=834&amp;col=7&amp;number=0.000249&amp;sourceID=14","0.000249")</f>
        <v>0.000249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HYPERLINK("http://141.218.60.56/~jnz1568/getInfo.php?workbook=12_04.xlsx&amp;sheet=U0&amp;row=835&amp;col=6&amp;number=4.1&amp;sourceID=14","4.1")</f>
        <v>4.1</v>
      </c>
      <c r="G835" s="4" t="str">
        <f>HYPERLINK("http://141.218.60.56/~jnz1568/getInfo.php?workbook=12_04.xlsx&amp;sheet=U0&amp;row=835&amp;col=7&amp;number=0.00025&amp;sourceID=14","0.00025")</f>
        <v>0.00025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HYPERLINK("http://141.218.60.56/~jnz1568/getInfo.php?workbook=12_04.xlsx&amp;sheet=U0&amp;row=836&amp;col=6&amp;number=4.2&amp;sourceID=14","4.2")</f>
        <v>4.2</v>
      </c>
      <c r="G836" s="4" t="str">
        <f>HYPERLINK("http://141.218.60.56/~jnz1568/getInfo.php?workbook=12_04.xlsx&amp;sheet=U0&amp;row=836&amp;col=7&amp;number=0.000251&amp;sourceID=14","0.000251")</f>
        <v>0.000251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HYPERLINK("http://141.218.60.56/~jnz1568/getInfo.php?workbook=12_04.xlsx&amp;sheet=U0&amp;row=837&amp;col=6&amp;number=4.3&amp;sourceID=14","4.3")</f>
        <v>4.3</v>
      </c>
      <c r="G837" s="4" t="str">
        <f>HYPERLINK("http://141.218.60.56/~jnz1568/getInfo.php?workbook=12_04.xlsx&amp;sheet=U0&amp;row=837&amp;col=7&amp;number=0.000253&amp;sourceID=14","0.000253")</f>
        <v>0.000253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HYPERLINK("http://141.218.60.56/~jnz1568/getInfo.php?workbook=12_04.xlsx&amp;sheet=U0&amp;row=838&amp;col=6&amp;number=4.4&amp;sourceID=14","4.4")</f>
        <v>4.4</v>
      </c>
      <c r="G838" s="4" t="str">
        <f>HYPERLINK("http://141.218.60.56/~jnz1568/getInfo.php?workbook=12_04.xlsx&amp;sheet=U0&amp;row=838&amp;col=7&amp;number=0.000255&amp;sourceID=14","0.000255")</f>
        <v>0.000255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HYPERLINK("http://141.218.60.56/~jnz1568/getInfo.php?workbook=12_04.xlsx&amp;sheet=U0&amp;row=839&amp;col=6&amp;number=4.5&amp;sourceID=14","4.5")</f>
        <v>4.5</v>
      </c>
      <c r="G839" s="4" t="str">
        <f>HYPERLINK("http://141.218.60.56/~jnz1568/getInfo.php?workbook=12_04.xlsx&amp;sheet=U0&amp;row=839&amp;col=7&amp;number=0.000258&amp;sourceID=14","0.000258")</f>
        <v>0.000258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HYPERLINK("http://141.218.60.56/~jnz1568/getInfo.php?workbook=12_04.xlsx&amp;sheet=U0&amp;row=840&amp;col=6&amp;number=4.6&amp;sourceID=14","4.6")</f>
        <v>4.6</v>
      </c>
      <c r="G840" s="4" t="str">
        <f>HYPERLINK("http://141.218.60.56/~jnz1568/getInfo.php?workbook=12_04.xlsx&amp;sheet=U0&amp;row=840&amp;col=7&amp;number=0.000261&amp;sourceID=14","0.000261")</f>
        <v>0.000261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HYPERLINK("http://141.218.60.56/~jnz1568/getInfo.php?workbook=12_04.xlsx&amp;sheet=U0&amp;row=841&amp;col=6&amp;number=4.7&amp;sourceID=14","4.7")</f>
        <v>4.7</v>
      </c>
      <c r="G841" s="4" t="str">
        <f>HYPERLINK("http://141.218.60.56/~jnz1568/getInfo.php?workbook=12_04.xlsx&amp;sheet=U0&amp;row=841&amp;col=7&amp;number=0.000265&amp;sourceID=14","0.000265")</f>
        <v>0.000265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HYPERLINK("http://141.218.60.56/~jnz1568/getInfo.php?workbook=12_04.xlsx&amp;sheet=U0&amp;row=842&amp;col=6&amp;number=4.8&amp;sourceID=14","4.8")</f>
        <v>4.8</v>
      </c>
      <c r="G842" s="4" t="str">
        <f>HYPERLINK("http://141.218.60.56/~jnz1568/getInfo.php?workbook=12_04.xlsx&amp;sheet=U0&amp;row=842&amp;col=7&amp;number=0.000269&amp;sourceID=14","0.000269")</f>
        <v>0.000269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HYPERLINK("http://141.218.60.56/~jnz1568/getInfo.php?workbook=12_04.xlsx&amp;sheet=U0&amp;row=843&amp;col=6&amp;number=4.9&amp;sourceID=14","4.9")</f>
        <v>4.9</v>
      </c>
      <c r="G843" s="4" t="str">
        <f>HYPERLINK("http://141.218.60.56/~jnz1568/getInfo.php?workbook=12_04.xlsx&amp;sheet=U0&amp;row=843&amp;col=7&amp;number=0.000273&amp;sourceID=14","0.000273")</f>
        <v>0.000273</v>
      </c>
    </row>
    <row r="844" spans="1:7">
      <c r="A844" s="3">
        <v>12</v>
      </c>
      <c r="B844" s="3">
        <v>4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HYPERLINK("http://141.218.60.56/~jnz1568/getInfo.php?workbook=12_04.xlsx&amp;sheet=U0&amp;row=844&amp;col=6&amp;number=3&amp;sourceID=14","3")</f>
        <v>3</v>
      </c>
      <c r="G844" s="4" t="str">
        <f>HYPERLINK("http://141.218.60.56/~jnz1568/getInfo.php?workbook=12_04.xlsx&amp;sheet=U0&amp;row=844&amp;col=7&amp;number=0.00618&amp;sourceID=14","0.00618")</f>
        <v>0.00618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HYPERLINK("http://141.218.60.56/~jnz1568/getInfo.php?workbook=12_04.xlsx&amp;sheet=U0&amp;row=845&amp;col=6&amp;number=3.1&amp;sourceID=14","3.1")</f>
        <v>3.1</v>
      </c>
      <c r="G845" s="4" t="str">
        <f>HYPERLINK("http://141.218.60.56/~jnz1568/getInfo.php?workbook=12_04.xlsx&amp;sheet=U0&amp;row=845&amp;col=7&amp;number=0.00617&amp;sourceID=14","0.00617")</f>
        <v>0.00617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HYPERLINK("http://141.218.60.56/~jnz1568/getInfo.php?workbook=12_04.xlsx&amp;sheet=U0&amp;row=846&amp;col=6&amp;number=3.2&amp;sourceID=14","3.2")</f>
        <v>3.2</v>
      </c>
      <c r="G846" s="4" t="str">
        <f>HYPERLINK("http://141.218.60.56/~jnz1568/getInfo.php?workbook=12_04.xlsx&amp;sheet=U0&amp;row=846&amp;col=7&amp;number=0.00615&amp;sourceID=14","0.00615")</f>
        <v>0.00615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HYPERLINK("http://141.218.60.56/~jnz1568/getInfo.php?workbook=12_04.xlsx&amp;sheet=U0&amp;row=847&amp;col=6&amp;number=3.3&amp;sourceID=14","3.3")</f>
        <v>3.3</v>
      </c>
      <c r="G847" s="4" t="str">
        <f>HYPERLINK("http://141.218.60.56/~jnz1568/getInfo.php?workbook=12_04.xlsx&amp;sheet=U0&amp;row=847&amp;col=7&amp;number=0.00612&amp;sourceID=14","0.00612")</f>
        <v>0.00612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HYPERLINK("http://141.218.60.56/~jnz1568/getInfo.php?workbook=12_04.xlsx&amp;sheet=U0&amp;row=848&amp;col=6&amp;number=3.4&amp;sourceID=14","3.4")</f>
        <v>3.4</v>
      </c>
      <c r="G848" s="4" t="str">
        <f>HYPERLINK("http://141.218.60.56/~jnz1568/getInfo.php?workbook=12_04.xlsx&amp;sheet=U0&amp;row=848&amp;col=7&amp;number=0.00609&amp;sourceID=14","0.00609")</f>
        <v>0.00609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HYPERLINK("http://141.218.60.56/~jnz1568/getInfo.php?workbook=12_04.xlsx&amp;sheet=U0&amp;row=849&amp;col=6&amp;number=3.5&amp;sourceID=14","3.5")</f>
        <v>3.5</v>
      </c>
      <c r="G849" s="4" t="str">
        <f>HYPERLINK("http://141.218.60.56/~jnz1568/getInfo.php?workbook=12_04.xlsx&amp;sheet=U0&amp;row=849&amp;col=7&amp;number=0.00605&amp;sourceID=14","0.00605")</f>
        <v>0.00605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HYPERLINK("http://141.218.60.56/~jnz1568/getInfo.php?workbook=12_04.xlsx&amp;sheet=U0&amp;row=850&amp;col=6&amp;number=3.6&amp;sourceID=14","3.6")</f>
        <v>3.6</v>
      </c>
      <c r="G850" s="4" t="str">
        <f>HYPERLINK("http://141.218.60.56/~jnz1568/getInfo.php?workbook=12_04.xlsx&amp;sheet=U0&amp;row=850&amp;col=7&amp;number=0.006&amp;sourceID=14","0.006")</f>
        <v>0.006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HYPERLINK("http://141.218.60.56/~jnz1568/getInfo.php?workbook=12_04.xlsx&amp;sheet=U0&amp;row=851&amp;col=6&amp;number=3.7&amp;sourceID=14","3.7")</f>
        <v>3.7</v>
      </c>
      <c r="G851" s="4" t="str">
        <f>HYPERLINK("http://141.218.60.56/~jnz1568/getInfo.php?workbook=12_04.xlsx&amp;sheet=U0&amp;row=851&amp;col=7&amp;number=0.00594&amp;sourceID=14","0.00594")</f>
        <v>0.00594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HYPERLINK("http://141.218.60.56/~jnz1568/getInfo.php?workbook=12_04.xlsx&amp;sheet=U0&amp;row=852&amp;col=6&amp;number=3.8&amp;sourceID=14","3.8")</f>
        <v>3.8</v>
      </c>
      <c r="G852" s="4" t="str">
        <f>HYPERLINK("http://141.218.60.56/~jnz1568/getInfo.php?workbook=12_04.xlsx&amp;sheet=U0&amp;row=852&amp;col=7&amp;number=0.00586&amp;sourceID=14","0.00586")</f>
        <v>0.00586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HYPERLINK("http://141.218.60.56/~jnz1568/getInfo.php?workbook=12_04.xlsx&amp;sheet=U0&amp;row=853&amp;col=6&amp;number=3.9&amp;sourceID=14","3.9")</f>
        <v>3.9</v>
      </c>
      <c r="G853" s="4" t="str">
        <f>HYPERLINK("http://141.218.60.56/~jnz1568/getInfo.php?workbook=12_04.xlsx&amp;sheet=U0&amp;row=853&amp;col=7&amp;number=0.00577&amp;sourceID=14","0.00577")</f>
        <v>0.00577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HYPERLINK("http://141.218.60.56/~jnz1568/getInfo.php?workbook=12_04.xlsx&amp;sheet=U0&amp;row=854&amp;col=6&amp;number=4&amp;sourceID=14","4")</f>
        <v>4</v>
      </c>
      <c r="G854" s="4" t="str">
        <f>HYPERLINK("http://141.218.60.56/~jnz1568/getInfo.php?workbook=12_04.xlsx&amp;sheet=U0&amp;row=854&amp;col=7&amp;number=0.00564&amp;sourceID=14","0.00564")</f>
        <v>0.00564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HYPERLINK("http://141.218.60.56/~jnz1568/getInfo.php?workbook=12_04.xlsx&amp;sheet=U0&amp;row=855&amp;col=6&amp;number=4.1&amp;sourceID=14","4.1")</f>
        <v>4.1</v>
      </c>
      <c r="G855" s="4" t="str">
        <f>HYPERLINK("http://141.218.60.56/~jnz1568/getInfo.php?workbook=12_04.xlsx&amp;sheet=U0&amp;row=855&amp;col=7&amp;number=0.0055&amp;sourceID=14","0.0055")</f>
        <v>0.0055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HYPERLINK("http://141.218.60.56/~jnz1568/getInfo.php?workbook=12_04.xlsx&amp;sheet=U0&amp;row=856&amp;col=6&amp;number=4.2&amp;sourceID=14","4.2")</f>
        <v>4.2</v>
      </c>
      <c r="G856" s="4" t="str">
        <f>HYPERLINK("http://141.218.60.56/~jnz1568/getInfo.php?workbook=12_04.xlsx&amp;sheet=U0&amp;row=856&amp;col=7&amp;number=0.00531&amp;sourceID=14","0.00531")</f>
        <v>0.00531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HYPERLINK("http://141.218.60.56/~jnz1568/getInfo.php?workbook=12_04.xlsx&amp;sheet=U0&amp;row=857&amp;col=6&amp;number=4.3&amp;sourceID=14","4.3")</f>
        <v>4.3</v>
      </c>
      <c r="G857" s="4" t="str">
        <f>HYPERLINK("http://141.218.60.56/~jnz1568/getInfo.php?workbook=12_04.xlsx&amp;sheet=U0&amp;row=857&amp;col=7&amp;number=0.00508&amp;sourceID=14","0.00508")</f>
        <v>0.00508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HYPERLINK("http://141.218.60.56/~jnz1568/getInfo.php?workbook=12_04.xlsx&amp;sheet=U0&amp;row=858&amp;col=6&amp;number=4.4&amp;sourceID=14","4.4")</f>
        <v>4.4</v>
      </c>
      <c r="G858" s="4" t="str">
        <f>HYPERLINK("http://141.218.60.56/~jnz1568/getInfo.php?workbook=12_04.xlsx&amp;sheet=U0&amp;row=858&amp;col=7&amp;number=0.00481&amp;sourceID=14","0.00481")</f>
        <v>0.00481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HYPERLINK("http://141.218.60.56/~jnz1568/getInfo.php?workbook=12_04.xlsx&amp;sheet=U0&amp;row=859&amp;col=6&amp;number=4.5&amp;sourceID=14","4.5")</f>
        <v>4.5</v>
      </c>
      <c r="G859" s="4" t="str">
        <f>HYPERLINK("http://141.218.60.56/~jnz1568/getInfo.php?workbook=12_04.xlsx&amp;sheet=U0&amp;row=859&amp;col=7&amp;number=0.00448&amp;sourceID=14","0.00448")</f>
        <v>0.00448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HYPERLINK("http://141.218.60.56/~jnz1568/getInfo.php?workbook=12_04.xlsx&amp;sheet=U0&amp;row=860&amp;col=6&amp;number=4.6&amp;sourceID=14","4.6")</f>
        <v>4.6</v>
      </c>
      <c r="G860" s="4" t="str">
        <f>HYPERLINK("http://141.218.60.56/~jnz1568/getInfo.php?workbook=12_04.xlsx&amp;sheet=U0&amp;row=860&amp;col=7&amp;number=0.00409&amp;sourceID=14","0.00409")</f>
        <v>0.00409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HYPERLINK("http://141.218.60.56/~jnz1568/getInfo.php?workbook=12_04.xlsx&amp;sheet=U0&amp;row=861&amp;col=6&amp;number=4.7&amp;sourceID=14","4.7")</f>
        <v>4.7</v>
      </c>
      <c r="G861" s="4" t="str">
        <f>HYPERLINK("http://141.218.60.56/~jnz1568/getInfo.php?workbook=12_04.xlsx&amp;sheet=U0&amp;row=861&amp;col=7&amp;number=0.00366&amp;sourceID=14","0.00366")</f>
        <v>0.00366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HYPERLINK("http://141.218.60.56/~jnz1568/getInfo.php?workbook=12_04.xlsx&amp;sheet=U0&amp;row=862&amp;col=6&amp;number=4.8&amp;sourceID=14","4.8")</f>
        <v>4.8</v>
      </c>
      <c r="G862" s="4" t="str">
        <f>HYPERLINK("http://141.218.60.56/~jnz1568/getInfo.php?workbook=12_04.xlsx&amp;sheet=U0&amp;row=862&amp;col=7&amp;number=0.00321&amp;sourceID=14","0.00321")</f>
        <v>0.00321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HYPERLINK("http://141.218.60.56/~jnz1568/getInfo.php?workbook=12_04.xlsx&amp;sheet=U0&amp;row=863&amp;col=6&amp;number=4.9&amp;sourceID=14","4.9")</f>
        <v>4.9</v>
      </c>
      <c r="G863" s="4" t="str">
        <f>HYPERLINK("http://141.218.60.56/~jnz1568/getInfo.php?workbook=12_04.xlsx&amp;sheet=U0&amp;row=863&amp;col=7&amp;number=0.00278&amp;sourceID=14","0.00278")</f>
        <v>0.00278</v>
      </c>
    </row>
    <row r="864" spans="1:7">
      <c r="A864" s="3">
        <v>12</v>
      </c>
      <c r="B864" s="3">
        <v>4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HYPERLINK("http://141.218.60.56/~jnz1568/getInfo.php?workbook=12_04.xlsx&amp;sheet=U0&amp;row=864&amp;col=6&amp;number=3&amp;sourceID=14","3")</f>
        <v>3</v>
      </c>
      <c r="G864" s="4" t="str">
        <f>HYPERLINK("http://141.218.60.56/~jnz1568/getInfo.php?workbook=12_04.xlsx&amp;sheet=U0&amp;row=864&amp;col=7&amp;number=0.00115&amp;sourceID=14","0.00115")</f>
        <v>0.00115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HYPERLINK("http://141.218.60.56/~jnz1568/getInfo.php?workbook=12_04.xlsx&amp;sheet=U0&amp;row=865&amp;col=6&amp;number=3.1&amp;sourceID=14","3.1")</f>
        <v>3.1</v>
      </c>
      <c r="G865" s="4" t="str">
        <f>HYPERLINK("http://141.218.60.56/~jnz1568/getInfo.php?workbook=12_04.xlsx&amp;sheet=U0&amp;row=865&amp;col=7&amp;number=0.00115&amp;sourceID=14","0.00115")</f>
        <v>0.00115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HYPERLINK("http://141.218.60.56/~jnz1568/getInfo.php?workbook=12_04.xlsx&amp;sheet=U0&amp;row=866&amp;col=6&amp;number=3.2&amp;sourceID=14","3.2")</f>
        <v>3.2</v>
      </c>
      <c r="G866" s="4" t="str">
        <f>HYPERLINK("http://141.218.60.56/~jnz1568/getInfo.php?workbook=12_04.xlsx&amp;sheet=U0&amp;row=866&amp;col=7&amp;number=0.00115&amp;sourceID=14","0.00115")</f>
        <v>0.00115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HYPERLINK("http://141.218.60.56/~jnz1568/getInfo.php?workbook=12_04.xlsx&amp;sheet=U0&amp;row=867&amp;col=6&amp;number=3.3&amp;sourceID=14","3.3")</f>
        <v>3.3</v>
      </c>
      <c r="G867" s="4" t="str">
        <f>HYPERLINK("http://141.218.60.56/~jnz1568/getInfo.php?workbook=12_04.xlsx&amp;sheet=U0&amp;row=867&amp;col=7&amp;number=0.00116&amp;sourceID=14","0.00116")</f>
        <v>0.00116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HYPERLINK("http://141.218.60.56/~jnz1568/getInfo.php?workbook=12_04.xlsx&amp;sheet=U0&amp;row=868&amp;col=6&amp;number=3.4&amp;sourceID=14","3.4")</f>
        <v>3.4</v>
      </c>
      <c r="G868" s="4" t="str">
        <f>HYPERLINK("http://141.218.60.56/~jnz1568/getInfo.php?workbook=12_04.xlsx&amp;sheet=U0&amp;row=868&amp;col=7&amp;number=0.00116&amp;sourceID=14","0.00116")</f>
        <v>0.00116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HYPERLINK("http://141.218.60.56/~jnz1568/getInfo.php?workbook=12_04.xlsx&amp;sheet=U0&amp;row=869&amp;col=6&amp;number=3.5&amp;sourceID=14","3.5")</f>
        <v>3.5</v>
      </c>
      <c r="G869" s="4" t="str">
        <f>HYPERLINK("http://141.218.60.56/~jnz1568/getInfo.php?workbook=12_04.xlsx&amp;sheet=U0&amp;row=869&amp;col=7&amp;number=0.00117&amp;sourceID=14","0.00117")</f>
        <v>0.00117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HYPERLINK("http://141.218.60.56/~jnz1568/getInfo.php?workbook=12_04.xlsx&amp;sheet=U0&amp;row=870&amp;col=6&amp;number=3.6&amp;sourceID=14","3.6")</f>
        <v>3.6</v>
      </c>
      <c r="G870" s="4" t="str">
        <f>HYPERLINK("http://141.218.60.56/~jnz1568/getInfo.php?workbook=12_04.xlsx&amp;sheet=U0&amp;row=870&amp;col=7&amp;number=0.00118&amp;sourceID=14","0.00118")</f>
        <v>0.00118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HYPERLINK("http://141.218.60.56/~jnz1568/getInfo.php?workbook=12_04.xlsx&amp;sheet=U0&amp;row=871&amp;col=6&amp;number=3.7&amp;sourceID=14","3.7")</f>
        <v>3.7</v>
      </c>
      <c r="G871" s="4" t="str">
        <f>HYPERLINK("http://141.218.60.56/~jnz1568/getInfo.php?workbook=12_04.xlsx&amp;sheet=U0&amp;row=871&amp;col=7&amp;number=0.00119&amp;sourceID=14","0.00119")</f>
        <v>0.00119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HYPERLINK("http://141.218.60.56/~jnz1568/getInfo.php?workbook=12_04.xlsx&amp;sheet=U0&amp;row=872&amp;col=6&amp;number=3.8&amp;sourceID=14","3.8")</f>
        <v>3.8</v>
      </c>
      <c r="G872" s="4" t="str">
        <f>HYPERLINK("http://141.218.60.56/~jnz1568/getInfo.php?workbook=12_04.xlsx&amp;sheet=U0&amp;row=872&amp;col=7&amp;number=0.00121&amp;sourceID=14","0.00121")</f>
        <v>0.00121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HYPERLINK("http://141.218.60.56/~jnz1568/getInfo.php?workbook=12_04.xlsx&amp;sheet=U0&amp;row=873&amp;col=6&amp;number=3.9&amp;sourceID=14","3.9")</f>
        <v>3.9</v>
      </c>
      <c r="G873" s="4" t="str">
        <f>HYPERLINK("http://141.218.60.56/~jnz1568/getInfo.php?workbook=12_04.xlsx&amp;sheet=U0&amp;row=873&amp;col=7&amp;number=0.00122&amp;sourceID=14","0.00122")</f>
        <v>0.00122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HYPERLINK("http://141.218.60.56/~jnz1568/getInfo.php?workbook=12_04.xlsx&amp;sheet=U0&amp;row=874&amp;col=6&amp;number=4&amp;sourceID=14","4")</f>
        <v>4</v>
      </c>
      <c r="G874" s="4" t="str">
        <f>HYPERLINK("http://141.218.60.56/~jnz1568/getInfo.php?workbook=12_04.xlsx&amp;sheet=U0&amp;row=874&amp;col=7&amp;number=0.00125&amp;sourceID=14","0.00125")</f>
        <v>0.00125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HYPERLINK("http://141.218.60.56/~jnz1568/getInfo.php?workbook=12_04.xlsx&amp;sheet=U0&amp;row=875&amp;col=6&amp;number=4.1&amp;sourceID=14","4.1")</f>
        <v>4.1</v>
      </c>
      <c r="G875" s="4" t="str">
        <f>HYPERLINK("http://141.218.60.56/~jnz1568/getInfo.php?workbook=12_04.xlsx&amp;sheet=U0&amp;row=875&amp;col=7&amp;number=0.00127&amp;sourceID=14","0.00127")</f>
        <v>0.00127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HYPERLINK("http://141.218.60.56/~jnz1568/getInfo.php?workbook=12_04.xlsx&amp;sheet=U0&amp;row=876&amp;col=6&amp;number=4.2&amp;sourceID=14","4.2")</f>
        <v>4.2</v>
      </c>
      <c r="G876" s="4" t="str">
        <f>HYPERLINK("http://141.218.60.56/~jnz1568/getInfo.php?workbook=12_04.xlsx&amp;sheet=U0&amp;row=876&amp;col=7&amp;number=0.00131&amp;sourceID=14","0.00131")</f>
        <v>0.00131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HYPERLINK("http://141.218.60.56/~jnz1568/getInfo.php?workbook=12_04.xlsx&amp;sheet=U0&amp;row=877&amp;col=6&amp;number=4.3&amp;sourceID=14","4.3")</f>
        <v>4.3</v>
      </c>
      <c r="G877" s="4" t="str">
        <f>HYPERLINK("http://141.218.60.56/~jnz1568/getInfo.php?workbook=12_04.xlsx&amp;sheet=U0&amp;row=877&amp;col=7&amp;number=0.00135&amp;sourceID=14","0.00135")</f>
        <v>0.00135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HYPERLINK("http://141.218.60.56/~jnz1568/getInfo.php?workbook=12_04.xlsx&amp;sheet=U0&amp;row=878&amp;col=6&amp;number=4.4&amp;sourceID=14","4.4")</f>
        <v>4.4</v>
      </c>
      <c r="G878" s="4" t="str">
        <f>HYPERLINK("http://141.218.60.56/~jnz1568/getInfo.php?workbook=12_04.xlsx&amp;sheet=U0&amp;row=878&amp;col=7&amp;number=0.00141&amp;sourceID=14","0.00141")</f>
        <v>0.00141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HYPERLINK("http://141.218.60.56/~jnz1568/getInfo.php?workbook=12_04.xlsx&amp;sheet=U0&amp;row=879&amp;col=6&amp;number=4.5&amp;sourceID=14","4.5")</f>
        <v>4.5</v>
      </c>
      <c r="G879" s="4" t="str">
        <f>HYPERLINK("http://141.218.60.56/~jnz1568/getInfo.php?workbook=12_04.xlsx&amp;sheet=U0&amp;row=879&amp;col=7&amp;number=0.00148&amp;sourceID=14","0.00148")</f>
        <v>0.00148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HYPERLINK("http://141.218.60.56/~jnz1568/getInfo.php?workbook=12_04.xlsx&amp;sheet=U0&amp;row=880&amp;col=6&amp;number=4.6&amp;sourceID=14","4.6")</f>
        <v>4.6</v>
      </c>
      <c r="G880" s="4" t="str">
        <f>HYPERLINK("http://141.218.60.56/~jnz1568/getInfo.php?workbook=12_04.xlsx&amp;sheet=U0&amp;row=880&amp;col=7&amp;number=0.00156&amp;sourceID=14","0.00156")</f>
        <v>0.00156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HYPERLINK("http://141.218.60.56/~jnz1568/getInfo.php?workbook=12_04.xlsx&amp;sheet=U0&amp;row=881&amp;col=6&amp;number=4.7&amp;sourceID=14","4.7")</f>
        <v>4.7</v>
      </c>
      <c r="G881" s="4" t="str">
        <f>HYPERLINK("http://141.218.60.56/~jnz1568/getInfo.php?workbook=12_04.xlsx&amp;sheet=U0&amp;row=881&amp;col=7&amp;number=0.00166&amp;sourceID=14","0.00166")</f>
        <v>0.00166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HYPERLINK("http://141.218.60.56/~jnz1568/getInfo.php?workbook=12_04.xlsx&amp;sheet=U0&amp;row=882&amp;col=6&amp;number=4.8&amp;sourceID=14","4.8")</f>
        <v>4.8</v>
      </c>
      <c r="G882" s="4" t="str">
        <f>HYPERLINK("http://141.218.60.56/~jnz1568/getInfo.php?workbook=12_04.xlsx&amp;sheet=U0&amp;row=882&amp;col=7&amp;number=0.00177&amp;sourceID=14","0.00177")</f>
        <v>0.00177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HYPERLINK("http://141.218.60.56/~jnz1568/getInfo.php?workbook=12_04.xlsx&amp;sheet=U0&amp;row=883&amp;col=6&amp;number=4.9&amp;sourceID=14","4.9")</f>
        <v>4.9</v>
      </c>
      <c r="G883" s="4" t="str">
        <f>HYPERLINK("http://141.218.60.56/~jnz1568/getInfo.php?workbook=12_04.xlsx&amp;sheet=U0&amp;row=883&amp;col=7&amp;number=0.00191&amp;sourceID=14","0.00191")</f>
        <v>0.00191</v>
      </c>
    </row>
    <row r="884" spans="1:7">
      <c r="A884" s="3">
        <v>12</v>
      </c>
      <c r="B884" s="3">
        <v>4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HYPERLINK("http://141.218.60.56/~jnz1568/getInfo.php?workbook=12_04.xlsx&amp;sheet=U0&amp;row=884&amp;col=6&amp;number=3&amp;sourceID=14","3")</f>
        <v>3</v>
      </c>
      <c r="G884" s="4" t="str">
        <f>HYPERLINK("http://141.218.60.56/~jnz1568/getInfo.php?workbook=12_04.xlsx&amp;sheet=U0&amp;row=884&amp;col=7&amp;number=0.00467&amp;sourceID=14","0.00467")</f>
        <v>0.00467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HYPERLINK("http://141.218.60.56/~jnz1568/getInfo.php?workbook=12_04.xlsx&amp;sheet=U0&amp;row=885&amp;col=6&amp;number=3.1&amp;sourceID=14","3.1")</f>
        <v>3.1</v>
      </c>
      <c r="G885" s="4" t="str">
        <f>HYPERLINK("http://141.218.60.56/~jnz1568/getInfo.php?workbook=12_04.xlsx&amp;sheet=U0&amp;row=885&amp;col=7&amp;number=0.00467&amp;sourceID=14","0.00467")</f>
        <v>0.00467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HYPERLINK("http://141.218.60.56/~jnz1568/getInfo.php?workbook=12_04.xlsx&amp;sheet=U0&amp;row=886&amp;col=6&amp;number=3.2&amp;sourceID=14","3.2")</f>
        <v>3.2</v>
      </c>
      <c r="G886" s="4" t="str">
        <f>HYPERLINK("http://141.218.60.56/~jnz1568/getInfo.php?workbook=12_04.xlsx&amp;sheet=U0&amp;row=886&amp;col=7&amp;number=0.00467&amp;sourceID=14","0.00467")</f>
        <v>0.00467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HYPERLINK("http://141.218.60.56/~jnz1568/getInfo.php?workbook=12_04.xlsx&amp;sheet=U0&amp;row=887&amp;col=6&amp;number=3.3&amp;sourceID=14","3.3")</f>
        <v>3.3</v>
      </c>
      <c r="G887" s="4" t="str">
        <f>HYPERLINK("http://141.218.60.56/~jnz1568/getInfo.php?workbook=12_04.xlsx&amp;sheet=U0&amp;row=887&amp;col=7&amp;number=0.00467&amp;sourceID=14","0.00467")</f>
        <v>0.00467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HYPERLINK("http://141.218.60.56/~jnz1568/getInfo.php?workbook=12_04.xlsx&amp;sheet=U0&amp;row=888&amp;col=6&amp;number=3.4&amp;sourceID=14","3.4")</f>
        <v>3.4</v>
      </c>
      <c r="G888" s="4" t="str">
        <f>HYPERLINK("http://141.218.60.56/~jnz1568/getInfo.php?workbook=12_04.xlsx&amp;sheet=U0&amp;row=888&amp;col=7&amp;number=0.00467&amp;sourceID=14","0.00467")</f>
        <v>0.00467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HYPERLINK("http://141.218.60.56/~jnz1568/getInfo.php?workbook=12_04.xlsx&amp;sheet=U0&amp;row=889&amp;col=6&amp;number=3.5&amp;sourceID=14","3.5")</f>
        <v>3.5</v>
      </c>
      <c r="G889" s="4" t="str">
        <f>HYPERLINK("http://141.218.60.56/~jnz1568/getInfo.php?workbook=12_04.xlsx&amp;sheet=U0&amp;row=889&amp;col=7&amp;number=0.00467&amp;sourceID=14","0.00467")</f>
        <v>0.00467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HYPERLINK("http://141.218.60.56/~jnz1568/getInfo.php?workbook=12_04.xlsx&amp;sheet=U0&amp;row=890&amp;col=6&amp;number=3.6&amp;sourceID=14","3.6")</f>
        <v>3.6</v>
      </c>
      <c r="G890" s="4" t="str">
        <f>HYPERLINK("http://141.218.60.56/~jnz1568/getInfo.php?workbook=12_04.xlsx&amp;sheet=U0&amp;row=890&amp;col=7&amp;number=0.00468&amp;sourceID=14","0.00468")</f>
        <v>0.00468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HYPERLINK("http://141.218.60.56/~jnz1568/getInfo.php?workbook=12_04.xlsx&amp;sheet=U0&amp;row=891&amp;col=6&amp;number=3.7&amp;sourceID=14","3.7")</f>
        <v>3.7</v>
      </c>
      <c r="G891" s="4" t="str">
        <f>HYPERLINK("http://141.218.60.56/~jnz1568/getInfo.php?workbook=12_04.xlsx&amp;sheet=U0&amp;row=891&amp;col=7&amp;number=0.00468&amp;sourceID=14","0.00468")</f>
        <v>0.00468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HYPERLINK("http://141.218.60.56/~jnz1568/getInfo.php?workbook=12_04.xlsx&amp;sheet=U0&amp;row=892&amp;col=6&amp;number=3.8&amp;sourceID=14","3.8")</f>
        <v>3.8</v>
      </c>
      <c r="G892" s="4" t="str">
        <f>HYPERLINK("http://141.218.60.56/~jnz1568/getInfo.php?workbook=12_04.xlsx&amp;sheet=U0&amp;row=892&amp;col=7&amp;number=0.00468&amp;sourceID=14","0.00468")</f>
        <v>0.00468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HYPERLINK("http://141.218.60.56/~jnz1568/getInfo.php?workbook=12_04.xlsx&amp;sheet=U0&amp;row=893&amp;col=6&amp;number=3.9&amp;sourceID=14","3.9")</f>
        <v>3.9</v>
      </c>
      <c r="G893" s="4" t="str">
        <f>HYPERLINK("http://141.218.60.56/~jnz1568/getInfo.php?workbook=12_04.xlsx&amp;sheet=U0&amp;row=893&amp;col=7&amp;number=0.00469&amp;sourceID=14","0.00469")</f>
        <v>0.00469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HYPERLINK("http://141.218.60.56/~jnz1568/getInfo.php?workbook=12_04.xlsx&amp;sheet=U0&amp;row=894&amp;col=6&amp;number=4&amp;sourceID=14","4")</f>
        <v>4</v>
      </c>
      <c r="G894" s="4" t="str">
        <f>HYPERLINK("http://141.218.60.56/~jnz1568/getInfo.php?workbook=12_04.xlsx&amp;sheet=U0&amp;row=894&amp;col=7&amp;number=0.0047&amp;sourceID=14","0.0047")</f>
        <v>0.0047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HYPERLINK("http://141.218.60.56/~jnz1568/getInfo.php?workbook=12_04.xlsx&amp;sheet=U0&amp;row=895&amp;col=6&amp;number=4.1&amp;sourceID=14","4.1")</f>
        <v>4.1</v>
      </c>
      <c r="G895" s="4" t="str">
        <f>HYPERLINK("http://141.218.60.56/~jnz1568/getInfo.php?workbook=12_04.xlsx&amp;sheet=U0&amp;row=895&amp;col=7&amp;number=0.0047&amp;sourceID=14","0.0047")</f>
        <v>0.0047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HYPERLINK("http://141.218.60.56/~jnz1568/getInfo.php?workbook=12_04.xlsx&amp;sheet=U0&amp;row=896&amp;col=6&amp;number=4.2&amp;sourceID=14","4.2")</f>
        <v>4.2</v>
      </c>
      <c r="G896" s="4" t="str">
        <f>HYPERLINK("http://141.218.60.56/~jnz1568/getInfo.php?workbook=12_04.xlsx&amp;sheet=U0&amp;row=896&amp;col=7&amp;number=0.00471&amp;sourceID=14","0.00471")</f>
        <v>0.00471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HYPERLINK("http://141.218.60.56/~jnz1568/getInfo.php?workbook=12_04.xlsx&amp;sheet=U0&amp;row=897&amp;col=6&amp;number=4.3&amp;sourceID=14","4.3")</f>
        <v>4.3</v>
      </c>
      <c r="G897" s="4" t="str">
        <f>HYPERLINK("http://141.218.60.56/~jnz1568/getInfo.php?workbook=12_04.xlsx&amp;sheet=U0&amp;row=897&amp;col=7&amp;number=0.00473&amp;sourceID=14","0.00473")</f>
        <v>0.00473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HYPERLINK("http://141.218.60.56/~jnz1568/getInfo.php?workbook=12_04.xlsx&amp;sheet=U0&amp;row=898&amp;col=6&amp;number=4.4&amp;sourceID=14","4.4")</f>
        <v>4.4</v>
      </c>
      <c r="G898" s="4" t="str">
        <f>HYPERLINK("http://141.218.60.56/~jnz1568/getInfo.php?workbook=12_04.xlsx&amp;sheet=U0&amp;row=898&amp;col=7&amp;number=0.00474&amp;sourceID=14","0.00474")</f>
        <v>0.00474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HYPERLINK("http://141.218.60.56/~jnz1568/getInfo.php?workbook=12_04.xlsx&amp;sheet=U0&amp;row=899&amp;col=6&amp;number=4.5&amp;sourceID=14","4.5")</f>
        <v>4.5</v>
      </c>
      <c r="G899" s="4" t="str">
        <f>HYPERLINK("http://141.218.60.56/~jnz1568/getInfo.php?workbook=12_04.xlsx&amp;sheet=U0&amp;row=899&amp;col=7&amp;number=0.00477&amp;sourceID=14","0.00477")</f>
        <v>0.00477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HYPERLINK("http://141.218.60.56/~jnz1568/getInfo.php?workbook=12_04.xlsx&amp;sheet=U0&amp;row=900&amp;col=6&amp;number=4.6&amp;sourceID=14","4.6")</f>
        <v>4.6</v>
      </c>
      <c r="G900" s="4" t="str">
        <f>HYPERLINK("http://141.218.60.56/~jnz1568/getInfo.php?workbook=12_04.xlsx&amp;sheet=U0&amp;row=900&amp;col=7&amp;number=0.00479&amp;sourceID=14","0.00479")</f>
        <v>0.00479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HYPERLINK("http://141.218.60.56/~jnz1568/getInfo.php?workbook=12_04.xlsx&amp;sheet=U0&amp;row=901&amp;col=6&amp;number=4.7&amp;sourceID=14","4.7")</f>
        <v>4.7</v>
      </c>
      <c r="G901" s="4" t="str">
        <f>HYPERLINK("http://141.218.60.56/~jnz1568/getInfo.php?workbook=12_04.xlsx&amp;sheet=U0&amp;row=901&amp;col=7&amp;number=0.00482&amp;sourceID=14","0.00482")</f>
        <v>0.00482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HYPERLINK("http://141.218.60.56/~jnz1568/getInfo.php?workbook=12_04.xlsx&amp;sheet=U0&amp;row=902&amp;col=6&amp;number=4.8&amp;sourceID=14","4.8")</f>
        <v>4.8</v>
      </c>
      <c r="G902" s="4" t="str">
        <f>HYPERLINK("http://141.218.60.56/~jnz1568/getInfo.php?workbook=12_04.xlsx&amp;sheet=U0&amp;row=902&amp;col=7&amp;number=0.00486&amp;sourceID=14","0.00486")</f>
        <v>0.00486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HYPERLINK("http://141.218.60.56/~jnz1568/getInfo.php?workbook=12_04.xlsx&amp;sheet=U0&amp;row=903&amp;col=6&amp;number=4.9&amp;sourceID=14","4.9")</f>
        <v>4.9</v>
      </c>
      <c r="G903" s="4" t="str">
        <f>HYPERLINK("http://141.218.60.56/~jnz1568/getInfo.php?workbook=12_04.xlsx&amp;sheet=U0&amp;row=903&amp;col=7&amp;number=0.00491&amp;sourceID=14","0.00491")</f>
        <v>0.00491</v>
      </c>
    </row>
    <row r="904" spans="1:7">
      <c r="A904" s="3">
        <v>12</v>
      </c>
      <c r="B904" s="3">
        <v>4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HYPERLINK("http://141.218.60.56/~jnz1568/getInfo.php?workbook=12_04.xlsx&amp;sheet=U0&amp;row=904&amp;col=6&amp;number=3&amp;sourceID=14","3")</f>
        <v>3</v>
      </c>
      <c r="G904" s="4" t="str">
        <f>HYPERLINK("http://141.218.60.56/~jnz1568/getInfo.php?workbook=12_04.xlsx&amp;sheet=U0&amp;row=904&amp;col=7&amp;number=0.012&amp;sourceID=14","0.012")</f>
        <v>0.012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HYPERLINK("http://141.218.60.56/~jnz1568/getInfo.php?workbook=12_04.xlsx&amp;sheet=U0&amp;row=905&amp;col=6&amp;number=3.1&amp;sourceID=14","3.1")</f>
        <v>3.1</v>
      </c>
      <c r="G905" s="4" t="str">
        <f>HYPERLINK("http://141.218.60.56/~jnz1568/getInfo.php?workbook=12_04.xlsx&amp;sheet=U0&amp;row=905&amp;col=7&amp;number=0.012&amp;sourceID=14","0.012")</f>
        <v>0.012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HYPERLINK("http://141.218.60.56/~jnz1568/getInfo.php?workbook=12_04.xlsx&amp;sheet=U0&amp;row=906&amp;col=6&amp;number=3.2&amp;sourceID=14","3.2")</f>
        <v>3.2</v>
      </c>
      <c r="G906" s="4" t="str">
        <f>HYPERLINK("http://141.218.60.56/~jnz1568/getInfo.php?workbook=12_04.xlsx&amp;sheet=U0&amp;row=906&amp;col=7&amp;number=0.012&amp;sourceID=14","0.012")</f>
        <v>0.012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HYPERLINK("http://141.218.60.56/~jnz1568/getInfo.php?workbook=12_04.xlsx&amp;sheet=U0&amp;row=907&amp;col=6&amp;number=3.3&amp;sourceID=14","3.3")</f>
        <v>3.3</v>
      </c>
      <c r="G907" s="4" t="str">
        <f>HYPERLINK("http://141.218.60.56/~jnz1568/getInfo.php?workbook=12_04.xlsx&amp;sheet=U0&amp;row=907&amp;col=7&amp;number=0.0119&amp;sourceID=14","0.0119")</f>
        <v>0.0119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HYPERLINK("http://141.218.60.56/~jnz1568/getInfo.php?workbook=12_04.xlsx&amp;sheet=U0&amp;row=908&amp;col=6&amp;number=3.4&amp;sourceID=14","3.4")</f>
        <v>3.4</v>
      </c>
      <c r="G908" s="4" t="str">
        <f>HYPERLINK("http://141.218.60.56/~jnz1568/getInfo.php?workbook=12_04.xlsx&amp;sheet=U0&amp;row=908&amp;col=7&amp;number=0.0119&amp;sourceID=14","0.0119")</f>
        <v>0.0119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HYPERLINK("http://141.218.60.56/~jnz1568/getInfo.php?workbook=12_04.xlsx&amp;sheet=U0&amp;row=909&amp;col=6&amp;number=3.5&amp;sourceID=14","3.5")</f>
        <v>3.5</v>
      </c>
      <c r="G909" s="4" t="str">
        <f>HYPERLINK("http://141.218.60.56/~jnz1568/getInfo.php?workbook=12_04.xlsx&amp;sheet=U0&amp;row=909&amp;col=7&amp;number=0.0119&amp;sourceID=14","0.0119")</f>
        <v>0.0119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HYPERLINK("http://141.218.60.56/~jnz1568/getInfo.php?workbook=12_04.xlsx&amp;sheet=U0&amp;row=910&amp;col=6&amp;number=3.6&amp;sourceID=14","3.6")</f>
        <v>3.6</v>
      </c>
      <c r="G910" s="4" t="str">
        <f>HYPERLINK("http://141.218.60.56/~jnz1568/getInfo.php?workbook=12_04.xlsx&amp;sheet=U0&amp;row=910&amp;col=7&amp;number=0.0118&amp;sourceID=14","0.0118")</f>
        <v>0.0118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HYPERLINK("http://141.218.60.56/~jnz1568/getInfo.php?workbook=12_04.xlsx&amp;sheet=U0&amp;row=911&amp;col=6&amp;number=3.7&amp;sourceID=14","3.7")</f>
        <v>3.7</v>
      </c>
      <c r="G911" s="4" t="str">
        <f>HYPERLINK("http://141.218.60.56/~jnz1568/getInfo.php?workbook=12_04.xlsx&amp;sheet=U0&amp;row=911&amp;col=7&amp;number=0.0117&amp;sourceID=14","0.0117")</f>
        <v>0.0117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HYPERLINK("http://141.218.60.56/~jnz1568/getInfo.php?workbook=12_04.xlsx&amp;sheet=U0&amp;row=912&amp;col=6&amp;number=3.8&amp;sourceID=14","3.8")</f>
        <v>3.8</v>
      </c>
      <c r="G912" s="4" t="str">
        <f>HYPERLINK("http://141.218.60.56/~jnz1568/getInfo.php?workbook=12_04.xlsx&amp;sheet=U0&amp;row=912&amp;col=7&amp;number=0.0116&amp;sourceID=14","0.0116")</f>
        <v>0.0116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HYPERLINK("http://141.218.60.56/~jnz1568/getInfo.php?workbook=12_04.xlsx&amp;sheet=U0&amp;row=913&amp;col=6&amp;number=3.9&amp;sourceID=14","3.9")</f>
        <v>3.9</v>
      </c>
      <c r="G913" s="4" t="str">
        <f>HYPERLINK("http://141.218.60.56/~jnz1568/getInfo.php?workbook=12_04.xlsx&amp;sheet=U0&amp;row=913&amp;col=7&amp;number=0.0115&amp;sourceID=14","0.0115")</f>
        <v>0.0115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HYPERLINK("http://141.218.60.56/~jnz1568/getInfo.php?workbook=12_04.xlsx&amp;sheet=U0&amp;row=914&amp;col=6&amp;number=4&amp;sourceID=14","4")</f>
        <v>4</v>
      </c>
      <c r="G914" s="4" t="str">
        <f>HYPERLINK("http://141.218.60.56/~jnz1568/getInfo.php?workbook=12_04.xlsx&amp;sheet=U0&amp;row=914&amp;col=7&amp;number=0.0114&amp;sourceID=14","0.0114")</f>
        <v>0.0114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HYPERLINK("http://141.218.60.56/~jnz1568/getInfo.php?workbook=12_04.xlsx&amp;sheet=U0&amp;row=915&amp;col=6&amp;number=4.1&amp;sourceID=14","4.1")</f>
        <v>4.1</v>
      </c>
      <c r="G915" s="4" t="str">
        <f>HYPERLINK("http://141.218.60.56/~jnz1568/getInfo.php?workbook=12_04.xlsx&amp;sheet=U0&amp;row=915&amp;col=7&amp;number=0.0112&amp;sourceID=14","0.0112")</f>
        <v>0.0112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HYPERLINK("http://141.218.60.56/~jnz1568/getInfo.php?workbook=12_04.xlsx&amp;sheet=U0&amp;row=916&amp;col=6&amp;number=4.2&amp;sourceID=14","4.2")</f>
        <v>4.2</v>
      </c>
      <c r="G916" s="4" t="str">
        <f>HYPERLINK("http://141.218.60.56/~jnz1568/getInfo.php?workbook=12_04.xlsx&amp;sheet=U0&amp;row=916&amp;col=7&amp;number=0.011&amp;sourceID=14","0.011")</f>
        <v>0.011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HYPERLINK("http://141.218.60.56/~jnz1568/getInfo.php?workbook=12_04.xlsx&amp;sheet=U0&amp;row=917&amp;col=6&amp;number=4.3&amp;sourceID=14","4.3")</f>
        <v>4.3</v>
      </c>
      <c r="G917" s="4" t="str">
        <f>HYPERLINK("http://141.218.60.56/~jnz1568/getInfo.php?workbook=12_04.xlsx&amp;sheet=U0&amp;row=917&amp;col=7&amp;number=0.0107&amp;sourceID=14","0.0107")</f>
        <v>0.0107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HYPERLINK("http://141.218.60.56/~jnz1568/getInfo.php?workbook=12_04.xlsx&amp;sheet=U0&amp;row=918&amp;col=6&amp;number=4.4&amp;sourceID=14","4.4")</f>
        <v>4.4</v>
      </c>
      <c r="G918" s="4" t="str">
        <f>HYPERLINK("http://141.218.60.56/~jnz1568/getInfo.php?workbook=12_04.xlsx&amp;sheet=U0&amp;row=918&amp;col=7&amp;number=0.0104&amp;sourceID=14","0.0104")</f>
        <v>0.0104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HYPERLINK("http://141.218.60.56/~jnz1568/getInfo.php?workbook=12_04.xlsx&amp;sheet=U0&amp;row=919&amp;col=6&amp;number=4.5&amp;sourceID=14","4.5")</f>
        <v>4.5</v>
      </c>
      <c r="G919" s="4" t="str">
        <f>HYPERLINK("http://141.218.60.56/~jnz1568/getInfo.php?workbook=12_04.xlsx&amp;sheet=U0&amp;row=919&amp;col=7&amp;number=0.00994&amp;sourceID=14","0.00994")</f>
        <v>0.00994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HYPERLINK("http://141.218.60.56/~jnz1568/getInfo.php?workbook=12_04.xlsx&amp;sheet=U0&amp;row=920&amp;col=6&amp;number=4.6&amp;sourceID=14","4.6")</f>
        <v>4.6</v>
      </c>
      <c r="G920" s="4" t="str">
        <f>HYPERLINK("http://141.218.60.56/~jnz1568/getInfo.php?workbook=12_04.xlsx&amp;sheet=U0&amp;row=920&amp;col=7&amp;number=0.00942&amp;sourceID=14","0.00942")</f>
        <v>0.00942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HYPERLINK("http://141.218.60.56/~jnz1568/getInfo.php?workbook=12_04.xlsx&amp;sheet=U0&amp;row=921&amp;col=6&amp;number=4.7&amp;sourceID=14","4.7")</f>
        <v>4.7</v>
      </c>
      <c r="G921" s="4" t="str">
        <f>HYPERLINK("http://141.218.60.56/~jnz1568/getInfo.php?workbook=12_04.xlsx&amp;sheet=U0&amp;row=921&amp;col=7&amp;number=0.00879&amp;sourceID=14","0.00879")</f>
        <v>0.00879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HYPERLINK("http://141.218.60.56/~jnz1568/getInfo.php?workbook=12_04.xlsx&amp;sheet=U0&amp;row=922&amp;col=6&amp;number=4.8&amp;sourceID=14","4.8")</f>
        <v>4.8</v>
      </c>
      <c r="G922" s="4" t="str">
        <f>HYPERLINK("http://141.218.60.56/~jnz1568/getInfo.php?workbook=12_04.xlsx&amp;sheet=U0&amp;row=922&amp;col=7&amp;number=0.00803&amp;sourceID=14","0.00803")</f>
        <v>0.00803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HYPERLINK("http://141.218.60.56/~jnz1568/getInfo.php?workbook=12_04.xlsx&amp;sheet=U0&amp;row=923&amp;col=6&amp;number=4.9&amp;sourceID=14","4.9")</f>
        <v>4.9</v>
      </c>
      <c r="G923" s="4" t="str">
        <f>HYPERLINK("http://141.218.60.56/~jnz1568/getInfo.php?workbook=12_04.xlsx&amp;sheet=U0&amp;row=923&amp;col=7&amp;number=0.00714&amp;sourceID=14","0.00714")</f>
        <v>0.00714</v>
      </c>
    </row>
    <row r="924" spans="1:7">
      <c r="A924" s="3">
        <v>12</v>
      </c>
      <c r="B924" s="3">
        <v>4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HYPERLINK("http://141.218.60.56/~jnz1568/getInfo.php?workbook=12_04.xlsx&amp;sheet=U0&amp;row=924&amp;col=6&amp;number=3&amp;sourceID=14","3")</f>
        <v>3</v>
      </c>
      <c r="G924" s="4" t="str">
        <f>HYPERLINK("http://141.218.60.56/~jnz1568/getInfo.php?workbook=12_04.xlsx&amp;sheet=U0&amp;row=924&amp;col=7&amp;number=0.021&amp;sourceID=14","0.021")</f>
        <v>0.021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HYPERLINK("http://141.218.60.56/~jnz1568/getInfo.php?workbook=12_04.xlsx&amp;sheet=U0&amp;row=925&amp;col=6&amp;number=3.1&amp;sourceID=14","3.1")</f>
        <v>3.1</v>
      </c>
      <c r="G925" s="4" t="str">
        <f>HYPERLINK("http://141.218.60.56/~jnz1568/getInfo.php?workbook=12_04.xlsx&amp;sheet=U0&amp;row=925&amp;col=7&amp;number=0.021&amp;sourceID=14","0.021")</f>
        <v>0.021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HYPERLINK("http://141.218.60.56/~jnz1568/getInfo.php?workbook=12_04.xlsx&amp;sheet=U0&amp;row=926&amp;col=6&amp;number=3.2&amp;sourceID=14","3.2")</f>
        <v>3.2</v>
      </c>
      <c r="G926" s="4" t="str">
        <f>HYPERLINK("http://141.218.60.56/~jnz1568/getInfo.php?workbook=12_04.xlsx&amp;sheet=U0&amp;row=926&amp;col=7&amp;number=0.021&amp;sourceID=14","0.021")</f>
        <v>0.021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HYPERLINK("http://141.218.60.56/~jnz1568/getInfo.php?workbook=12_04.xlsx&amp;sheet=U0&amp;row=927&amp;col=6&amp;number=3.3&amp;sourceID=14","3.3")</f>
        <v>3.3</v>
      </c>
      <c r="G927" s="4" t="str">
        <f>HYPERLINK("http://141.218.60.56/~jnz1568/getInfo.php?workbook=12_04.xlsx&amp;sheet=U0&amp;row=927&amp;col=7&amp;number=0.0209&amp;sourceID=14","0.0209")</f>
        <v>0.0209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HYPERLINK("http://141.218.60.56/~jnz1568/getInfo.php?workbook=12_04.xlsx&amp;sheet=U0&amp;row=928&amp;col=6&amp;number=3.4&amp;sourceID=14","3.4")</f>
        <v>3.4</v>
      </c>
      <c r="G928" s="4" t="str">
        <f>HYPERLINK("http://141.218.60.56/~jnz1568/getInfo.php?workbook=12_04.xlsx&amp;sheet=U0&amp;row=928&amp;col=7&amp;number=0.0209&amp;sourceID=14","0.0209")</f>
        <v>0.0209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HYPERLINK("http://141.218.60.56/~jnz1568/getInfo.php?workbook=12_04.xlsx&amp;sheet=U0&amp;row=929&amp;col=6&amp;number=3.5&amp;sourceID=14","3.5")</f>
        <v>3.5</v>
      </c>
      <c r="G929" s="4" t="str">
        <f>HYPERLINK("http://141.218.60.56/~jnz1568/getInfo.php?workbook=12_04.xlsx&amp;sheet=U0&amp;row=929&amp;col=7&amp;number=0.0208&amp;sourceID=14","0.0208")</f>
        <v>0.0208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HYPERLINK("http://141.218.60.56/~jnz1568/getInfo.php?workbook=12_04.xlsx&amp;sheet=U0&amp;row=930&amp;col=6&amp;number=3.6&amp;sourceID=14","3.6")</f>
        <v>3.6</v>
      </c>
      <c r="G930" s="4" t="str">
        <f>HYPERLINK("http://141.218.60.56/~jnz1568/getInfo.php?workbook=12_04.xlsx&amp;sheet=U0&amp;row=930&amp;col=7&amp;number=0.0208&amp;sourceID=14","0.0208")</f>
        <v>0.0208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HYPERLINK("http://141.218.60.56/~jnz1568/getInfo.php?workbook=12_04.xlsx&amp;sheet=U0&amp;row=931&amp;col=6&amp;number=3.7&amp;sourceID=14","3.7")</f>
        <v>3.7</v>
      </c>
      <c r="G931" s="4" t="str">
        <f>HYPERLINK("http://141.218.60.56/~jnz1568/getInfo.php?workbook=12_04.xlsx&amp;sheet=U0&amp;row=931&amp;col=7&amp;number=0.0206&amp;sourceID=14","0.0206")</f>
        <v>0.0206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HYPERLINK("http://141.218.60.56/~jnz1568/getInfo.php?workbook=12_04.xlsx&amp;sheet=U0&amp;row=932&amp;col=6&amp;number=3.8&amp;sourceID=14","3.8")</f>
        <v>3.8</v>
      </c>
      <c r="G932" s="4" t="str">
        <f>HYPERLINK("http://141.218.60.56/~jnz1568/getInfo.php?workbook=12_04.xlsx&amp;sheet=U0&amp;row=932&amp;col=7&amp;number=0.0205&amp;sourceID=14","0.0205")</f>
        <v>0.0205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HYPERLINK("http://141.218.60.56/~jnz1568/getInfo.php?workbook=12_04.xlsx&amp;sheet=U0&amp;row=933&amp;col=6&amp;number=3.9&amp;sourceID=14","3.9")</f>
        <v>3.9</v>
      </c>
      <c r="G933" s="4" t="str">
        <f>HYPERLINK("http://141.218.60.56/~jnz1568/getInfo.php?workbook=12_04.xlsx&amp;sheet=U0&amp;row=933&amp;col=7&amp;number=0.0204&amp;sourceID=14","0.0204")</f>
        <v>0.0204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HYPERLINK("http://141.218.60.56/~jnz1568/getInfo.php?workbook=12_04.xlsx&amp;sheet=U0&amp;row=934&amp;col=6&amp;number=4&amp;sourceID=14","4")</f>
        <v>4</v>
      </c>
      <c r="G934" s="4" t="str">
        <f>HYPERLINK("http://141.218.60.56/~jnz1568/getInfo.php?workbook=12_04.xlsx&amp;sheet=U0&amp;row=934&amp;col=7&amp;number=0.0202&amp;sourceID=14","0.0202")</f>
        <v>0.0202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HYPERLINK("http://141.218.60.56/~jnz1568/getInfo.php?workbook=12_04.xlsx&amp;sheet=U0&amp;row=935&amp;col=6&amp;number=4.1&amp;sourceID=14","4.1")</f>
        <v>4.1</v>
      </c>
      <c r="G935" s="4" t="str">
        <f>HYPERLINK("http://141.218.60.56/~jnz1568/getInfo.php?workbook=12_04.xlsx&amp;sheet=U0&amp;row=935&amp;col=7&amp;number=0.0199&amp;sourceID=14","0.0199")</f>
        <v>0.0199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HYPERLINK("http://141.218.60.56/~jnz1568/getInfo.php?workbook=12_04.xlsx&amp;sheet=U0&amp;row=936&amp;col=6&amp;number=4.2&amp;sourceID=14","4.2")</f>
        <v>4.2</v>
      </c>
      <c r="G936" s="4" t="str">
        <f>HYPERLINK("http://141.218.60.56/~jnz1568/getInfo.php?workbook=12_04.xlsx&amp;sheet=U0&amp;row=936&amp;col=7&amp;number=0.0196&amp;sourceID=14","0.0196")</f>
        <v>0.0196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HYPERLINK("http://141.218.60.56/~jnz1568/getInfo.php?workbook=12_04.xlsx&amp;sheet=U0&amp;row=937&amp;col=6&amp;number=4.3&amp;sourceID=14","4.3")</f>
        <v>4.3</v>
      </c>
      <c r="G937" s="4" t="str">
        <f>HYPERLINK("http://141.218.60.56/~jnz1568/getInfo.php?workbook=12_04.xlsx&amp;sheet=U0&amp;row=937&amp;col=7&amp;number=0.0192&amp;sourceID=14","0.0192")</f>
        <v>0.0192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HYPERLINK("http://141.218.60.56/~jnz1568/getInfo.php?workbook=12_04.xlsx&amp;sheet=U0&amp;row=938&amp;col=6&amp;number=4.4&amp;sourceID=14","4.4")</f>
        <v>4.4</v>
      </c>
      <c r="G938" s="4" t="str">
        <f>HYPERLINK("http://141.218.60.56/~jnz1568/getInfo.php?workbook=12_04.xlsx&amp;sheet=U0&amp;row=938&amp;col=7&amp;number=0.0188&amp;sourceID=14","0.0188")</f>
        <v>0.0188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HYPERLINK("http://141.218.60.56/~jnz1568/getInfo.php?workbook=12_04.xlsx&amp;sheet=U0&amp;row=939&amp;col=6&amp;number=4.5&amp;sourceID=14","4.5")</f>
        <v>4.5</v>
      </c>
      <c r="G939" s="4" t="str">
        <f>HYPERLINK("http://141.218.60.56/~jnz1568/getInfo.php?workbook=12_04.xlsx&amp;sheet=U0&amp;row=939&amp;col=7&amp;number=0.0182&amp;sourceID=14","0.0182")</f>
        <v>0.0182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HYPERLINK("http://141.218.60.56/~jnz1568/getInfo.php?workbook=12_04.xlsx&amp;sheet=U0&amp;row=940&amp;col=6&amp;number=4.6&amp;sourceID=14","4.6")</f>
        <v>4.6</v>
      </c>
      <c r="G940" s="4" t="str">
        <f>HYPERLINK("http://141.218.60.56/~jnz1568/getInfo.php?workbook=12_04.xlsx&amp;sheet=U0&amp;row=940&amp;col=7&amp;number=0.0175&amp;sourceID=14","0.0175")</f>
        <v>0.0175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HYPERLINK("http://141.218.60.56/~jnz1568/getInfo.php?workbook=12_04.xlsx&amp;sheet=U0&amp;row=941&amp;col=6&amp;number=4.7&amp;sourceID=14","4.7")</f>
        <v>4.7</v>
      </c>
      <c r="G941" s="4" t="str">
        <f>HYPERLINK("http://141.218.60.56/~jnz1568/getInfo.php?workbook=12_04.xlsx&amp;sheet=U0&amp;row=941&amp;col=7&amp;number=0.0168&amp;sourceID=14","0.0168")</f>
        <v>0.0168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HYPERLINK("http://141.218.60.56/~jnz1568/getInfo.php?workbook=12_04.xlsx&amp;sheet=U0&amp;row=942&amp;col=6&amp;number=4.8&amp;sourceID=14","4.8")</f>
        <v>4.8</v>
      </c>
      <c r="G942" s="4" t="str">
        <f>HYPERLINK("http://141.218.60.56/~jnz1568/getInfo.php?workbook=12_04.xlsx&amp;sheet=U0&amp;row=942&amp;col=7&amp;number=0.016&amp;sourceID=14","0.016")</f>
        <v>0.016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HYPERLINK("http://141.218.60.56/~jnz1568/getInfo.php?workbook=12_04.xlsx&amp;sheet=U0&amp;row=943&amp;col=6&amp;number=4.9&amp;sourceID=14","4.9")</f>
        <v>4.9</v>
      </c>
      <c r="G943" s="4" t="str">
        <f>HYPERLINK("http://141.218.60.56/~jnz1568/getInfo.php?workbook=12_04.xlsx&amp;sheet=U0&amp;row=943&amp;col=7&amp;number=0.0151&amp;sourceID=14","0.0151")</f>
        <v>0.0151</v>
      </c>
    </row>
    <row r="944" spans="1:7">
      <c r="A944" s="3">
        <v>12</v>
      </c>
      <c r="B944" s="3">
        <v>4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HYPERLINK("http://141.218.60.56/~jnz1568/getInfo.php?workbook=12_04.xlsx&amp;sheet=U0&amp;row=944&amp;col=6&amp;number=3&amp;sourceID=14","3")</f>
        <v>3</v>
      </c>
      <c r="G944" s="4" t="str">
        <f>HYPERLINK("http://141.218.60.56/~jnz1568/getInfo.php?workbook=12_04.xlsx&amp;sheet=U0&amp;row=944&amp;col=7&amp;number=0.00191&amp;sourceID=14","0.00191")</f>
        <v>0.00191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HYPERLINK("http://141.218.60.56/~jnz1568/getInfo.php?workbook=12_04.xlsx&amp;sheet=U0&amp;row=945&amp;col=6&amp;number=3.1&amp;sourceID=14","3.1")</f>
        <v>3.1</v>
      </c>
      <c r="G945" s="4" t="str">
        <f>HYPERLINK("http://141.218.60.56/~jnz1568/getInfo.php?workbook=12_04.xlsx&amp;sheet=U0&amp;row=945&amp;col=7&amp;number=0.00191&amp;sourceID=14","0.00191")</f>
        <v>0.00191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HYPERLINK("http://141.218.60.56/~jnz1568/getInfo.php?workbook=12_04.xlsx&amp;sheet=U0&amp;row=946&amp;col=6&amp;number=3.2&amp;sourceID=14","3.2")</f>
        <v>3.2</v>
      </c>
      <c r="G946" s="4" t="str">
        <f>HYPERLINK("http://141.218.60.56/~jnz1568/getInfo.php?workbook=12_04.xlsx&amp;sheet=U0&amp;row=946&amp;col=7&amp;number=0.0019&amp;sourceID=14","0.0019")</f>
        <v>0.0019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HYPERLINK("http://141.218.60.56/~jnz1568/getInfo.php?workbook=12_04.xlsx&amp;sheet=U0&amp;row=947&amp;col=6&amp;number=3.3&amp;sourceID=14","3.3")</f>
        <v>3.3</v>
      </c>
      <c r="G947" s="4" t="str">
        <f>HYPERLINK("http://141.218.60.56/~jnz1568/getInfo.php?workbook=12_04.xlsx&amp;sheet=U0&amp;row=947&amp;col=7&amp;number=0.0019&amp;sourceID=14","0.0019")</f>
        <v>0.0019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HYPERLINK("http://141.218.60.56/~jnz1568/getInfo.php?workbook=12_04.xlsx&amp;sheet=U0&amp;row=948&amp;col=6&amp;number=3.4&amp;sourceID=14","3.4")</f>
        <v>3.4</v>
      </c>
      <c r="G948" s="4" t="str">
        <f>HYPERLINK("http://141.218.60.56/~jnz1568/getInfo.php?workbook=12_04.xlsx&amp;sheet=U0&amp;row=948&amp;col=7&amp;number=0.0019&amp;sourceID=14","0.0019")</f>
        <v>0.0019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HYPERLINK("http://141.218.60.56/~jnz1568/getInfo.php?workbook=12_04.xlsx&amp;sheet=U0&amp;row=949&amp;col=6&amp;number=3.5&amp;sourceID=14","3.5")</f>
        <v>3.5</v>
      </c>
      <c r="G949" s="4" t="str">
        <f>HYPERLINK("http://141.218.60.56/~jnz1568/getInfo.php?workbook=12_04.xlsx&amp;sheet=U0&amp;row=949&amp;col=7&amp;number=0.00189&amp;sourceID=14","0.00189")</f>
        <v>0.00189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HYPERLINK("http://141.218.60.56/~jnz1568/getInfo.php?workbook=12_04.xlsx&amp;sheet=U0&amp;row=950&amp;col=6&amp;number=3.6&amp;sourceID=14","3.6")</f>
        <v>3.6</v>
      </c>
      <c r="G950" s="4" t="str">
        <f>HYPERLINK("http://141.218.60.56/~jnz1568/getInfo.php?workbook=12_04.xlsx&amp;sheet=U0&amp;row=950&amp;col=7&amp;number=0.00188&amp;sourceID=14","0.00188")</f>
        <v>0.00188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HYPERLINK("http://141.218.60.56/~jnz1568/getInfo.php?workbook=12_04.xlsx&amp;sheet=U0&amp;row=951&amp;col=6&amp;number=3.7&amp;sourceID=14","3.7")</f>
        <v>3.7</v>
      </c>
      <c r="G951" s="4" t="str">
        <f>HYPERLINK("http://141.218.60.56/~jnz1568/getInfo.php?workbook=12_04.xlsx&amp;sheet=U0&amp;row=951&amp;col=7&amp;number=0.00188&amp;sourceID=14","0.00188")</f>
        <v>0.00188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HYPERLINK("http://141.218.60.56/~jnz1568/getInfo.php?workbook=12_04.xlsx&amp;sheet=U0&amp;row=952&amp;col=6&amp;number=3.8&amp;sourceID=14","3.8")</f>
        <v>3.8</v>
      </c>
      <c r="G952" s="4" t="str">
        <f>HYPERLINK("http://141.218.60.56/~jnz1568/getInfo.php?workbook=12_04.xlsx&amp;sheet=U0&amp;row=952&amp;col=7&amp;number=0.00186&amp;sourceID=14","0.00186")</f>
        <v>0.00186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HYPERLINK("http://141.218.60.56/~jnz1568/getInfo.php?workbook=12_04.xlsx&amp;sheet=U0&amp;row=953&amp;col=6&amp;number=3.9&amp;sourceID=14","3.9")</f>
        <v>3.9</v>
      </c>
      <c r="G953" s="4" t="str">
        <f>HYPERLINK("http://141.218.60.56/~jnz1568/getInfo.php?workbook=12_04.xlsx&amp;sheet=U0&amp;row=953&amp;col=7&amp;number=0.00185&amp;sourceID=14","0.00185")</f>
        <v>0.00185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HYPERLINK("http://141.218.60.56/~jnz1568/getInfo.php?workbook=12_04.xlsx&amp;sheet=U0&amp;row=954&amp;col=6&amp;number=4&amp;sourceID=14","4")</f>
        <v>4</v>
      </c>
      <c r="G954" s="4" t="str">
        <f>HYPERLINK("http://141.218.60.56/~jnz1568/getInfo.php?workbook=12_04.xlsx&amp;sheet=U0&amp;row=954&amp;col=7&amp;number=0.00183&amp;sourceID=14","0.00183")</f>
        <v>0.00183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HYPERLINK("http://141.218.60.56/~jnz1568/getInfo.php?workbook=12_04.xlsx&amp;sheet=U0&amp;row=955&amp;col=6&amp;number=4.1&amp;sourceID=14","4.1")</f>
        <v>4.1</v>
      </c>
      <c r="G955" s="4" t="str">
        <f>HYPERLINK("http://141.218.60.56/~jnz1568/getInfo.php?workbook=12_04.xlsx&amp;sheet=U0&amp;row=955&amp;col=7&amp;number=0.00181&amp;sourceID=14","0.00181")</f>
        <v>0.00181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HYPERLINK("http://141.218.60.56/~jnz1568/getInfo.php?workbook=12_04.xlsx&amp;sheet=U0&amp;row=956&amp;col=6&amp;number=4.2&amp;sourceID=14","4.2")</f>
        <v>4.2</v>
      </c>
      <c r="G956" s="4" t="str">
        <f>HYPERLINK("http://141.218.60.56/~jnz1568/getInfo.php?workbook=12_04.xlsx&amp;sheet=U0&amp;row=956&amp;col=7&amp;number=0.00178&amp;sourceID=14","0.00178")</f>
        <v>0.00178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HYPERLINK("http://141.218.60.56/~jnz1568/getInfo.php?workbook=12_04.xlsx&amp;sheet=U0&amp;row=957&amp;col=6&amp;number=4.3&amp;sourceID=14","4.3")</f>
        <v>4.3</v>
      </c>
      <c r="G957" s="4" t="str">
        <f>HYPERLINK("http://141.218.60.56/~jnz1568/getInfo.php?workbook=12_04.xlsx&amp;sheet=U0&amp;row=957&amp;col=7&amp;number=0.00175&amp;sourceID=14","0.00175")</f>
        <v>0.00175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HYPERLINK("http://141.218.60.56/~jnz1568/getInfo.php?workbook=12_04.xlsx&amp;sheet=U0&amp;row=958&amp;col=6&amp;number=4.4&amp;sourceID=14","4.4")</f>
        <v>4.4</v>
      </c>
      <c r="G958" s="4" t="str">
        <f>HYPERLINK("http://141.218.60.56/~jnz1568/getInfo.php?workbook=12_04.xlsx&amp;sheet=U0&amp;row=958&amp;col=7&amp;number=0.00171&amp;sourceID=14","0.00171")</f>
        <v>0.00171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HYPERLINK("http://141.218.60.56/~jnz1568/getInfo.php?workbook=12_04.xlsx&amp;sheet=U0&amp;row=959&amp;col=6&amp;number=4.5&amp;sourceID=14","4.5")</f>
        <v>4.5</v>
      </c>
      <c r="G959" s="4" t="str">
        <f>HYPERLINK("http://141.218.60.56/~jnz1568/getInfo.php?workbook=12_04.xlsx&amp;sheet=U0&amp;row=959&amp;col=7&amp;number=0.00166&amp;sourceID=14","0.00166")</f>
        <v>0.00166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HYPERLINK("http://141.218.60.56/~jnz1568/getInfo.php?workbook=12_04.xlsx&amp;sheet=U0&amp;row=960&amp;col=6&amp;number=4.6&amp;sourceID=14","4.6")</f>
        <v>4.6</v>
      </c>
      <c r="G960" s="4" t="str">
        <f>HYPERLINK("http://141.218.60.56/~jnz1568/getInfo.php?workbook=12_04.xlsx&amp;sheet=U0&amp;row=960&amp;col=7&amp;number=0.00159&amp;sourceID=14","0.00159")</f>
        <v>0.00159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HYPERLINK("http://141.218.60.56/~jnz1568/getInfo.php?workbook=12_04.xlsx&amp;sheet=U0&amp;row=961&amp;col=6&amp;number=4.7&amp;sourceID=14","4.7")</f>
        <v>4.7</v>
      </c>
      <c r="G961" s="4" t="str">
        <f>HYPERLINK("http://141.218.60.56/~jnz1568/getInfo.php?workbook=12_04.xlsx&amp;sheet=U0&amp;row=961&amp;col=7&amp;number=0.00151&amp;sourceID=14","0.00151")</f>
        <v>0.00151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HYPERLINK("http://141.218.60.56/~jnz1568/getInfo.php?workbook=12_04.xlsx&amp;sheet=U0&amp;row=962&amp;col=6&amp;number=4.8&amp;sourceID=14","4.8")</f>
        <v>4.8</v>
      </c>
      <c r="G962" s="4" t="str">
        <f>HYPERLINK("http://141.218.60.56/~jnz1568/getInfo.php?workbook=12_04.xlsx&amp;sheet=U0&amp;row=962&amp;col=7&amp;number=0.00142&amp;sourceID=14","0.00142")</f>
        <v>0.00142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HYPERLINK("http://141.218.60.56/~jnz1568/getInfo.php?workbook=12_04.xlsx&amp;sheet=U0&amp;row=963&amp;col=6&amp;number=4.9&amp;sourceID=14","4.9")</f>
        <v>4.9</v>
      </c>
      <c r="G963" s="4" t="str">
        <f>HYPERLINK("http://141.218.60.56/~jnz1568/getInfo.php?workbook=12_04.xlsx&amp;sheet=U0&amp;row=963&amp;col=7&amp;number=0.00131&amp;sourceID=14","0.00131")</f>
        <v>0.00131</v>
      </c>
    </row>
    <row r="964" spans="1:7">
      <c r="A964" s="3">
        <v>12</v>
      </c>
      <c r="B964" s="3">
        <v>4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HYPERLINK("http://141.218.60.56/~jnz1568/getInfo.php?workbook=12_04.xlsx&amp;sheet=U0&amp;row=964&amp;col=6&amp;number=3&amp;sourceID=14","3")</f>
        <v>3</v>
      </c>
      <c r="G964" s="4" t="str">
        <f>HYPERLINK("http://141.218.60.56/~jnz1568/getInfo.php?workbook=12_04.xlsx&amp;sheet=U0&amp;row=964&amp;col=7&amp;number=0.00714&amp;sourceID=14","0.00714")</f>
        <v>0.00714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HYPERLINK("http://141.218.60.56/~jnz1568/getInfo.php?workbook=12_04.xlsx&amp;sheet=U0&amp;row=965&amp;col=6&amp;number=3.1&amp;sourceID=14","3.1")</f>
        <v>3.1</v>
      </c>
      <c r="G965" s="4" t="str">
        <f>HYPERLINK("http://141.218.60.56/~jnz1568/getInfo.php?workbook=12_04.xlsx&amp;sheet=U0&amp;row=965&amp;col=7&amp;number=0.00713&amp;sourceID=14","0.00713")</f>
        <v>0.00713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HYPERLINK("http://141.218.60.56/~jnz1568/getInfo.php?workbook=12_04.xlsx&amp;sheet=U0&amp;row=966&amp;col=6&amp;number=3.2&amp;sourceID=14","3.2")</f>
        <v>3.2</v>
      </c>
      <c r="G966" s="4" t="str">
        <f>HYPERLINK("http://141.218.60.56/~jnz1568/getInfo.php?workbook=12_04.xlsx&amp;sheet=U0&amp;row=966&amp;col=7&amp;number=0.00712&amp;sourceID=14","0.00712")</f>
        <v>0.00712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HYPERLINK("http://141.218.60.56/~jnz1568/getInfo.php?workbook=12_04.xlsx&amp;sheet=U0&amp;row=967&amp;col=6&amp;number=3.3&amp;sourceID=14","3.3")</f>
        <v>3.3</v>
      </c>
      <c r="G967" s="4" t="str">
        <f>HYPERLINK("http://141.218.60.56/~jnz1568/getInfo.php?workbook=12_04.xlsx&amp;sheet=U0&amp;row=967&amp;col=7&amp;number=0.00711&amp;sourceID=14","0.00711")</f>
        <v>0.00711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HYPERLINK("http://141.218.60.56/~jnz1568/getInfo.php?workbook=12_04.xlsx&amp;sheet=U0&amp;row=968&amp;col=6&amp;number=3.4&amp;sourceID=14","3.4")</f>
        <v>3.4</v>
      </c>
      <c r="G968" s="4" t="str">
        <f>HYPERLINK("http://141.218.60.56/~jnz1568/getInfo.php?workbook=12_04.xlsx&amp;sheet=U0&amp;row=968&amp;col=7&amp;number=0.0071&amp;sourceID=14","0.0071")</f>
        <v>0.0071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HYPERLINK("http://141.218.60.56/~jnz1568/getInfo.php?workbook=12_04.xlsx&amp;sheet=U0&amp;row=969&amp;col=6&amp;number=3.5&amp;sourceID=14","3.5")</f>
        <v>3.5</v>
      </c>
      <c r="G969" s="4" t="str">
        <f>HYPERLINK("http://141.218.60.56/~jnz1568/getInfo.php?workbook=12_04.xlsx&amp;sheet=U0&amp;row=969&amp;col=7&amp;number=0.00708&amp;sourceID=14","0.00708")</f>
        <v>0.00708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HYPERLINK("http://141.218.60.56/~jnz1568/getInfo.php?workbook=12_04.xlsx&amp;sheet=U0&amp;row=970&amp;col=6&amp;number=3.6&amp;sourceID=14","3.6")</f>
        <v>3.6</v>
      </c>
      <c r="G970" s="4" t="str">
        <f>HYPERLINK("http://141.218.60.56/~jnz1568/getInfo.php?workbook=12_04.xlsx&amp;sheet=U0&amp;row=970&amp;col=7&amp;number=0.00706&amp;sourceID=14","0.00706")</f>
        <v>0.00706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HYPERLINK("http://141.218.60.56/~jnz1568/getInfo.php?workbook=12_04.xlsx&amp;sheet=U0&amp;row=971&amp;col=6&amp;number=3.7&amp;sourceID=14","3.7")</f>
        <v>3.7</v>
      </c>
      <c r="G971" s="4" t="str">
        <f>HYPERLINK("http://141.218.60.56/~jnz1568/getInfo.php?workbook=12_04.xlsx&amp;sheet=U0&amp;row=971&amp;col=7&amp;number=0.00703&amp;sourceID=14","0.00703")</f>
        <v>0.00703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HYPERLINK("http://141.218.60.56/~jnz1568/getInfo.php?workbook=12_04.xlsx&amp;sheet=U0&amp;row=972&amp;col=6&amp;number=3.8&amp;sourceID=14","3.8")</f>
        <v>3.8</v>
      </c>
      <c r="G972" s="4" t="str">
        <f>HYPERLINK("http://141.218.60.56/~jnz1568/getInfo.php?workbook=12_04.xlsx&amp;sheet=U0&amp;row=972&amp;col=7&amp;number=0.007&amp;sourceID=14","0.007")</f>
        <v>0.007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HYPERLINK("http://141.218.60.56/~jnz1568/getInfo.php?workbook=12_04.xlsx&amp;sheet=U0&amp;row=973&amp;col=6&amp;number=3.9&amp;sourceID=14","3.9")</f>
        <v>3.9</v>
      </c>
      <c r="G973" s="4" t="str">
        <f>HYPERLINK("http://141.218.60.56/~jnz1568/getInfo.php?workbook=12_04.xlsx&amp;sheet=U0&amp;row=973&amp;col=7&amp;number=0.00696&amp;sourceID=14","0.00696")</f>
        <v>0.00696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HYPERLINK("http://141.218.60.56/~jnz1568/getInfo.php?workbook=12_04.xlsx&amp;sheet=U0&amp;row=974&amp;col=6&amp;number=4&amp;sourceID=14","4")</f>
        <v>4</v>
      </c>
      <c r="G974" s="4" t="str">
        <f>HYPERLINK("http://141.218.60.56/~jnz1568/getInfo.php?workbook=12_04.xlsx&amp;sheet=U0&amp;row=974&amp;col=7&amp;number=0.0069&amp;sourceID=14","0.0069")</f>
        <v>0.0069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HYPERLINK("http://141.218.60.56/~jnz1568/getInfo.php?workbook=12_04.xlsx&amp;sheet=U0&amp;row=975&amp;col=6&amp;number=4.1&amp;sourceID=14","4.1")</f>
        <v>4.1</v>
      </c>
      <c r="G975" s="4" t="str">
        <f>HYPERLINK("http://141.218.60.56/~jnz1568/getInfo.php?workbook=12_04.xlsx&amp;sheet=U0&amp;row=975&amp;col=7&amp;number=0.00683&amp;sourceID=14","0.00683")</f>
        <v>0.00683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HYPERLINK("http://141.218.60.56/~jnz1568/getInfo.php?workbook=12_04.xlsx&amp;sheet=U0&amp;row=976&amp;col=6&amp;number=4.2&amp;sourceID=14","4.2")</f>
        <v>4.2</v>
      </c>
      <c r="G976" s="4" t="str">
        <f>HYPERLINK("http://141.218.60.56/~jnz1568/getInfo.php?workbook=12_04.xlsx&amp;sheet=U0&amp;row=976&amp;col=7&amp;number=0.00675&amp;sourceID=14","0.00675")</f>
        <v>0.00675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HYPERLINK("http://141.218.60.56/~jnz1568/getInfo.php?workbook=12_04.xlsx&amp;sheet=U0&amp;row=977&amp;col=6&amp;number=4.3&amp;sourceID=14","4.3")</f>
        <v>4.3</v>
      </c>
      <c r="G977" s="4" t="str">
        <f>HYPERLINK("http://141.218.60.56/~jnz1568/getInfo.php?workbook=12_04.xlsx&amp;sheet=U0&amp;row=977&amp;col=7&amp;number=0.00664&amp;sourceID=14","0.00664")</f>
        <v>0.00664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HYPERLINK("http://141.218.60.56/~jnz1568/getInfo.php?workbook=12_04.xlsx&amp;sheet=U0&amp;row=978&amp;col=6&amp;number=4.4&amp;sourceID=14","4.4")</f>
        <v>4.4</v>
      </c>
      <c r="G978" s="4" t="str">
        <f>HYPERLINK("http://141.218.60.56/~jnz1568/getInfo.php?workbook=12_04.xlsx&amp;sheet=U0&amp;row=978&amp;col=7&amp;number=0.00651&amp;sourceID=14","0.00651")</f>
        <v>0.00651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HYPERLINK("http://141.218.60.56/~jnz1568/getInfo.php?workbook=12_04.xlsx&amp;sheet=U0&amp;row=979&amp;col=6&amp;number=4.5&amp;sourceID=14","4.5")</f>
        <v>4.5</v>
      </c>
      <c r="G979" s="4" t="str">
        <f>HYPERLINK("http://141.218.60.56/~jnz1568/getInfo.php?workbook=12_04.xlsx&amp;sheet=U0&amp;row=979&amp;col=7&amp;number=0.00634&amp;sourceID=14","0.00634")</f>
        <v>0.00634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HYPERLINK("http://141.218.60.56/~jnz1568/getInfo.php?workbook=12_04.xlsx&amp;sheet=U0&amp;row=980&amp;col=6&amp;number=4.6&amp;sourceID=14","4.6")</f>
        <v>4.6</v>
      </c>
      <c r="G980" s="4" t="str">
        <f>HYPERLINK("http://141.218.60.56/~jnz1568/getInfo.php?workbook=12_04.xlsx&amp;sheet=U0&amp;row=980&amp;col=7&amp;number=0.00613&amp;sourceID=14","0.00613")</f>
        <v>0.00613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HYPERLINK("http://141.218.60.56/~jnz1568/getInfo.php?workbook=12_04.xlsx&amp;sheet=U0&amp;row=981&amp;col=6&amp;number=4.7&amp;sourceID=14","4.7")</f>
        <v>4.7</v>
      </c>
      <c r="G981" s="4" t="str">
        <f>HYPERLINK("http://141.218.60.56/~jnz1568/getInfo.php?workbook=12_04.xlsx&amp;sheet=U0&amp;row=981&amp;col=7&amp;number=0.00587&amp;sourceID=14","0.00587")</f>
        <v>0.00587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HYPERLINK("http://141.218.60.56/~jnz1568/getInfo.php?workbook=12_04.xlsx&amp;sheet=U0&amp;row=982&amp;col=6&amp;number=4.8&amp;sourceID=14","4.8")</f>
        <v>4.8</v>
      </c>
      <c r="G982" s="4" t="str">
        <f>HYPERLINK("http://141.218.60.56/~jnz1568/getInfo.php?workbook=12_04.xlsx&amp;sheet=U0&amp;row=982&amp;col=7&amp;number=0.00555&amp;sourceID=14","0.00555")</f>
        <v>0.00555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HYPERLINK("http://141.218.60.56/~jnz1568/getInfo.php?workbook=12_04.xlsx&amp;sheet=U0&amp;row=983&amp;col=6&amp;number=4.9&amp;sourceID=14","4.9")</f>
        <v>4.9</v>
      </c>
      <c r="G983" s="4" t="str">
        <f>HYPERLINK("http://141.218.60.56/~jnz1568/getInfo.php?workbook=12_04.xlsx&amp;sheet=U0&amp;row=983&amp;col=7&amp;number=0.00517&amp;sourceID=14","0.00517")</f>
        <v>0.00517</v>
      </c>
    </row>
    <row r="984" spans="1:7">
      <c r="A984" s="3">
        <v>12</v>
      </c>
      <c r="B984" s="3">
        <v>4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HYPERLINK("http://141.218.60.56/~jnz1568/getInfo.php?workbook=12_04.xlsx&amp;sheet=U0&amp;row=984&amp;col=6&amp;number=3&amp;sourceID=14","3")</f>
        <v>3</v>
      </c>
      <c r="G984" s="4" t="str">
        <f>HYPERLINK("http://141.218.60.56/~jnz1568/getInfo.php?workbook=12_04.xlsx&amp;sheet=U0&amp;row=984&amp;col=7&amp;number=0.0111&amp;sourceID=14","0.0111")</f>
        <v>0.0111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HYPERLINK("http://141.218.60.56/~jnz1568/getInfo.php?workbook=12_04.xlsx&amp;sheet=U0&amp;row=985&amp;col=6&amp;number=3.1&amp;sourceID=14","3.1")</f>
        <v>3.1</v>
      </c>
      <c r="G985" s="4" t="str">
        <f>HYPERLINK("http://141.218.60.56/~jnz1568/getInfo.php?workbook=12_04.xlsx&amp;sheet=U0&amp;row=985&amp;col=7&amp;number=0.0111&amp;sourceID=14","0.0111")</f>
        <v>0.0111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HYPERLINK("http://141.218.60.56/~jnz1568/getInfo.php?workbook=12_04.xlsx&amp;sheet=U0&amp;row=986&amp;col=6&amp;number=3.2&amp;sourceID=14","3.2")</f>
        <v>3.2</v>
      </c>
      <c r="G986" s="4" t="str">
        <f>HYPERLINK("http://141.218.60.56/~jnz1568/getInfo.php?workbook=12_04.xlsx&amp;sheet=U0&amp;row=986&amp;col=7&amp;number=0.0111&amp;sourceID=14","0.0111")</f>
        <v>0.0111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HYPERLINK("http://141.218.60.56/~jnz1568/getInfo.php?workbook=12_04.xlsx&amp;sheet=U0&amp;row=987&amp;col=6&amp;number=3.3&amp;sourceID=14","3.3")</f>
        <v>3.3</v>
      </c>
      <c r="G987" s="4" t="str">
        <f>HYPERLINK("http://141.218.60.56/~jnz1568/getInfo.php?workbook=12_04.xlsx&amp;sheet=U0&amp;row=987&amp;col=7&amp;number=0.011&amp;sourceID=14","0.011")</f>
        <v>0.011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HYPERLINK("http://141.218.60.56/~jnz1568/getInfo.php?workbook=12_04.xlsx&amp;sheet=U0&amp;row=988&amp;col=6&amp;number=3.4&amp;sourceID=14","3.4")</f>
        <v>3.4</v>
      </c>
      <c r="G988" s="4" t="str">
        <f>HYPERLINK("http://141.218.60.56/~jnz1568/getInfo.php?workbook=12_04.xlsx&amp;sheet=U0&amp;row=988&amp;col=7&amp;number=0.011&amp;sourceID=14","0.011")</f>
        <v>0.011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HYPERLINK("http://141.218.60.56/~jnz1568/getInfo.php?workbook=12_04.xlsx&amp;sheet=U0&amp;row=989&amp;col=6&amp;number=3.5&amp;sourceID=14","3.5")</f>
        <v>3.5</v>
      </c>
      <c r="G989" s="4" t="str">
        <f>HYPERLINK("http://141.218.60.56/~jnz1568/getInfo.php?workbook=12_04.xlsx&amp;sheet=U0&amp;row=989&amp;col=7&amp;number=0.011&amp;sourceID=14","0.011")</f>
        <v>0.011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HYPERLINK("http://141.218.60.56/~jnz1568/getInfo.php?workbook=12_04.xlsx&amp;sheet=U0&amp;row=990&amp;col=6&amp;number=3.6&amp;sourceID=14","3.6")</f>
        <v>3.6</v>
      </c>
      <c r="G990" s="4" t="str">
        <f>HYPERLINK("http://141.218.60.56/~jnz1568/getInfo.php?workbook=12_04.xlsx&amp;sheet=U0&amp;row=990&amp;col=7&amp;number=0.0109&amp;sourceID=14","0.0109")</f>
        <v>0.0109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HYPERLINK("http://141.218.60.56/~jnz1568/getInfo.php?workbook=12_04.xlsx&amp;sheet=U0&amp;row=991&amp;col=6&amp;number=3.7&amp;sourceID=14","3.7")</f>
        <v>3.7</v>
      </c>
      <c r="G991" s="4" t="str">
        <f>HYPERLINK("http://141.218.60.56/~jnz1568/getInfo.php?workbook=12_04.xlsx&amp;sheet=U0&amp;row=991&amp;col=7&amp;number=0.0109&amp;sourceID=14","0.0109")</f>
        <v>0.0109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HYPERLINK("http://141.218.60.56/~jnz1568/getInfo.php?workbook=12_04.xlsx&amp;sheet=U0&amp;row=992&amp;col=6&amp;number=3.8&amp;sourceID=14","3.8")</f>
        <v>3.8</v>
      </c>
      <c r="G992" s="4" t="str">
        <f>HYPERLINK("http://141.218.60.56/~jnz1568/getInfo.php?workbook=12_04.xlsx&amp;sheet=U0&amp;row=992&amp;col=7&amp;number=0.0108&amp;sourceID=14","0.0108")</f>
        <v>0.0108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HYPERLINK("http://141.218.60.56/~jnz1568/getInfo.php?workbook=12_04.xlsx&amp;sheet=U0&amp;row=993&amp;col=6&amp;number=3.9&amp;sourceID=14","3.9")</f>
        <v>3.9</v>
      </c>
      <c r="G993" s="4" t="str">
        <f>HYPERLINK("http://141.218.60.56/~jnz1568/getInfo.php?workbook=12_04.xlsx&amp;sheet=U0&amp;row=993&amp;col=7&amp;number=0.0107&amp;sourceID=14","0.0107")</f>
        <v>0.0107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HYPERLINK("http://141.218.60.56/~jnz1568/getInfo.php?workbook=12_04.xlsx&amp;sheet=U0&amp;row=994&amp;col=6&amp;number=4&amp;sourceID=14","4")</f>
        <v>4</v>
      </c>
      <c r="G994" s="4" t="str">
        <f>HYPERLINK("http://141.218.60.56/~jnz1568/getInfo.php?workbook=12_04.xlsx&amp;sheet=U0&amp;row=994&amp;col=7&amp;number=0.0106&amp;sourceID=14","0.0106")</f>
        <v>0.0106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HYPERLINK("http://141.218.60.56/~jnz1568/getInfo.php?workbook=12_04.xlsx&amp;sheet=U0&amp;row=995&amp;col=6&amp;number=4.1&amp;sourceID=14","4.1")</f>
        <v>4.1</v>
      </c>
      <c r="G995" s="4" t="str">
        <f>HYPERLINK("http://141.218.60.56/~jnz1568/getInfo.php?workbook=12_04.xlsx&amp;sheet=U0&amp;row=995&amp;col=7&amp;number=0.0105&amp;sourceID=14","0.0105")</f>
        <v>0.0105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HYPERLINK("http://141.218.60.56/~jnz1568/getInfo.php?workbook=12_04.xlsx&amp;sheet=U0&amp;row=996&amp;col=6&amp;number=4.2&amp;sourceID=14","4.2")</f>
        <v>4.2</v>
      </c>
      <c r="G996" s="4" t="str">
        <f>HYPERLINK("http://141.218.60.56/~jnz1568/getInfo.php?workbook=12_04.xlsx&amp;sheet=U0&amp;row=996&amp;col=7&amp;number=0.0103&amp;sourceID=14","0.0103")</f>
        <v>0.0103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HYPERLINK("http://141.218.60.56/~jnz1568/getInfo.php?workbook=12_04.xlsx&amp;sheet=U0&amp;row=997&amp;col=6&amp;number=4.3&amp;sourceID=14","4.3")</f>
        <v>4.3</v>
      </c>
      <c r="G997" s="4" t="str">
        <f>HYPERLINK("http://141.218.60.56/~jnz1568/getInfo.php?workbook=12_04.xlsx&amp;sheet=U0&amp;row=997&amp;col=7&amp;number=0.0101&amp;sourceID=14","0.0101")</f>
        <v>0.0101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HYPERLINK("http://141.218.60.56/~jnz1568/getInfo.php?workbook=12_04.xlsx&amp;sheet=U0&amp;row=998&amp;col=6&amp;number=4.4&amp;sourceID=14","4.4")</f>
        <v>4.4</v>
      </c>
      <c r="G998" s="4" t="str">
        <f>HYPERLINK("http://141.218.60.56/~jnz1568/getInfo.php?workbook=12_04.xlsx&amp;sheet=U0&amp;row=998&amp;col=7&amp;number=0.00979&amp;sourceID=14","0.00979")</f>
        <v>0.00979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HYPERLINK("http://141.218.60.56/~jnz1568/getInfo.php?workbook=12_04.xlsx&amp;sheet=U0&amp;row=999&amp;col=6&amp;number=4.5&amp;sourceID=14","4.5")</f>
        <v>4.5</v>
      </c>
      <c r="G999" s="4" t="str">
        <f>HYPERLINK("http://141.218.60.56/~jnz1568/getInfo.php?workbook=12_04.xlsx&amp;sheet=U0&amp;row=999&amp;col=7&amp;number=0.00946&amp;sourceID=14","0.00946")</f>
        <v>0.00946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HYPERLINK("http://141.218.60.56/~jnz1568/getInfo.php?workbook=12_04.xlsx&amp;sheet=U0&amp;row=1000&amp;col=6&amp;number=4.6&amp;sourceID=14","4.6")</f>
        <v>4.6</v>
      </c>
      <c r="G1000" s="4" t="str">
        <f>HYPERLINK("http://141.218.60.56/~jnz1568/getInfo.php?workbook=12_04.xlsx&amp;sheet=U0&amp;row=1000&amp;col=7&amp;number=0.00904&amp;sourceID=14","0.00904")</f>
        <v>0.00904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HYPERLINK("http://141.218.60.56/~jnz1568/getInfo.php?workbook=12_04.xlsx&amp;sheet=U0&amp;row=1001&amp;col=6&amp;number=4.7&amp;sourceID=14","4.7")</f>
        <v>4.7</v>
      </c>
      <c r="G1001" s="4" t="str">
        <f>HYPERLINK("http://141.218.60.56/~jnz1568/getInfo.php?workbook=12_04.xlsx&amp;sheet=U0&amp;row=1001&amp;col=7&amp;number=0.00854&amp;sourceID=14","0.00854")</f>
        <v>0.00854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HYPERLINK("http://141.218.60.56/~jnz1568/getInfo.php?workbook=12_04.xlsx&amp;sheet=U0&amp;row=1002&amp;col=6&amp;number=4.8&amp;sourceID=14","4.8")</f>
        <v>4.8</v>
      </c>
      <c r="G1002" s="4" t="str">
        <f>HYPERLINK("http://141.218.60.56/~jnz1568/getInfo.php?workbook=12_04.xlsx&amp;sheet=U0&amp;row=1002&amp;col=7&amp;number=0.00794&amp;sourceID=14","0.00794")</f>
        <v>0.00794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HYPERLINK("http://141.218.60.56/~jnz1568/getInfo.php?workbook=12_04.xlsx&amp;sheet=U0&amp;row=1003&amp;col=6&amp;number=4.9&amp;sourceID=14","4.9")</f>
        <v>4.9</v>
      </c>
      <c r="G1003" s="4" t="str">
        <f>HYPERLINK("http://141.218.60.56/~jnz1568/getInfo.php?workbook=12_04.xlsx&amp;sheet=U0&amp;row=1003&amp;col=7&amp;number=0.00724&amp;sourceID=14","0.00724")</f>
        <v>0.00724</v>
      </c>
    </row>
    <row r="1004" spans="1:7">
      <c r="A1004" s="3">
        <v>12</v>
      </c>
      <c r="B1004" s="3">
        <v>4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HYPERLINK("http://141.218.60.56/~jnz1568/getInfo.php?workbook=12_04.xlsx&amp;sheet=U0&amp;row=1004&amp;col=6&amp;number=3&amp;sourceID=14","3")</f>
        <v>3</v>
      </c>
      <c r="G1004" s="4" t="str">
        <f>HYPERLINK("http://141.218.60.56/~jnz1568/getInfo.php?workbook=12_04.xlsx&amp;sheet=U0&amp;row=1004&amp;col=7&amp;number=0.0152&amp;sourceID=14","0.0152")</f>
        <v>0.0152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HYPERLINK("http://141.218.60.56/~jnz1568/getInfo.php?workbook=12_04.xlsx&amp;sheet=U0&amp;row=1005&amp;col=6&amp;number=3.1&amp;sourceID=14","3.1")</f>
        <v>3.1</v>
      </c>
      <c r="G1005" s="4" t="str">
        <f>HYPERLINK("http://141.218.60.56/~jnz1568/getInfo.php?workbook=12_04.xlsx&amp;sheet=U0&amp;row=1005&amp;col=7&amp;number=0.0152&amp;sourceID=14","0.0152")</f>
        <v>0.0152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HYPERLINK("http://141.218.60.56/~jnz1568/getInfo.php?workbook=12_04.xlsx&amp;sheet=U0&amp;row=1006&amp;col=6&amp;number=3.2&amp;sourceID=14","3.2")</f>
        <v>3.2</v>
      </c>
      <c r="G1006" s="4" t="str">
        <f>HYPERLINK("http://141.218.60.56/~jnz1568/getInfo.php?workbook=12_04.xlsx&amp;sheet=U0&amp;row=1006&amp;col=7&amp;number=0.0152&amp;sourceID=14","0.0152")</f>
        <v>0.0152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HYPERLINK("http://141.218.60.56/~jnz1568/getInfo.php?workbook=12_04.xlsx&amp;sheet=U0&amp;row=1007&amp;col=6&amp;number=3.3&amp;sourceID=14","3.3")</f>
        <v>3.3</v>
      </c>
      <c r="G1007" s="4" t="str">
        <f>HYPERLINK("http://141.218.60.56/~jnz1568/getInfo.php?workbook=12_04.xlsx&amp;sheet=U0&amp;row=1007&amp;col=7&amp;number=0.0151&amp;sourceID=14","0.0151")</f>
        <v>0.0151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HYPERLINK("http://141.218.60.56/~jnz1568/getInfo.php?workbook=12_04.xlsx&amp;sheet=U0&amp;row=1008&amp;col=6&amp;number=3.4&amp;sourceID=14","3.4")</f>
        <v>3.4</v>
      </c>
      <c r="G1008" s="4" t="str">
        <f>HYPERLINK("http://141.218.60.56/~jnz1568/getInfo.php?workbook=12_04.xlsx&amp;sheet=U0&amp;row=1008&amp;col=7&amp;number=0.0151&amp;sourceID=14","0.0151")</f>
        <v>0.0151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HYPERLINK("http://141.218.60.56/~jnz1568/getInfo.php?workbook=12_04.xlsx&amp;sheet=U0&amp;row=1009&amp;col=6&amp;number=3.5&amp;sourceID=14","3.5")</f>
        <v>3.5</v>
      </c>
      <c r="G1009" s="4" t="str">
        <f>HYPERLINK("http://141.218.60.56/~jnz1568/getInfo.php?workbook=12_04.xlsx&amp;sheet=U0&amp;row=1009&amp;col=7&amp;number=0.0151&amp;sourceID=14","0.0151")</f>
        <v>0.0151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HYPERLINK("http://141.218.60.56/~jnz1568/getInfo.php?workbook=12_04.xlsx&amp;sheet=U0&amp;row=1010&amp;col=6&amp;number=3.6&amp;sourceID=14","3.6")</f>
        <v>3.6</v>
      </c>
      <c r="G1010" s="4" t="str">
        <f>HYPERLINK("http://141.218.60.56/~jnz1568/getInfo.php?workbook=12_04.xlsx&amp;sheet=U0&amp;row=1010&amp;col=7&amp;number=0.0151&amp;sourceID=14","0.0151")</f>
        <v>0.0151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HYPERLINK("http://141.218.60.56/~jnz1568/getInfo.php?workbook=12_04.xlsx&amp;sheet=U0&amp;row=1011&amp;col=6&amp;number=3.7&amp;sourceID=14","3.7")</f>
        <v>3.7</v>
      </c>
      <c r="G1011" s="4" t="str">
        <f>HYPERLINK("http://141.218.60.56/~jnz1568/getInfo.php?workbook=12_04.xlsx&amp;sheet=U0&amp;row=1011&amp;col=7&amp;number=0.0151&amp;sourceID=14","0.0151")</f>
        <v>0.0151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HYPERLINK("http://141.218.60.56/~jnz1568/getInfo.php?workbook=12_04.xlsx&amp;sheet=U0&amp;row=1012&amp;col=6&amp;number=3.8&amp;sourceID=14","3.8")</f>
        <v>3.8</v>
      </c>
      <c r="G1012" s="4" t="str">
        <f>HYPERLINK("http://141.218.60.56/~jnz1568/getInfo.php?workbook=12_04.xlsx&amp;sheet=U0&amp;row=1012&amp;col=7&amp;number=0.015&amp;sourceID=14","0.015")</f>
        <v>0.015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HYPERLINK("http://141.218.60.56/~jnz1568/getInfo.php?workbook=12_04.xlsx&amp;sheet=U0&amp;row=1013&amp;col=6&amp;number=3.9&amp;sourceID=14","3.9")</f>
        <v>3.9</v>
      </c>
      <c r="G1013" s="4" t="str">
        <f>HYPERLINK("http://141.218.60.56/~jnz1568/getInfo.php?workbook=12_04.xlsx&amp;sheet=U0&amp;row=1013&amp;col=7&amp;number=0.015&amp;sourceID=14","0.015")</f>
        <v>0.015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HYPERLINK("http://141.218.60.56/~jnz1568/getInfo.php?workbook=12_04.xlsx&amp;sheet=U0&amp;row=1014&amp;col=6&amp;number=4&amp;sourceID=14","4")</f>
        <v>4</v>
      </c>
      <c r="G1014" s="4" t="str">
        <f>HYPERLINK("http://141.218.60.56/~jnz1568/getInfo.php?workbook=12_04.xlsx&amp;sheet=U0&amp;row=1014&amp;col=7&amp;number=0.0149&amp;sourceID=14","0.0149")</f>
        <v>0.0149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HYPERLINK("http://141.218.60.56/~jnz1568/getInfo.php?workbook=12_04.xlsx&amp;sheet=U0&amp;row=1015&amp;col=6&amp;number=4.1&amp;sourceID=14","4.1")</f>
        <v>4.1</v>
      </c>
      <c r="G1015" s="4" t="str">
        <f>HYPERLINK("http://141.218.60.56/~jnz1568/getInfo.php?workbook=12_04.xlsx&amp;sheet=U0&amp;row=1015&amp;col=7&amp;number=0.0148&amp;sourceID=14","0.0148")</f>
        <v>0.0148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HYPERLINK("http://141.218.60.56/~jnz1568/getInfo.php?workbook=12_04.xlsx&amp;sheet=U0&amp;row=1016&amp;col=6&amp;number=4.2&amp;sourceID=14","4.2")</f>
        <v>4.2</v>
      </c>
      <c r="G1016" s="4" t="str">
        <f>HYPERLINK("http://141.218.60.56/~jnz1568/getInfo.php?workbook=12_04.xlsx&amp;sheet=U0&amp;row=1016&amp;col=7&amp;number=0.0147&amp;sourceID=14","0.0147")</f>
        <v>0.0147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HYPERLINK("http://141.218.60.56/~jnz1568/getInfo.php?workbook=12_04.xlsx&amp;sheet=U0&amp;row=1017&amp;col=6&amp;number=4.3&amp;sourceID=14","4.3")</f>
        <v>4.3</v>
      </c>
      <c r="G1017" s="4" t="str">
        <f>HYPERLINK("http://141.218.60.56/~jnz1568/getInfo.php?workbook=12_04.xlsx&amp;sheet=U0&amp;row=1017&amp;col=7&amp;number=0.0146&amp;sourceID=14","0.0146")</f>
        <v>0.0146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HYPERLINK("http://141.218.60.56/~jnz1568/getInfo.php?workbook=12_04.xlsx&amp;sheet=U0&amp;row=1018&amp;col=6&amp;number=4.4&amp;sourceID=14","4.4")</f>
        <v>4.4</v>
      </c>
      <c r="G1018" s="4" t="str">
        <f>HYPERLINK("http://141.218.60.56/~jnz1568/getInfo.php?workbook=12_04.xlsx&amp;sheet=U0&amp;row=1018&amp;col=7&amp;number=0.0144&amp;sourceID=14","0.0144")</f>
        <v>0.0144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HYPERLINK("http://141.218.60.56/~jnz1568/getInfo.php?workbook=12_04.xlsx&amp;sheet=U0&amp;row=1019&amp;col=6&amp;number=4.5&amp;sourceID=14","4.5")</f>
        <v>4.5</v>
      </c>
      <c r="G1019" s="4" t="str">
        <f>HYPERLINK("http://141.218.60.56/~jnz1568/getInfo.php?workbook=12_04.xlsx&amp;sheet=U0&amp;row=1019&amp;col=7&amp;number=0.0142&amp;sourceID=14","0.0142")</f>
        <v>0.0142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HYPERLINK("http://141.218.60.56/~jnz1568/getInfo.php?workbook=12_04.xlsx&amp;sheet=U0&amp;row=1020&amp;col=6&amp;number=4.6&amp;sourceID=14","4.6")</f>
        <v>4.6</v>
      </c>
      <c r="G1020" s="4" t="str">
        <f>HYPERLINK("http://141.218.60.56/~jnz1568/getInfo.php?workbook=12_04.xlsx&amp;sheet=U0&amp;row=1020&amp;col=7&amp;number=0.014&amp;sourceID=14","0.014")</f>
        <v>0.014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HYPERLINK("http://141.218.60.56/~jnz1568/getInfo.php?workbook=12_04.xlsx&amp;sheet=U0&amp;row=1021&amp;col=6&amp;number=4.7&amp;sourceID=14","4.7")</f>
        <v>4.7</v>
      </c>
      <c r="G1021" s="4" t="str">
        <f>HYPERLINK("http://141.218.60.56/~jnz1568/getInfo.php?workbook=12_04.xlsx&amp;sheet=U0&amp;row=1021&amp;col=7&amp;number=0.0137&amp;sourceID=14","0.0137")</f>
        <v>0.0137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HYPERLINK("http://141.218.60.56/~jnz1568/getInfo.php?workbook=12_04.xlsx&amp;sheet=U0&amp;row=1022&amp;col=6&amp;number=4.8&amp;sourceID=14","4.8")</f>
        <v>4.8</v>
      </c>
      <c r="G1022" s="4" t="str">
        <f>HYPERLINK("http://141.218.60.56/~jnz1568/getInfo.php?workbook=12_04.xlsx&amp;sheet=U0&amp;row=1022&amp;col=7&amp;number=0.0133&amp;sourceID=14","0.0133")</f>
        <v>0.0133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HYPERLINK("http://141.218.60.56/~jnz1568/getInfo.php?workbook=12_04.xlsx&amp;sheet=U0&amp;row=1023&amp;col=6&amp;number=4.9&amp;sourceID=14","4.9")</f>
        <v>4.9</v>
      </c>
      <c r="G1023" s="4" t="str">
        <f>HYPERLINK("http://141.218.60.56/~jnz1568/getInfo.php?workbook=12_04.xlsx&amp;sheet=U0&amp;row=1023&amp;col=7&amp;number=0.0129&amp;sourceID=14","0.0129")</f>
        <v>0.0129</v>
      </c>
    </row>
    <row r="1024" spans="1:7">
      <c r="A1024" s="3">
        <v>12</v>
      </c>
      <c r="B1024" s="3">
        <v>4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HYPERLINK("http://141.218.60.56/~jnz1568/getInfo.php?workbook=12_04.xlsx&amp;sheet=U0&amp;row=1024&amp;col=6&amp;number=3&amp;sourceID=14","3")</f>
        <v>3</v>
      </c>
      <c r="G1024" s="4" t="str">
        <f>HYPERLINK("http://141.218.60.56/~jnz1568/getInfo.php?workbook=12_04.xlsx&amp;sheet=U0&amp;row=1024&amp;col=7&amp;number=0.00389&amp;sourceID=14","0.00389")</f>
        <v>0.00389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HYPERLINK("http://141.218.60.56/~jnz1568/getInfo.php?workbook=12_04.xlsx&amp;sheet=U0&amp;row=1025&amp;col=6&amp;number=3.1&amp;sourceID=14","3.1")</f>
        <v>3.1</v>
      </c>
      <c r="G1025" s="4" t="str">
        <f>HYPERLINK("http://141.218.60.56/~jnz1568/getInfo.php?workbook=12_04.xlsx&amp;sheet=U0&amp;row=1025&amp;col=7&amp;number=0.00388&amp;sourceID=14","0.00388")</f>
        <v>0.00388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HYPERLINK("http://141.218.60.56/~jnz1568/getInfo.php?workbook=12_04.xlsx&amp;sheet=U0&amp;row=1026&amp;col=6&amp;number=3.2&amp;sourceID=14","3.2")</f>
        <v>3.2</v>
      </c>
      <c r="G1026" s="4" t="str">
        <f>HYPERLINK("http://141.218.60.56/~jnz1568/getInfo.php?workbook=12_04.xlsx&amp;sheet=U0&amp;row=1026&amp;col=7&amp;number=0.00388&amp;sourceID=14","0.00388")</f>
        <v>0.00388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HYPERLINK("http://141.218.60.56/~jnz1568/getInfo.php?workbook=12_04.xlsx&amp;sheet=U0&amp;row=1027&amp;col=6&amp;number=3.3&amp;sourceID=14","3.3")</f>
        <v>3.3</v>
      </c>
      <c r="G1027" s="4" t="str">
        <f>HYPERLINK("http://141.218.60.56/~jnz1568/getInfo.php?workbook=12_04.xlsx&amp;sheet=U0&amp;row=1027&amp;col=7&amp;number=0.00388&amp;sourceID=14","0.00388")</f>
        <v>0.00388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HYPERLINK("http://141.218.60.56/~jnz1568/getInfo.php?workbook=12_04.xlsx&amp;sheet=U0&amp;row=1028&amp;col=6&amp;number=3.4&amp;sourceID=14","3.4")</f>
        <v>3.4</v>
      </c>
      <c r="G1028" s="4" t="str">
        <f>HYPERLINK("http://141.218.60.56/~jnz1568/getInfo.php?workbook=12_04.xlsx&amp;sheet=U0&amp;row=1028&amp;col=7&amp;number=0.00387&amp;sourceID=14","0.00387")</f>
        <v>0.00387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HYPERLINK("http://141.218.60.56/~jnz1568/getInfo.php?workbook=12_04.xlsx&amp;sheet=U0&amp;row=1029&amp;col=6&amp;number=3.5&amp;sourceID=14","3.5")</f>
        <v>3.5</v>
      </c>
      <c r="G1029" s="4" t="str">
        <f>HYPERLINK("http://141.218.60.56/~jnz1568/getInfo.php?workbook=12_04.xlsx&amp;sheet=U0&amp;row=1029&amp;col=7&amp;number=0.00387&amp;sourceID=14","0.00387")</f>
        <v>0.00387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HYPERLINK("http://141.218.60.56/~jnz1568/getInfo.php?workbook=12_04.xlsx&amp;sheet=U0&amp;row=1030&amp;col=6&amp;number=3.6&amp;sourceID=14","3.6")</f>
        <v>3.6</v>
      </c>
      <c r="G1030" s="4" t="str">
        <f>HYPERLINK("http://141.218.60.56/~jnz1568/getInfo.php?workbook=12_04.xlsx&amp;sheet=U0&amp;row=1030&amp;col=7&amp;number=0.00386&amp;sourceID=14","0.00386")</f>
        <v>0.00386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HYPERLINK("http://141.218.60.56/~jnz1568/getInfo.php?workbook=12_04.xlsx&amp;sheet=U0&amp;row=1031&amp;col=6&amp;number=3.7&amp;sourceID=14","3.7")</f>
        <v>3.7</v>
      </c>
      <c r="G1031" s="4" t="str">
        <f>HYPERLINK("http://141.218.60.56/~jnz1568/getInfo.php?workbook=12_04.xlsx&amp;sheet=U0&amp;row=1031&amp;col=7&amp;number=0.00385&amp;sourceID=14","0.00385")</f>
        <v>0.00385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HYPERLINK("http://141.218.60.56/~jnz1568/getInfo.php?workbook=12_04.xlsx&amp;sheet=U0&amp;row=1032&amp;col=6&amp;number=3.8&amp;sourceID=14","3.8")</f>
        <v>3.8</v>
      </c>
      <c r="G1032" s="4" t="str">
        <f>HYPERLINK("http://141.218.60.56/~jnz1568/getInfo.php?workbook=12_04.xlsx&amp;sheet=U0&amp;row=1032&amp;col=7&amp;number=0.00384&amp;sourceID=14","0.00384")</f>
        <v>0.00384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HYPERLINK("http://141.218.60.56/~jnz1568/getInfo.php?workbook=12_04.xlsx&amp;sheet=U0&amp;row=1033&amp;col=6&amp;number=3.9&amp;sourceID=14","3.9")</f>
        <v>3.9</v>
      </c>
      <c r="G1033" s="4" t="str">
        <f>HYPERLINK("http://141.218.60.56/~jnz1568/getInfo.php?workbook=12_04.xlsx&amp;sheet=U0&amp;row=1033&amp;col=7&amp;number=0.00382&amp;sourceID=14","0.00382")</f>
        <v>0.00382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HYPERLINK("http://141.218.60.56/~jnz1568/getInfo.php?workbook=12_04.xlsx&amp;sheet=U0&amp;row=1034&amp;col=6&amp;number=4&amp;sourceID=14","4")</f>
        <v>4</v>
      </c>
      <c r="G1034" s="4" t="str">
        <f>HYPERLINK("http://141.218.60.56/~jnz1568/getInfo.php?workbook=12_04.xlsx&amp;sheet=U0&amp;row=1034&amp;col=7&amp;number=0.00381&amp;sourceID=14","0.00381")</f>
        <v>0.00381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HYPERLINK("http://141.218.60.56/~jnz1568/getInfo.php?workbook=12_04.xlsx&amp;sheet=U0&amp;row=1035&amp;col=6&amp;number=4.1&amp;sourceID=14","4.1")</f>
        <v>4.1</v>
      </c>
      <c r="G1035" s="4" t="str">
        <f>HYPERLINK("http://141.218.60.56/~jnz1568/getInfo.php?workbook=12_04.xlsx&amp;sheet=U0&amp;row=1035&amp;col=7&amp;number=0.00378&amp;sourceID=14","0.00378")</f>
        <v>0.00378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HYPERLINK("http://141.218.60.56/~jnz1568/getInfo.php?workbook=12_04.xlsx&amp;sheet=U0&amp;row=1036&amp;col=6&amp;number=4.2&amp;sourceID=14","4.2")</f>
        <v>4.2</v>
      </c>
      <c r="G1036" s="4" t="str">
        <f>HYPERLINK("http://141.218.60.56/~jnz1568/getInfo.php?workbook=12_04.xlsx&amp;sheet=U0&amp;row=1036&amp;col=7&amp;number=0.00376&amp;sourceID=14","0.00376")</f>
        <v>0.00376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HYPERLINK("http://141.218.60.56/~jnz1568/getInfo.php?workbook=12_04.xlsx&amp;sheet=U0&amp;row=1037&amp;col=6&amp;number=4.3&amp;sourceID=14","4.3")</f>
        <v>4.3</v>
      </c>
      <c r="G1037" s="4" t="str">
        <f>HYPERLINK("http://141.218.60.56/~jnz1568/getInfo.php?workbook=12_04.xlsx&amp;sheet=U0&amp;row=1037&amp;col=7&amp;number=0.00372&amp;sourceID=14","0.00372")</f>
        <v>0.00372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HYPERLINK("http://141.218.60.56/~jnz1568/getInfo.php?workbook=12_04.xlsx&amp;sheet=U0&amp;row=1038&amp;col=6&amp;number=4.4&amp;sourceID=14","4.4")</f>
        <v>4.4</v>
      </c>
      <c r="G1038" s="4" t="str">
        <f>HYPERLINK("http://141.218.60.56/~jnz1568/getInfo.php?workbook=12_04.xlsx&amp;sheet=U0&amp;row=1038&amp;col=7&amp;number=0.00368&amp;sourceID=14","0.00368")</f>
        <v>0.00368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HYPERLINK("http://141.218.60.56/~jnz1568/getInfo.php?workbook=12_04.xlsx&amp;sheet=U0&amp;row=1039&amp;col=6&amp;number=4.5&amp;sourceID=14","4.5")</f>
        <v>4.5</v>
      </c>
      <c r="G1039" s="4" t="str">
        <f>HYPERLINK("http://141.218.60.56/~jnz1568/getInfo.php?workbook=12_04.xlsx&amp;sheet=U0&amp;row=1039&amp;col=7&amp;number=0.00362&amp;sourceID=14","0.00362")</f>
        <v>0.00362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HYPERLINK("http://141.218.60.56/~jnz1568/getInfo.php?workbook=12_04.xlsx&amp;sheet=U0&amp;row=1040&amp;col=6&amp;number=4.6&amp;sourceID=14","4.6")</f>
        <v>4.6</v>
      </c>
      <c r="G1040" s="4" t="str">
        <f>HYPERLINK("http://141.218.60.56/~jnz1568/getInfo.php?workbook=12_04.xlsx&amp;sheet=U0&amp;row=1040&amp;col=7&amp;number=0.00356&amp;sourceID=14","0.00356")</f>
        <v>0.00356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HYPERLINK("http://141.218.60.56/~jnz1568/getInfo.php?workbook=12_04.xlsx&amp;sheet=U0&amp;row=1041&amp;col=6&amp;number=4.7&amp;sourceID=14","4.7")</f>
        <v>4.7</v>
      </c>
      <c r="G1041" s="4" t="str">
        <f>HYPERLINK("http://141.218.60.56/~jnz1568/getInfo.php?workbook=12_04.xlsx&amp;sheet=U0&amp;row=1041&amp;col=7&amp;number=0.00348&amp;sourceID=14","0.00348")</f>
        <v>0.00348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HYPERLINK("http://141.218.60.56/~jnz1568/getInfo.php?workbook=12_04.xlsx&amp;sheet=U0&amp;row=1042&amp;col=6&amp;number=4.8&amp;sourceID=14","4.8")</f>
        <v>4.8</v>
      </c>
      <c r="G1042" s="4" t="str">
        <f>HYPERLINK("http://141.218.60.56/~jnz1568/getInfo.php?workbook=12_04.xlsx&amp;sheet=U0&amp;row=1042&amp;col=7&amp;number=0.00338&amp;sourceID=14","0.00338")</f>
        <v>0.00338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HYPERLINK("http://141.218.60.56/~jnz1568/getInfo.php?workbook=12_04.xlsx&amp;sheet=U0&amp;row=1043&amp;col=6&amp;number=4.9&amp;sourceID=14","4.9")</f>
        <v>4.9</v>
      </c>
      <c r="G1043" s="4" t="str">
        <f>HYPERLINK("http://141.218.60.56/~jnz1568/getInfo.php?workbook=12_04.xlsx&amp;sheet=U0&amp;row=1043&amp;col=7&amp;number=0.00326&amp;sourceID=14","0.00326")</f>
        <v>0.00326</v>
      </c>
    </row>
    <row r="1044" spans="1:7">
      <c r="A1044" s="3">
        <v>12</v>
      </c>
      <c r="B1044" s="3">
        <v>4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HYPERLINK("http://141.218.60.56/~jnz1568/getInfo.php?workbook=12_04.xlsx&amp;sheet=U0&amp;row=1044&amp;col=6&amp;number=3&amp;sourceID=14","3")</f>
        <v>3</v>
      </c>
      <c r="G1044" s="4" t="str">
        <f>HYPERLINK("http://141.218.60.56/~jnz1568/getInfo.php?workbook=12_04.xlsx&amp;sheet=U0&amp;row=1044&amp;col=7&amp;number=0.00593&amp;sourceID=14","0.00593")</f>
        <v>0.00593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HYPERLINK("http://141.218.60.56/~jnz1568/getInfo.php?workbook=12_04.xlsx&amp;sheet=U0&amp;row=1045&amp;col=6&amp;number=3.1&amp;sourceID=14","3.1")</f>
        <v>3.1</v>
      </c>
      <c r="G1045" s="4" t="str">
        <f>HYPERLINK("http://141.218.60.56/~jnz1568/getInfo.php?workbook=12_04.xlsx&amp;sheet=U0&amp;row=1045&amp;col=7&amp;number=0.00592&amp;sourceID=14","0.00592")</f>
        <v>0.00592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HYPERLINK("http://141.218.60.56/~jnz1568/getInfo.php?workbook=12_04.xlsx&amp;sheet=U0&amp;row=1046&amp;col=6&amp;number=3.2&amp;sourceID=14","3.2")</f>
        <v>3.2</v>
      </c>
      <c r="G1046" s="4" t="str">
        <f>HYPERLINK("http://141.218.60.56/~jnz1568/getInfo.php?workbook=12_04.xlsx&amp;sheet=U0&amp;row=1046&amp;col=7&amp;number=0.00592&amp;sourceID=14","0.00592")</f>
        <v>0.00592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HYPERLINK("http://141.218.60.56/~jnz1568/getInfo.php?workbook=12_04.xlsx&amp;sheet=U0&amp;row=1047&amp;col=6&amp;number=3.3&amp;sourceID=14","3.3")</f>
        <v>3.3</v>
      </c>
      <c r="G1047" s="4" t="str">
        <f>HYPERLINK("http://141.218.60.56/~jnz1568/getInfo.php?workbook=12_04.xlsx&amp;sheet=U0&amp;row=1047&amp;col=7&amp;number=0.00592&amp;sourceID=14","0.00592")</f>
        <v>0.00592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HYPERLINK("http://141.218.60.56/~jnz1568/getInfo.php?workbook=12_04.xlsx&amp;sheet=U0&amp;row=1048&amp;col=6&amp;number=3.4&amp;sourceID=14","3.4")</f>
        <v>3.4</v>
      </c>
      <c r="G1048" s="4" t="str">
        <f>HYPERLINK("http://141.218.60.56/~jnz1568/getInfo.php?workbook=12_04.xlsx&amp;sheet=U0&amp;row=1048&amp;col=7&amp;number=0.00591&amp;sourceID=14","0.00591")</f>
        <v>0.00591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HYPERLINK("http://141.218.60.56/~jnz1568/getInfo.php?workbook=12_04.xlsx&amp;sheet=U0&amp;row=1049&amp;col=6&amp;number=3.5&amp;sourceID=14","3.5")</f>
        <v>3.5</v>
      </c>
      <c r="G1049" s="4" t="str">
        <f>HYPERLINK("http://141.218.60.56/~jnz1568/getInfo.php?workbook=12_04.xlsx&amp;sheet=U0&amp;row=1049&amp;col=7&amp;number=0.0059&amp;sourceID=14","0.0059")</f>
        <v>0.0059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HYPERLINK("http://141.218.60.56/~jnz1568/getInfo.php?workbook=12_04.xlsx&amp;sheet=U0&amp;row=1050&amp;col=6&amp;number=3.6&amp;sourceID=14","3.6")</f>
        <v>3.6</v>
      </c>
      <c r="G1050" s="4" t="str">
        <f>HYPERLINK("http://141.218.60.56/~jnz1568/getInfo.php?workbook=12_04.xlsx&amp;sheet=U0&amp;row=1050&amp;col=7&amp;number=0.0059&amp;sourceID=14","0.0059")</f>
        <v>0.0059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HYPERLINK("http://141.218.60.56/~jnz1568/getInfo.php?workbook=12_04.xlsx&amp;sheet=U0&amp;row=1051&amp;col=6&amp;number=3.7&amp;sourceID=14","3.7")</f>
        <v>3.7</v>
      </c>
      <c r="G1051" s="4" t="str">
        <f>HYPERLINK("http://141.218.60.56/~jnz1568/getInfo.php?workbook=12_04.xlsx&amp;sheet=U0&amp;row=1051&amp;col=7&amp;number=0.00588&amp;sourceID=14","0.00588")</f>
        <v>0.00588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HYPERLINK("http://141.218.60.56/~jnz1568/getInfo.php?workbook=12_04.xlsx&amp;sheet=U0&amp;row=1052&amp;col=6&amp;number=3.8&amp;sourceID=14","3.8")</f>
        <v>3.8</v>
      </c>
      <c r="G1052" s="4" t="str">
        <f>HYPERLINK("http://141.218.60.56/~jnz1568/getInfo.php?workbook=12_04.xlsx&amp;sheet=U0&amp;row=1052&amp;col=7&amp;number=0.00587&amp;sourceID=14","0.00587")</f>
        <v>0.00587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HYPERLINK("http://141.218.60.56/~jnz1568/getInfo.php?workbook=12_04.xlsx&amp;sheet=U0&amp;row=1053&amp;col=6&amp;number=3.9&amp;sourceID=14","3.9")</f>
        <v>3.9</v>
      </c>
      <c r="G1053" s="4" t="str">
        <f>HYPERLINK("http://141.218.60.56/~jnz1568/getInfo.php?workbook=12_04.xlsx&amp;sheet=U0&amp;row=1053&amp;col=7&amp;number=0.00585&amp;sourceID=14","0.00585")</f>
        <v>0.00585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HYPERLINK("http://141.218.60.56/~jnz1568/getInfo.php?workbook=12_04.xlsx&amp;sheet=U0&amp;row=1054&amp;col=6&amp;number=4&amp;sourceID=14","4")</f>
        <v>4</v>
      </c>
      <c r="G1054" s="4" t="str">
        <f>HYPERLINK("http://141.218.60.56/~jnz1568/getInfo.php?workbook=12_04.xlsx&amp;sheet=U0&amp;row=1054&amp;col=7&amp;number=0.00583&amp;sourceID=14","0.00583")</f>
        <v>0.00583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HYPERLINK("http://141.218.60.56/~jnz1568/getInfo.php?workbook=12_04.xlsx&amp;sheet=U0&amp;row=1055&amp;col=6&amp;number=4.1&amp;sourceID=14","4.1")</f>
        <v>4.1</v>
      </c>
      <c r="G1055" s="4" t="str">
        <f>HYPERLINK("http://141.218.60.56/~jnz1568/getInfo.php?workbook=12_04.xlsx&amp;sheet=U0&amp;row=1055&amp;col=7&amp;number=0.00581&amp;sourceID=14","0.00581")</f>
        <v>0.00581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HYPERLINK("http://141.218.60.56/~jnz1568/getInfo.php?workbook=12_04.xlsx&amp;sheet=U0&amp;row=1056&amp;col=6&amp;number=4.2&amp;sourceID=14","4.2")</f>
        <v>4.2</v>
      </c>
      <c r="G1056" s="4" t="str">
        <f>HYPERLINK("http://141.218.60.56/~jnz1568/getInfo.php?workbook=12_04.xlsx&amp;sheet=U0&amp;row=1056&amp;col=7&amp;number=0.00577&amp;sourceID=14","0.00577")</f>
        <v>0.00577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HYPERLINK("http://141.218.60.56/~jnz1568/getInfo.php?workbook=12_04.xlsx&amp;sheet=U0&amp;row=1057&amp;col=6&amp;number=4.3&amp;sourceID=14","4.3")</f>
        <v>4.3</v>
      </c>
      <c r="G1057" s="4" t="str">
        <f>HYPERLINK("http://141.218.60.56/~jnz1568/getInfo.php?workbook=12_04.xlsx&amp;sheet=U0&amp;row=1057&amp;col=7&amp;number=0.00573&amp;sourceID=14","0.00573")</f>
        <v>0.00573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HYPERLINK("http://141.218.60.56/~jnz1568/getInfo.php?workbook=12_04.xlsx&amp;sheet=U0&amp;row=1058&amp;col=6&amp;number=4.4&amp;sourceID=14","4.4")</f>
        <v>4.4</v>
      </c>
      <c r="G1058" s="4" t="str">
        <f>HYPERLINK("http://141.218.60.56/~jnz1568/getInfo.php?workbook=12_04.xlsx&amp;sheet=U0&amp;row=1058&amp;col=7&amp;number=0.00568&amp;sourceID=14","0.00568")</f>
        <v>0.00568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HYPERLINK("http://141.218.60.56/~jnz1568/getInfo.php?workbook=12_04.xlsx&amp;sheet=U0&amp;row=1059&amp;col=6&amp;number=4.5&amp;sourceID=14","4.5")</f>
        <v>4.5</v>
      </c>
      <c r="G1059" s="4" t="str">
        <f>HYPERLINK("http://141.218.60.56/~jnz1568/getInfo.php?workbook=12_04.xlsx&amp;sheet=U0&amp;row=1059&amp;col=7&amp;number=0.00561&amp;sourceID=14","0.00561")</f>
        <v>0.00561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HYPERLINK("http://141.218.60.56/~jnz1568/getInfo.php?workbook=12_04.xlsx&amp;sheet=U0&amp;row=1060&amp;col=6&amp;number=4.6&amp;sourceID=14","4.6")</f>
        <v>4.6</v>
      </c>
      <c r="G1060" s="4" t="str">
        <f>HYPERLINK("http://141.218.60.56/~jnz1568/getInfo.php?workbook=12_04.xlsx&amp;sheet=U0&amp;row=1060&amp;col=7&amp;number=0.00554&amp;sourceID=14","0.00554")</f>
        <v>0.00554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HYPERLINK("http://141.218.60.56/~jnz1568/getInfo.php?workbook=12_04.xlsx&amp;sheet=U0&amp;row=1061&amp;col=6&amp;number=4.7&amp;sourceID=14","4.7")</f>
        <v>4.7</v>
      </c>
      <c r="G1061" s="4" t="str">
        <f>HYPERLINK("http://141.218.60.56/~jnz1568/getInfo.php?workbook=12_04.xlsx&amp;sheet=U0&amp;row=1061&amp;col=7&amp;number=0.00544&amp;sourceID=14","0.00544")</f>
        <v>0.00544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HYPERLINK("http://141.218.60.56/~jnz1568/getInfo.php?workbook=12_04.xlsx&amp;sheet=U0&amp;row=1062&amp;col=6&amp;number=4.8&amp;sourceID=14","4.8")</f>
        <v>4.8</v>
      </c>
      <c r="G1062" s="4" t="str">
        <f>HYPERLINK("http://141.218.60.56/~jnz1568/getInfo.php?workbook=12_04.xlsx&amp;sheet=U0&amp;row=1062&amp;col=7&amp;number=0.00532&amp;sourceID=14","0.00532")</f>
        <v>0.00532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HYPERLINK("http://141.218.60.56/~jnz1568/getInfo.php?workbook=12_04.xlsx&amp;sheet=U0&amp;row=1063&amp;col=6&amp;number=4.9&amp;sourceID=14","4.9")</f>
        <v>4.9</v>
      </c>
      <c r="G1063" s="4" t="str">
        <f>HYPERLINK("http://141.218.60.56/~jnz1568/getInfo.php?workbook=12_04.xlsx&amp;sheet=U0&amp;row=1063&amp;col=7&amp;number=0.00518&amp;sourceID=14","0.00518")</f>
        <v>0.00518</v>
      </c>
    </row>
    <row r="1064" spans="1:7">
      <c r="A1064" s="3">
        <v>12</v>
      </c>
      <c r="B1064" s="3">
        <v>4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HYPERLINK("http://141.218.60.56/~jnz1568/getInfo.php?workbook=12_04.xlsx&amp;sheet=U0&amp;row=1064&amp;col=6&amp;number=3&amp;sourceID=14","3")</f>
        <v>3</v>
      </c>
      <c r="G1064" s="4" t="str">
        <f>HYPERLINK("http://141.218.60.56/~jnz1568/getInfo.php?workbook=12_04.xlsx&amp;sheet=U0&amp;row=1064&amp;col=7&amp;number=0.00909&amp;sourceID=14","0.00909")</f>
        <v>0.00909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HYPERLINK("http://141.218.60.56/~jnz1568/getInfo.php?workbook=12_04.xlsx&amp;sheet=U0&amp;row=1065&amp;col=6&amp;number=3.1&amp;sourceID=14","3.1")</f>
        <v>3.1</v>
      </c>
      <c r="G1065" s="4" t="str">
        <f>HYPERLINK("http://141.218.60.56/~jnz1568/getInfo.php?workbook=12_04.xlsx&amp;sheet=U0&amp;row=1065&amp;col=7&amp;number=0.00909&amp;sourceID=14","0.00909")</f>
        <v>0.00909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HYPERLINK("http://141.218.60.56/~jnz1568/getInfo.php?workbook=12_04.xlsx&amp;sheet=U0&amp;row=1066&amp;col=6&amp;number=3.2&amp;sourceID=14","3.2")</f>
        <v>3.2</v>
      </c>
      <c r="G1066" s="4" t="str">
        <f>HYPERLINK("http://141.218.60.56/~jnz1568/getInfo.php?workbook=12_04.xlsx&amp;sheet=U0&amp;row=1066&amp;col=7&amp;number=0.00908&amp;sourceID=14","0.00908")</f>
        <v>0.00908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HYPERLINK("http://141.218.60.56/~jnz1568/getInfo.php?workbook=12_04.xlsx&amp;sheet=U0&amp;row=1067&amp;col=6&amp;number=3.3&amp;sourceID=14","3.3")</f>
        <v>3.3</v>
      </c>
      <c r="G1067" s="4" t="str">
        <f>HYPERLINK("http://141.218.60.56/~jnz1568/getInfo.php?workbook=12_04.xlsx&amp;sheet=U0&amp;row=1067&amp;col=7&amp;number=0.00907&amp;sourceID=14","0.00907")</f>
        <v>0.00907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HYPERLINK("http://141.218.60.56/~jnz1568/getInfo.php?workbook=12_04.xlsx&amp;sheet=U0&amp;row=1068&amp;col=6&amp;number=3.4&amp;sourceID=14","3.4")</f>
        <v>3.4</v>
      </c>
      <c r="G1068" s="4" t="str">
        <f>HYPERLINK("http://141.218.60.56/~jnz1568/getInfo.php?workbook=12_04.xlsx&amp;sheet=U0&amp;row=1068&amp;col=7&amp;number=0.00906&amp;sourceID=14","0.00906")</f>
        <v>0.00906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HYPERLINK("http://141.218.60.56/~jnz1568/getInfo.php?workbook=12_04.xlsx&amp;sheet=U0&amp;row=1069&amp;col=6&amp;number=3.5&amp;sourceID=14","3.5")</f>
        <v>3.5</v>
      </c>
      <c r="G1069" s="4" t="str">
        <f>HYPERLINK("http://141.218.60.56/~jnz1568/getInfo.php?workbook=12_04.xlsx&amp;sheet=U0&amp;row=1069&amp;col=7&amp;number=0.00905&amp;sourceID=14","0.00905")</f>
        <v>0.00905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HYPERLINK("http://141.218.60.56/~jnz1568/getInfo.php?workbook=12_04.xlsx&amp;sheet=U0&amp;row=1070&amp;col=6&amp;number=3.6&amp;sourceID=14","3.6")</f>
        <v>3.6</v>
      </c>
      <c r="G1070" s="4" t="str">
        <f>HYPERLINK("http://141.218.60.56/~jnz1568/getInfo.php?workbook=12_04.xlsx&amp;sheet=U0&amp;row=1070&amp;col=7&amp;number=0.00903&amp;sourceID=14","0.00903")</f>
        <v>0.00903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HYPERLINK("http://141.218.60.56/~jnz1568/getInfo.php?workbook=12_04.xlsx&amp;sheet=U0&amp;row=1071&amp;col=6&amp;number=3.7&amp;sourceID=14","3.7")</f>
        <v>3.7</v>
      </c>
      <c r="G1071" s="4" t="str">
        <f>HYPERLINK("http://141.218.60.56/~jnz1568/getInfo.php?workbook=12_04.xlsx&amp;sheet=U0&amp;row=1071&amp;col=7&amp;number=0.00901&amp;sourceID=14","0.00901")</f>
        <v>0.00901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HYPERLINK("http://141.218.60.56/~jnz1568/getInfo.php?workbook=12_04.xlsx&amp;sheet=U0&amp;row=1072&amp;col=6&amp;number=3.8&amp;sourceID=14","3.8")</f>
        <v>3.8</v>
      </c>
      <c r="G1072" s="4" t="str">
        <f>HYPERLINK("http://141.218.60.56/~jnz1568/getInfo.php?workbook=12_04.xlsx&amp;sheet=U0&amp;row=1072&amp;col=7&amp;number=0.00898&amp;sourceID=14","0.00898")</f>
        <v>0.00898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HYPERLINK("http://141.218.60.56/~jnz1568/getInfo.php?workbook=12_04.xlsx&amp;sheet=U0&amp;row=1073&amp;col=6&amp;number=3.9&amp;sourceID=14","3.9")</f>
        <v>3.9</v>
      </c>
      <c r="G1073" s="4" t="str">
        <f>HYPERLINK("http://141.218.60.56/~jnz1568/getInfo.php?workbook=12_04.xlsx&amp;sheet=U0&amp;row=1073&amp;col=7&amp;number=0.00895&amp;sourceID=14","0.00895")</f>
        <v>0.00895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HYPERLINK("http://141.218.60.56/~jnz1568/getInfo.php?workbook=12_04.xlsx&amp;sheet=U0&amp;row=1074&amp;col=6&amp;number=4&amp;sourceID=14","4")</f>
        <v>4</v>
      </c>
      <c r="G1074" s="4" t="str">
        <f>HYPERLINK("http://141.218.60.56/~jnz1568/getInfo.php?workbook=12_04.xlsx&amp;sheet=U0&amp;row=1074&amp;col=7&amp;number=0.0089&amp;sourceID=14","0.0089")</f>
        <v>0.0089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HYPERLINK("http://141.218.60.56/~jnz1568/getInfo.php?workbook=12_04.xlsx&amp;sheet=U0&amp;row=1075&amp;col=6&amp;number=4.1&amp;sourceID=14","4.1")</f>
        <v>4.1</v>
      </c>
      <c r="G1075" s="4" t="str">
        <f>HYPERLINK("http://141.218.60.56/~jnz1568/getInfo.php?workbook=12_04.xlsx&amp;sheet=U0&amp;row=1075&amp;col=7&amp;number=0.00885&amp;sourceID=14","0.00885")</f>
        <v>0.00885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HYPERLINK("http://141.218.60.56/~jnz1568/getInfo.php?workbook=12_04.xlsx&amp;sheet=U0&amp;row=1076&amp;col=6&amp;number=4.2&amp;sourceID=14","4.2")</f>
        <v>4.2</v>
      </c>
      <c r="G1076" s="4" t="str">
        <f>HYPERLINK("http://141.218.60.56/~jnz1568/getInfo.php?workbook=12_04.xlsx&amp;sheet=U0&amp;row=1076&amp;col=7&amp;number=0.00878&amp;sourceID=14","0.00878")</f>
        <v>0.00878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HYPERLINK("http://141.218.60.56/~jnz1568/getInfo.php?workbook=12_04.xlsx&amp;sheet=U0&amp;row=1077&amp;col=6&amp;number=4.3&amp;sourceID=14","4.3")</f>
        <v>4.3</v>
      </c>
      <c r="G1077" s="4" t="str">
        <f>HYPERLINK("http://141.218.60.56/~jnz1568/getInfo.php?workbook=12_04.xlsx&amp;sheet=U0&amp;row=1077&amp;col=7&amp;number=0.0087&amp;sourceID=14","0.0087")</f>
        <v>0.0087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HYPERLINK("http://141.218.60.56/~jnz1568/getInfo.php?workbook=12_04.xlsx&amp;sheet=U0&amp;row=1078&amp;col=6&amp;number=4.4&amp;sourceID=14","4.4")</f>
        <v>4.4</v>
      </c>
      <c r="G1078" s="4" t="str">
        <f>HYPERLINK("http://141.218.60.56/~jnz1568/getInfo.php?workbook=12_04.xlsx&amp;sheet=U0&amp;row=1078&amp;col=7&amp;number=0.00859&amp;sourceID=14","0.00859")</f>
        <v>0.00859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HYPERLINK("http://141.218.60.56/~jnz1568/getInfo.php?workbook=12_04.xlsx&amp;sheet=U0&amp;row=1079&amp;col=6&amp;number=4.5&amp;sourceID=14","4.5")</f>
        <v>4.5</v>
      </c>
      <c r="G1079" s="4" t="str">
        <f>HYPERLINK("http://141.218.60.56/~jnz1568/getInfo.php?workbook=12_04.xlsx&amp;sheet=U0&amp;row=1079&amp;col=7&amp;number=0.00847&amp;sourceID=14","0.00847")</f>
        <v>0.00847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HYPERLINK("http://141.218.60.56/~jnz1568/getInfo.php?workbook=12_04.xlsx&amp;sheet=U0&amp;row=1080&amp;col=6&amp;number=4.6&amp;sourceID=14","4.6")</f>
        <v>4.6</v>
      </c>
      <c r="G1080" s="4" t="str">
        <f>HYPERLINK("http://141.218.60.56/~jnz1568/getInfo.php?workbook=12_04.xlsx&amp;sheet=U0&amp;row=1080&amp;col=7&amp;number=0.00831&amp;sourceID=14","0.00831")</f>
        <v>0.00831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HYPERLINK("http://141.218.60.56/~jnz1568/getInfo.php?workbook=12_04.xlsx&amp;sheet=U0&amp;row=1081&amp;col=6&amp;number=4.7&amp;sourceID=14","4.7")</f>
        <v>4.7</v>
      </c>
      <c r="G1081" s="4" t="str">
        <f>HYPERLINK("http://141.218.60.56/~jnz1568/getInfo.php?workbook=12_04.xlsx&amp;sheet=U0&amp;row=1081&amp;col=7&amp;number=0.00811&amp;sourceID=14","0.00811")</f>
        <v>0.00811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HYPERLINK("http://141.218.60.56/~jnz1568/getInfo.php?workbook=12_04.xlsx&amp;sheet=U0&amp;row=1082&amp;col=6&amp;number=4.8&amp;sourceID=14","4.8")</f>
        <v>4.8</v>
      </c>
      <c r="G1082" s="4" t="str">
        <f>HYPERLINK("http://141.218.60.56/~jnz1568/getInfo.php?workbook=12_04.xlsx&amp;sheet=U0&amp;row=1082&amp;col=7&amp;number=0.00788&amp;sourceID=14","0.00788")</f>
        <v>0.00788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HYPERLINK("http://141.218.60.56/~jnz1568/getInfo.php?workbook=12_04.xlsx&amp;sheet=U0&amp;row=1083&amp;col=6&amp;number=4.9&amp;sourceID=14","4.9")</f>
        <v>4.9</v>
      </c>
      <c r="G1083" s="4" t="str">
        <f>HYPERLINK("http://141.218.60.56/~jnz1568/getInfo.php?workbook=12_04.xlsx&amp;sheet=U0&amp;row=1083&amp;col=7&amp;number=0.0076&amp;sourceID=14","0.0076")</f>
        <v>0.0076</v>
      </c>
    </row>
    <row r="1084" spans="1:7">
      <c r="A1084" s="3">
        <v>12</v>
      </c>
      <c r="B1084" s="3">
        <v>4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HYPERLINK("http://141.218.60.56/~jnz1568/getInfo.php?workbook=12_04.xlsx&amp;sheet=U0&amp;row=1084&amp;col=6&amp;number=3&amp;sourceID=14","3")</f>
        <v>3</v>
      </c>
      <c r="G1084" s="4" t="str">
        <f>HYPERLINK("http://141.218.60.56/~jnz1568/getInfo.php?workbook=12_04.xlsx&amp;sheet=U0&amp;row=1084&amp;col=7&amp;number=0.0129&amp;sourceID=14","0.0129")</f>
        <v>0.0129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HYPERLINK("http://141.218.60.56/~jnz1568/getInfo.php?workbook=12_04.xlsx&amp;sheet=U0&amp;row=1085&amp;col=6&amp;number=3.1&amp;sourceID=14","3.1")</f>
        <v>3.1</v>
      </c>
      <c r="G1085" s="4" t="str">
        <f>HYPERLINK("http://141.218.60.56/~jnz1568/getInfo.php?workbook=12_04.xlsx&amp;sheet=U0&amp;row=1085&amp;col=7&amp;number=0.0129&amp;sourceID=14","0.0129")</f>
        <v>0.0129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HYPERLINK("http://141.218.60.56/~jnz1568/getInfo.php?workbook=12_04.xlsx&amp;sheet=U0&amp;row=1086&amp;col=6&amp;number=3.2&amp;sourceID=14","3.2")</f>
        <v>3.2</v>
      </c>
      <c r="G1086" s="4" t="str">
        <f>HYPERLINK("http://141.218.60.56/~jnz1568/getInfo.php?workbook=12_04.xlsx&amp;sheet=U0&amp;row=1086&amp;col=7&amp;number=0.0129&amp;sourceID=14","0.0129")</f>
        <v>0.0129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HYPERLINK("http://141.218.60.56/~jnz1568/getInfo.php?workbook=12_04.xlsx&amp;sheet=U0&amp;row=1087&amp;col=6&amp;number=3.3&amp;sourceID=14","3.3")</f>
        <v>3.3</v>
      </c>
      <c r="G1087" s="4" t="str">
        <f>HYPERLINK("http://141.218.60.56/~jnz1568/getInfo.php?workbook=12_04.xlsx&amp;sheet=U0&amp;row=1087&amp;col=7&amp;number=0.0129&amp;sourceID=14","0.0129")</f>
        <v>0.0129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HYPERLINK("http://141.218.60.56/~jnz1568/getInfo.php?workbook=12_04.xlsx&amp;sheet=U0&amp;row=1088&amp;col=6&amp;number=3.4&amp;sourceID=14","3.4")</f>
        <v>3.4</v>
      </c>
      <c r="G1088" s="4" t="str">
        <f>HYPERLINK("http://141.218.60.56/~jnz1568/getInfo.php?workbook=12_04.xlsx&amp;sheet=U0&amp;row=1088&amp;col=7&amp;number=0.0129&amp;sourceID=14","0.0129")</f>
        <v>0.0129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HYPERLINK("http://141.218.60.56/~jnz1568/getInfo.php?workbook=12_04.xlsx&amp;sheet=U0&amp;row=1089&amp;col=6&amp;number=3.5&amp;sourceID=14","3.5")</f>
        <v>3.5</v>
      </c>
      <c r="G1089" s="4" t="str">
        <f>HYPERLINK("http://141.218.60.56/~jnz1568/getInfo.php?workbook=12_04.xlsx&amp;sheet=U0&amp;row=1089&amp;col=7&amp;number=0.0129&amp;sourceID=14","0.0129")</f>
        <v>0.0129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HYPERLINK("http://141.218.60.56/~jnz1568/getInfo.php?workbook=12_04.xlsx&amp;sheet=U0&amp;row=1090&amp;col=6&amp;number=3.6&amp;sourceID=14","3.6")</f>
        <v>3.6</v>
      </c>
      <c r="G1090" s="4" t="str">
        <f>HYPERLINK("http://141.218.60.56/~jnz1568/getInfo.php?workbook=12_04.xlsx&amp;sheet=U0&amp;row=1090&amp;col=7&amp;number=0.013&amp;sourceID=14","0.013")</f>
        <v>0.013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HYPERLINK("http://141.218.60.56/~jnz1568/getInfo.php?workbook=12_04.xlsx&amp;sheet=U0&amp;row=1091&amp;col=6&amp;number=3.7&amp;sourceID=14","3.7")</f>
        <v>3.7</v>
      </c>
      <c r="G1091" s="4" t="str">
        <f>HYPERLINK("http://141.218.60.56/~jnz1568/getInfo.php?workbook=12_04.xlsx&amp;sheet=U0&amp;row=1091&amp;col=7&amp;number=0.013&amp;sourceID=14","0.013")</f>
        <v>0.013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HYPERLINK("http://141.218.60.56/~jnz1568/getInfo.php?workbook=12_04.xlsx&amp;sheet=U0&amp;row=1092&amp;col=6&amp;number=3.8&amp;sourceID=14","3.8")</f>
        <v>3.8</v>
      </c>
      <c r="G1092" s="4" t="str">
        <f>HYPERLINK("http://141.218.60.56/~jnz1568/getInfo.php?workbook=12_04.xlsx&amp;sheet=U0&amp;row=1092&amp;col=7&amp;number=0.013&amp;sourceID=14","0.013")</f>
        <v>0.013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HYPERLINK("http://141.218.60.56/~jnz1568/getInfo.php?workbook=12_04.xlsx&amp;sheet=U0&amp;row=1093&amp;col=6&amp;number=3.9&amp;sourceID=14","3.9")</f>
        <v>3.9</v>
      </c>
      <c r="G1093" s="4" t="str">
        <f>HYPERLINK("http://141.218.60.56/~jnz1568/getInfo.php?workbook=12_04.xlsx&amp;sheet=U0&amp;row=1093&amp;col=7&amp;number=0.013&amp;sourceID=14","0.013")</f>
        <v>0.013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HYPERLINK("http://141.218.60.56/~jnz1568/getInfo.php?workbook=12_04.xlsx&amp;sheet=U0&amp;row=1094&amp;col=6&amp;number=4&amp;sourceID=14","4")</f>
        <v>4</v>
      </c>
      <c r="G1094" s="4" t="str">
        <f>HYPERLINK("http://141.218.60.56/~jnz1568/getInfo.php?workbook=12_04.xlsx&amp;sheet=U0&amp;row=1094&amp;col=7&amp;number=0.013&amp;sourceID=14","0.013")</f>
        <v>0.013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HYPERLINK("http://141.218.60.56/~jnz1568/getInfo.php?workbook=12_04.xlsx&amp;sheet=U0&amp;row=1095&amp;col=6&amp;number=4.1&amp;sourceID=14","4.1")</f>
        <v>4.1</v>
      </c>
      <c r="G1095" s="4" t="str">
        <f>HYPERLINK("http://141.218.60.56/~jnz1568/getInfo.php?workbook=12_04.xlsx&amp;sheet=U0&amp;row=1095&amp;col=7&amp;number=0.013&amp;sourceID=14","0.013")</f>
        <v>0.013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HYPERLINK("http://141.218.60.56/~jnz1568/getInfo.php?workbook=12_04.xlsx&amp;sheet=U0&amp;row=1096&amp;col=6&amp;number=4.2&amp;sourceID=14","4.2")</f>
        <v>4.2</v>
      </c>
      <c r="G1096" s="4" t="str">
        <f>HYPERLINK("http://141.218.60.56/~jnz1568/getInfo.php?workbook=12_04.xlsx&amp;sheet=U0&amp;row=1096&amp;col=7&amp;number=0.013&amp;sourceID=14","0.013")</f>
        <v>0.013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HYPERLINK("http://141.218.60.56/~jnz1568/getInfo.php?workbook=12_04.xlsx&amp;sheet=U0&amp;row=1097&amp;col=6&amp;number=4.3&amp;sourceID=14","4.3")</f>
        <v>4.3</v>
      </c>
      <c r="G1097" s="4" t="str">
        <f>HYPERLINK("http://141.218.60.56/~jnz1568/getInfo.php?workbook=12_04.xlsx&amp;sheet=U0&amp;row=1097&amp;col=7&amp;number=0.013&amp;sourceID=14","0.013")</f>
        <v>0.013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HYPERLINK("http://141.218.60.56/~jnz1568/getInfo.php?workbook=12_04.xlsx&amp;sheet=U0&amp;row=1098&amp;col=6&amp;number=4.4&amp;sourceID=14","4.4")</f>
        <v>4.4</v>
      </c>
      <c r="G1098" s="4" t="str">
        <f>HYPERLINK("http://141.218.60.56/~jnz1568/getInfo.php?workbook=12_04.xlsx&amp;sheet=U0&amp;row=1098&amp;col=7&amp;number=0.0131&amp;sourceID=14","0.0131")</f>
        <v>0.0131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HYPERLINK("http://141.218.60.56/~jnz1568/getInfo.php?workbook=12_04.xlsx&amp;sheet=U0&amp;row=1099&amp;col=6&amp;number=4.5&amp;sourceID=14","4.5")</f>
        <v>4.5</v>
      </c>
      <c r="G1099" s="4" t="str">
        <f>HYPERLINK("http://141.218.60.56/~jnz1568/getInfo.php?workbook=12_04.xlsx&amp;sheet=U0&amp;row=1099&amp;col=7&amp;number=0.0131&amp;sourceID=14","0.0131")</f>
        <v>0.0131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HYPERLINK("http://141.218.60.56/~jnz1568/getInfo.php?workbook=12_04.xlsx&amp;sheet=U0&amp;row=1100&amp;col=6&amp;number=4.6&amp;sourceID=14","4.6")</f>
        <v>4.6</v>
      </c>
      <c r="G1100" s="4" t="str">
        <f>HYPERLINK("http://141.218.60.56/~jnz1568/getInfo.php?workbook=12_04.xlsx&amp;sheet=U0&amp;row=1100&amp;col=7&amp;number=0.0131&amp;sourceID=14","0.0131")</f>
        <v>0.0131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HYPERLINK("http://141.218.60.56/~jnz1568/getInfo.php?workbook=12_04.xlsx&amp;sheet=U0&amp;row=1101&amp;col=6&amp;number=4.7&amp;sourceID=14","4.7")</f>
        <v>4.7</v>
      </c>
      <c r="G1101" s="4" t="str">
        <f>HYPERLINK("http://141.218.60.56/~jnz1568/getInfo.php?workbook=12_04.xlsx&amp;sheet=U0&amp;row=1101&amp;col=7&amp;number=0.0132&amp;sourceID=14","0.0132")</f>
        <v>0.0132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HYPERLINK("http://141.218.60.56/~jnz1568/getInfo.php?workbook=12_04.xlsx&amp;sheet=U0&amp;row=1102&amp;col=6&amp;number=4.8&amp;sourceID=14","4.8")</f>
        <v>4.8</v>
      </c>
      <c r="G1102" s="4" t="str">
        <f>HYPERLINK("http://141.218.60.56/~jnz1568/getInfo.php?workbook=12_04.xlsx&amp;sheet=U0&amp;row=1102&amp;col=7&amp;number=0.0133&amp;sourceID=14","0.0133")</f>
        <v>0.0133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HYPERLINK("http://141.218.60.56/~jnz1568/getInfo.php?workbook=12_04.xlsx&amp;sheet=U0&amp;row=1103&amp;col=6&amp;number=4.9&amp;sourceID=14","4.9")</f>
        <v>4.9</v>
      </c>
      <c r="G1103" s="4" t="str">
        <f>HYPERLINK("http://141.218.60.56/~jnz1568/getInfo.php?workbook=12_04.xlsx&amp;sheet=U0&amp;row=1103&amp;col=7&amp;number=0.0134&amp;sourceID=14","0.0134")</f>
        <v>0.0134</v>
      </c>
    </row>
    <row r="1104" spans="1:7">
      <c r="A1104" s="3">
        <v>12</v>
      </c>
      <c r="B1104" s="3">
        <v>4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HYPERLINK("http://141.218.60.56/~jnz1568/getInfo.php?workbook=12_04.xlsx&amp;sheet=U0&amp;row=1104&amp;col=6&amp;number=3&amp;sourceID=14","3")</f>
        <v>3</v>
      </c>
      <c r="G1104" s="4" t="str">
        <f>HYPERLINK("http://141.218.60.56/~jnz1568/getInfo.php?workbook=12_04.xlsx&amp;sheet=U0&amp;row=1104&amp;col=7&amp;number=0.00193&amp;sourceID=14","0.00193")</f>
        <v>0.00193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HYPERLINK("http://141.218.60.56/~jnz1568/getInfo.php?workbook=12_04.xlsx&amp;sheet=U0&amp;row=1105&amp;col=6&amp;number=3.1&amp;sourceID=14","3.1")</f>
        <v>3.1</v>
      </c>
      <c r="G1105" s="4" t="str">
        <f>HYPERLINK("http://141.218.60.56/~jnz1568/getInfo.php?workbook=12_04.xlsx&amp;sheet=U0&amp;row=1105&amp;col=7&amp;number=0.00193&amp;sourceID=14","0.00193")</f>
        <v>0.00193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HYPERLINK("http://141.218.60.56/~jnz1568/getInfo.php?workbook=12_04.xlsx&amp;sheet=U0&amp;row=1106&amp;col=6&amp;number=3.2&amp;sourceID=14","3.2")</f>
        <v>3.2</v>
      </c>
      <c r="G1106" s="4" t="str">
        <f>HYPERLINK("http://141.218.60.56/~jnz1568/getInfo.php?workbook=12_04.xlsx&amp;sheet=U0&amp;row=1106&amp;col=7&amp;number=0.00193&amp;sourceID=14","0.00193")</f>
        <v>0.00193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HYPERLINK("http://141.218.60.56/~jnz1568/getInfo.php?workbook=12_04.xlsx&amp;sheet=U0&amp;row=1107&amp;col=6&amp;number=3.3&amp;sourceID=14","3.3")</f>
        <v>3.3</v>
      </c>
      <c r="G1107" s="4" t="str">
        <f>HYPERLINK("http://141.218.60.56/~jnz1568/getInfo.php?workbook=12_04.xlsx&amp;sheet=U0&amp;row=1107&amp;col=7&amp;number=0.00193&amp;sourceID=14","0.00193")</f>
        <v>0.00193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HYPERLINK("http://141.218.60.56/~jnz1568/getInfo.php?workbook=12_04.xlsx&amp;sheet=U0&amp;row=1108&amp;col=6&amp;number=3.4&amp;sourceID=14","3.4")</f>
        <v>3.4</v>
      </c>
      <c r="G1108" s="4" t="str">
        <f>HYPERLINK("http://141.218.60.56/~jnz1568/getInfo.php?workbook=12_04.xlsx&amp;sheet=U0&amp;row=1108&amp;col=7&amp;number=0.00193&amp;sourceID=14","0.00193")</f>
        <v>0.00193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HYPERLINK("http://141.218.60.56/~jnz1568/getInfo.php?workbook=12_04.xlsx&amp;sheet=U0&amp;row=1109&amp;col=6&amp;number=3.5&amp;sourceID=14","3.5")</f>
        <v>3.5</v>
      </c>
      <c r="G1109" s="4" t="str">
        <f>HYPERLINK("http://141.218.60.56/~jnz1568/getInfo.php?workbook=12_04.xlsx&amp;sheet=U0&amp;row=1109&amp;col=7&amp;number=0.00193&amp;sourceID=14","0.00193")</f>
        <v>0.00193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HYPERLINK("http://141.218.60.56/~jnz1568/getInfo.php?workbook=12_04.xlsx&amp;sheet=U0&amp;row=1110&amp;col=6&amp;number=3.6&amp;sourceID=14","3.6")</f>
        <v>3.6</v>
      </c>
      <c r="G1110" s="4" t="str">
        <f>HYPERLINK("http://141.218.60.56/~jnz1568/getInfo.php?workbook=12_04.xlsx&amp;sheet=U0&amp;row=1110&amp;col=7&amp;number=0.00193&amp;sourceID=14","0.00193")</f>
        <v>0.00193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HYPERLINK("http://141.218.60.56/~jnz1568/getInfo.php?workbook=12_04.xlsx&amp;sheet=U0&amp;row=1111&amp;col=6&amp;number=3.7&amp;sourceID=14","3.7")</f>
        <v>3.7</v>
      </c>
      <c r="G1111" s="4" t="str">
        <f>HYPERLINK("http://141.218.60.56/~jnz1568/getInfo.php?workbook=12_04.xlsx&amp;sheet=U0&amp;row=1111&amp;col=7&amp;number=0.00193&amp;sourceID=14","0.00193")</f>
        <v>0.00193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HYPERLINK("http://141.218.60.56/~jnz1568/getInfo.php?workbook=12_04.xlsx&amp;sheet=U0&amp;row=1112&amp;col=6&amp;number=3.8&amp;sourceID=14","3.8")</f>
        <v>3.8</v>
      </c>
      <c r="G1112" s="4" t="str">
        <f>HYPERLINK("http://141.218.60.56/~jnz1568/getInfo.php?workbook=12_04.xlsx&amp;sheet=U0&amp;row=1112&amp;col=7&amp;number=0.00192&amp;sourceID=14","0.00192")</f>
        <v>0.00192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HYPERLINK("http://141.218.60.56/~jnz1568/getInfo.php?workbook=12_04.xlsx&amp;sheet=U0&amp;row=1113&amp;col=6&amp;number=3.9&amp;sourceID=14","3.9")</f>
        <v>3.9</v>
      </c>
      <c r="G1113" s="4" t="str">
        <f>HYPERLINK("http://141.218.60.56/~jnz1568/getInfo.php?workbook=12_04.xlsx&amp;sheet=U0&amp;row=1113&amp;col=7&amp;number=0.00192&amp;sourceID=14","0.00192")</f>
        <v>0.00192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HYPERLINK("http://141.218.60.56/~jnz1568/getInfo.php?workbook=12_04.xlsx&amp;sheet=U0&amp;row=1114&amp;col=6&amp;number=4&amp;sourceID=14","4")</f>
        <v>4</v>
      </c>
      <c r="G1114" s="4" t="str">
        <f>HYPERLINK("http://141.218.60.56/~jnz1568/getInfo.php?workbook=12_04.xlsx&amp;sheet=U0&amp;row=1114&amp;col=7&amp;number=0.00192&amp;sourceID=14","0.00192")</f>
        <v>0.00192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HYPERLINK("http://141.218.60.56/~jnz1568/getInfo.php?workbook=12_04.xlsx&amp;sheet=U0&amp;row=1115&amp;col=6&amp;number=4.1&amp;sourceID=14","4.1")</f>
        <v>4.1</v>
      </c>
      <c r="G1115" s="4" t="str">
        <f>HYPERLINK("http://141.218.60.56/~jnz1568/getInfo.php?workbook=12_04.xlsx&amp;sheet=U0&amp;row=1115&amp;col=7&amp;number=0.00191&amp;sourceID=14","0.00191")</f>
        <v>0.00191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HYPERLINK("http://141.218.60.56/~jnz1568/getInfo.php?workbook=12_04.xlsx&amp;sheet=U0&amp;row=1116&amp;col=6&amp;number=4.2&amp;sourceID=14","4.2")</f>
        <v>4.2</v>
      </c>
      <c r="G1116" s="4" t="str">
        <f>HYPERLINK("http://141.218.60.56/~jnz1568/getInfo.php?workbook=12_04.xlsx&amp;sheet=U0&amp;row=1116&amp;col=7&amp;number=0.00191&amp;sourceID=14","0.00191")</f>
        <v>0.00191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HYPERLINK("http://141.218.60.56/~jnz1568/getInfo.php?workbook=12_04.xlsx&amp;sheet=U0&amp;row=1117&amp;col=6&amp;number=4.3&amp;sourceID=14","4.3")</f>
        <v>4.3</v>
      </c>
      <c r="G1117" s="4" t="str">
        <f>HYPERLINK("http://141.218.60.56/~jnz1568/getInfo.php?workbook=12_04.xlsx&amp;sheet=U0&amp;row=1117&amp;col=7&amp;number=0.0019&amp;sourceID=14","0.0019")</f>
        <v>0.0019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HYPERLINK("http://141.218.60.56/~jnz1568/getInfo.php?workbook=12_04.xlsx&amp;sheet=U0&amp;row=1118&amp;col=6&amp;number=4.4&amp;sourceID=14","4.4")</f>
        <v>4.4</v>
      </c>
      <c r="G1118" s="4" t="str">
        <f>HYPERLINK("http://141.218.60.56/~jnz1568/getInfo.php?workbook=12_04.xlsx&amp;sheet=U0&amp;row=1118&amp;col=7&amp;number=0.00189&amp;sourceID=14","0.00189")</f>
        <v>0.00189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HYPERLINK("http://141.218.60.56/~jnz1568/getInfo.php?workbook=12_04.xlsx&amp;sheet=U0&amp;row=1119&amp;col=6&amp;number=4.5&amp;sourceID=14","4.5")</f>
        <v>4.5</v>
      </c>
      <c r="G1119" s="4" t="str">
        <f>HYPERLINK("http://141.218.60.56/~jnz1568/getInfo.php?workbook=12_04.xlsx&amp;sheet=U0&amp;row=1119&amp;col=7&amp;number=0.00188&amp;sourceID=14","0.00188")</f>
        <v>0.00188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HYPERLINK("http://141.218.60.56/~jnz1568/getInfo.php?workbook=12_04.xlsx&amp;sheet=U0&amp;row=1120&amp;col=6&amp;number=4.6&amp;sourceID=14","4.6")</f>
        <v>4.6</v>
      </c>
      <c r="G1120" s="4" t="str">
        <f>HYPERLINK("http://141.218.60.56/~jnz1568/getInfo.php?workbook=12_04.xlsx&amp;sheet=U0&amp;row=1120&amp;col=7&amp;number=0.00187&amp;sourceID=14","0.00187")</f>
        <v>0.00187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HYPERLINK("http://141.218.60.56/~jnz1568/getInfo.php?workbook=12_04.xlsx&amp;sheet=U0&amp;row=1121&amp;col=6&amp;number=4.7&amp;sourceID=14","4.7")</f>
        <v>4.7</v>
      </c>
      <c r="G1121" s="4" t="str">
        <f>HYPERLINK("http://141.218.60.56/~jnz1568/getInfo.php?workbook=12_04.xlsx&amp;sheet=U0&amp;row=1121&amp;col=7&amp;number=0.00185&amp;sourceID=14","0.00185")</f>
        <v>0.00185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HYPERLINK("http://141.218.60.56/~jnz1568/getInfo.php?workbook=12_04.xlsx&amp;sheet=U0&amp;row=1122&amp;col=6&amp;number=4.8&amp;sourceID=14","4.8")</f>
        <v>4.8</v>
      </c>
      <c r="G1122" s="4" t="str">
        <f>HYPERLINK("http://141.218.60.56/~jnz1568/getInfo.php?workbook=12_04.xlsx&amp;sheet=U0&amp;row=1122&amp;col=7&amp;number=0.00183&amp;sourceID=14","0.00183")</f>
        <v>0.00183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HYPERLINK("http://141.218.60.56/~jnz1568/getInfo.php?workbook=12_04.xlsx&amp;sheet=U0&amp;row=1123&amp;col=6&amp;number=4.9&amp;sourceID=14","4.9")</f>
        <v>4.9</v>
      </c>
      <c r="G1123" s="4" t="str">
        <f>HYPERLINK("http://141.218.60.56/~jnz1568/getInfo.php?workbook=12_04.xlsx&amp;sheet=U0&amp;row=1123&amp;col=7&amp;number=0.00181&amp;sourceID=14","0.00181")</f>
        <v>0.00181</v>
      </c>
    </row>
    <row r="1124" spans="1:7">
      <c r="A1124" s="3">
        <v>12</v>
      </c>
      <c r="B1124" s="3">
        <v>4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HYPERLINK("http://141.218.60.56/~jnz1568/getInfo.php?workbook=12_04.xlsx&amp;sheet=U0&amp;row=1124&amp;col=6&amp;number=3&amp;sourceID=14","3")</f>
        <v>3</v>
      </c>
      <c r="G1124" s="4" t="str">
        <f>HYPERLINK("http://141.218.60.56/~jnz1568/getInfo.php?workbook=12_04.xlsx&amp;sheet=U0&amp;row=1124&amp;col=7&amp;number=0.00268&amp;sourceID=14","0.00268")</f>
        <v>0.00268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HYPERLINK("http://141.218.60.56/~jnz1568/getInfo.php?workbook=12_04.xlsx&amp;sheet=U0&amp;row=1125&amp;col=6&amp;number=3.1&amp;sourceID=14","3.1")</f>
        <v>3.1</v>
      </c>
      <c r="G1125" s="4" t="str">
        <f>HYPERLINK("http://141.218.60.56/~jnz1568/getInfo.php?workbook=12_04.xlsx&amp;sheet=U0&amp;row=1125&amp;col=7&amp;number=0.00268&amp;sourceID=14","0.00268")</f>
        <v>0.00268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HYPERLINK("http://141.218.60.56/~jnz1568/getInfo.php?workbook=12_04.xlsx&amp;sheet=U0&amp;row=1126&amp;col=6&amp;number=3.2&amp;sourceID=14","3.2")</f>
        <v>3.2</v>
      </c>
      <c r="G1126" s="4" t="str">
        <f>HYPERLINK("http://141.218.60.56/~jnz1568/getInfo.php?workbook=12_04.xlsx&amp;sheet=U0&amp;row=1126&amp;col=7&amp;number=0.00267&amp;sourceID=14","0.00267")</f>
        <v>0.00267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HYPERLINK("http://141.218.60.56/~jnz1568/getInfo.php?workbook=12_04.xlsx&amp;sheet=U0&amp;row=1127&amp;col=6&amp;number=3.3&amp;sourceID=14","3.3")</f>
        <v>3.3</v>
      </c>
      <c r="G1127" s="4" t="str">
        <f>HYPERLINK("http://141.218.60.56/~jnz1568/getInfo.php?workbook=12_04.xlsx&amp;sheet=U0&amp;row=1127&amp;col=7&amp;number=0.00267&amp;sourceID=14","0.00267")</f>
        <v>0.00267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HYPERLINK("http://141.218.60.56/~jnz1568/getInfo.php?workbook=12_04.xlsx&amp;sheet=U0&amp;row=1128&amp;col=6&amp;number=3.4&amp;sourceID=14","3.4")</f>
        <v>3.4</v>
      </c>
      <c r="G1128" s="4" t="str">
        <f>HYPERLINK("http://141.218.60.56/~jnz1568/getInfo.php?workbook=12_04.xlsx&amp;sheet=U0&amp;row=1128&amp;col=7&amp;number=0.00267&amp;sourceID=14","0.00267")</f>
        <v>0.00267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HYPERLINK("http://141.218.60.56/~jnz1568/getInfo.php?workbook=12_04.xlsx&amp;sheet=U0&amp;row=1129&amp;col=6&amp;number=3.5&amp;sourceID=14","3.5")</f>
        <v>3.5</v>
      </c>
      <c r="G1129" s="4" t="str">
        <f>HYPERLINK("http://141.218.60.56/~jnz1568/getInfo.php?workbook=12_04.xlsx&amp;sheet=U0&amp;row=1129&amp;col=7&amp;number=0.00267&amp;sourceID=14","0.00267")</f>
        <v>0.00267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HYPERLINK("http://141.218.60.56/~jnz1568/getInfo.php?workbook=12_04.xlsx&amp;sheet=U0&amp;row=1130&amp;col=6&amp;number=3.6&amp;sourceID=14","3.6")</f>
        <v>3.6</v>
      </c>
      <c r="G1130" s="4" t="str">
        <f>HYPERLINK("http://141.218.60.56/~jnz1568/getInfo.php?workbook=12_04.xlsx&amp;sheet=U0&amp;row=1130&amp;col=7&amp;number=0.00267&amp;sourceID=14","0.00267")</f>
        <v>0.00267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HYPERLINK("http://141.218.60.56/~jnz1568/getInfo.php?workbook=12_04.xlsx&amp;sheet=U0&amp;row=1131&amp;col=6&amp;number=3.7&amp;sourceID=14","3.7")</f>
        <v>3.7</v>
      </c>
      <c r="G1131" s="4" t="str">
        <f>HYPERLINK("http://141.218.60.56/~jnz1568/getInfo.php?workbook=12_04.xlsx&amp;sheet=U0&amp;row=1131&amp;col=7&amp;number=0.00267&amp;sourceID=14","0.00267")</f>
        <v>0.00267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HYPERLINK("http://141.218.60.56/~jnz1568/getInfo.php?workbook=12_04.xlsx&amp;sheet=U0&amp;row=1132&amp;col=6&amp;number=3.8&amp;sourceID=14","3.8")</f>
        <v>3.8</v>
      </c>
      <c r="G1132" s="4" t="str">
        <f>HYPERLINK("http://141.218.60.56/~jnz1568/getInfo.php?workbook=12_04.xlsx&amp;sheet=U0&amp;row=1132&amp;col=7&amp;number=0.00267&amp;sourceID=14","0.00267")</f>
        <v>0.00267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HYPERLINK("http://141.218.60.56/~jnz1568/getInfo.php?workbook=12_04.xlsx&amp;sheet=U0&amp;row=1133&amp;col=6&amp;number=3.9&amp;sourceID=14","3.9")</f>
        <v>3.9</v>
      </c>
      <c r="G1133" s="4" t="str">
        <f>HYPERLINK("http://141.218.60.56/~jnz1568/getInfo.php?workbook=12_04.xlsx&amp;sheet=U0&amp;row=1133&amp;col=7&amp;number=0.00266&amp;sourceID=14","0.00266")</f>
        <v>0.00266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HYPERLINK("http://141.218.60.56/~jnz1568/getInfo.php?workbook=12_04.xlsx&amp;sheet=U0&amp;row=1134&amp;col=6&amp;number=4&amp;sourceID=14","4")</f>
        <v>4</v>
      </c>
      <c r="G1134" s="4" t="str">
        <f>HYPERLINK("http://141.218.60.56/~jnz1568/getInfo.php?workbook=12_04.xlsx&amp;sheet=U0&amp;row=1134&amp;col=7&amp;number=0.00266&amp;sourceID=14","0.00266")</f>
        <v>0.00266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HYPERLINK("http://141.218.60.56/~jnz1568/getInfo.php?workbook=12_04.xlsx&amp;sheet=U0&amp;row=1135&amp;col=6&amp;number=4.1&amp;sourceID=14","4.1")</f>
        <v>4.1</v>
      </c>
      <c r="G1135" s="4" t="str">
        <f>HYPERLINK("http://141.218.60.56/~jnz1568/getInfo.php?workbook=12_04.xlsx&amp;sheet=U0&amp;row=1135&amp;col=7&amp;number=0.00265&amp;sourceID=14","0.00265")</f>
        <v>0.00265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HYPERLINK("http://141.218.60.56/~jnz1568/getInfo.php?workbook=12_04.xlsx&amp;sheet=U0&amp;row=1136&amp;col=6&amp;number=4.2&amp;sourceID=14","4.2")</f>
        <v>4.2</v>
      </c>
      <c r="G1136" s="4" t="str">
        <f>HYPERLINK("http://141.218.60.56/~jnz1568/getInfo.php?workbook=12_04.xlsx&amp;sheet=U0&amp;row=1136&amp;col=7&amp;number=0.00265&amp;sourceID=14","0.00265")</f>
        <v>0.00265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HYPERLINK("http://141.218.60.56/~jnz1568/getInfo.php?workbook=12_04.xlsx&amp;sheet=U0&amp;row=1137&amp;col=6&amp;number=4.3&amp;sourceID=14","4.3")</f>
        <v>4.3</v>
      </c>
      <c r="G1137" s="4" t="str">
        <f>HYPERLINK("http://141.218.60.56/~jnz1568/getInfo.php?workbook=12_04.xlsx&amp;sheet=U0&amp;row=1137&amp;col=7&amp;number=0.00264&amp;sourceID=14","0.00264")</f>
        <v>0.00264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HYPERLINK("http://141.218.60.56/~jnz1568/getInfo.php?workbook=12_04.xlsx&amp;sheet=U0&amp;row=1138&amp;col=6&amp;number=4.4&amp;sourceID=14","4.4")</f>
        <v>4.4</v>
      </c>
      <c r="G1138" s="4" t="str">
        <f>HYPERLINK("http://141.218.60.56/~jnz1568/getInfo.php?workbook=12_04.xlsx&amp;sheet=U0&amp;row=1138&amp;col=7&amp;number=0.00263&amp;sourceID=14","0.00263")</f>
        <v>0.00263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HYPERLINK("http://141.218.60.56/~jnz1568/getInfo.php?workbook=12_04.xlsx&amp;sheet=U0&amp;row=1139&amp;col=6&amp;number=4.5&amp;sourceID=14","4.5")</f>
        <v>4.5</v>
      </c>
      <c r="G1139" s="4" t="str">
        <f>HYPERLINK("http://141.218.60.56/~jnz1568/getInfo.php?workbook=12_04.xlsx&amp;sheet=U0&amp;row=1139&amp;col=7&amp;number=0.00262&amp;sourceID=14","0.00262")</f>
        <v>0.00262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HYPERLINK("http://141.218.60.56/~jnz1568/getInfo.php?workbook=12_04.xlsx&amp;sheet=U0&amp;row=1140&amp;col=6&amp;number=4.6&amp;sourceID=14","4.6")</f>
        <v>4.6</v>
      </c>
      <c r="G1140" s="4" t="str">
        <f>HYPERLINK("http://141.218.60.56/~jnz1568/getInfo.php?workbook=12_04.xlsx&amp;sheet=U0&amp;row=1140&amp;col=7&amp;number=0.0026&amp;sourceID=14","0.0026")</f>
        <v>0.0026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HYPERLINK("http://141.218.60.56/~jnz1568/getInfo.php?workbook=12_04.xlsx&amp;sheet=U0&amp;row=1141&amp;col=6&amp;number=4.7&amp;sourceID=14","4.7")</f>
        <v>4.7</v>
      </c>
      <c r="G1141" s="4" t="str">
        <f>HYPERLINK("http://141.218.60.56/~jnz1568/getInfo.php?workbook=12_04.xlsx&amp;sheet=U0&amp;row=1141&amp;col=7&amp;number=0.00258&amp;sourceID=14","0.00258")</f>
        <v>0.00258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HYPERLINK("http://141.218.60.56/~jnz1568/getInfo.php?workbook=12_04.xlsx&amp;sheet=U0&amp;row=1142&amp;col=6&amp;number=4.8&amp;sourceID=14","4.8")</f>
        <v>4.8</v>
      </c>
      <c r="G1142" s="4" t="str">
        <f>HYPERLINK("http://141.218.60.56/~jnz1568/getInfo.php?workbook=12_04.xlsx&amp;sheet=U0&amp;row=1142&amp;col=7&amp;number=0.00256&amp;sourceID=14","0.00256")</f>
        <v>0.00256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HYPERLINK("http://141.218.60.56/~jnz1568/getInfo.php?workbook=12_04.xlsx&amp;sheet=U0&amp;row=1143&amp;col=6&amp;number=4.9&amp;sourceID=14","4.9")</f>
        <v>4.9</v>
      </c>
      <c r="G1143" s="4" t="str">
        <f>HYPERLINK("http://141.218.60.56/~jnz1568/getInfo.php?workbook=12_04.xlsx&amp;sheet=U0&amp;row=1143&amp;col=7&amp;number=0.00253&amp;sourceID=14","0.00253")</f>
        <v>0.00253</v>
      </c>
    </row>
    <row r="1144" spans="1:7">
      <c r="A1144" s="3">
        <v>12</v>
      </c>
      <c r="B1144" s="3">
        <v>4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HYPERLINK("http://141.218.60.56/~jnz1568/getInfo.php?workbook=12_04.xlsx&amp;sheet=U0&amp;row=1144&amp;col=6&amp;number=3&amp;sourceID=14","3")</f>
        <v>3</v>
      </c>
      <c r="G1144" s="4" t="str">
        <f>HYPERLINK("http://141.218.60.56/~jnz1568/getInfo.php?workbook=12_04.xlsx&amp;sheet=U0&amp;row=1144&amp;col=7&amp;number=0.00339&amp;sourceID=14","0.00339")</f>
        <v>0.00339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HYPERLINK("http://141.218.60.56/~jnz1568/getInfo.php?workbook=12_04.xlsx&amp;sheet=U0&amp;row=1145&amp;col=6&amp;number=3.1&amp;sourceID=14","3.1")</f>
        <v>3.1</v>
      </c>
      <c r="G1145" s="4" t="str">
        <f>HYPERLINK("http://141.218.60.56/~jnz1568/getInfo.php?workbook=12_04.xlsx&amp;sheet=U0&amp;row=1145&amp;col=7&amp;number=0.00339&amp;sourceID=14","0.00339")</f>
        <v>0.00339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HYPERLINK("http://141.218.60.56/~jnz1568/getInfo.php?workbook=12_04.xlsx&amp;sheet=U0&amp;row=1146&amp;col=6&amp;number=3.2&amp;sourceID=14","3.2")</f>
        <v>3.2</v>
      </c>
      <c r="G1146" s="4" t="str">
        <f>HYPERLINK("http://141.218.60.56/~jnz1568/getInfo.php?workbook=12_04.xlsx&amp;sheet=U0&amp;row=1146&amp;col=7&amp;number=0.00339&amp;sourceID=14","0.00339")</f>
        <v>0.00339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HYPERLINK("http://141.218.60.56/~jnz1568/getInfo.php?workbook=12_04.xlsx&amp;sheet=U0&amp;row=1147&amp;col=6&amp;number=3.3&amp;sourceID=14","3.3")</f>
        <v>3.3</v>
      </c>
      <c r="G1147" s="4" t="str">
        <f>HYPERLINK("http://141.218.60.56/~jnz1568/getInfo.php?workbook=12_04.xlsx&amp;sheet=U0&amp;row=1147&amp;col=7&amp;number=0.00339&amp;sourceID=14","0.00339")</f>
        <v>0.00339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HYPERLINK("http://141.218.60.56/~jnz1568/getInfo.php?workbook=12_04.xlsx&amp;sheet=U0&amp;row=1148&amp;col=6&amp;number=3.4&amp;sourceID=14","3.4")</f>
        <v>3.4</v>
      </c>
      <c r="G1148" s="4" t="str">
        <f>HYPERLINK("http://141.218.60.56/~jnz1568/getInfo.php?workbook=12_04.xlsx&amp;sheet=U0&amp;row=1148&amp;col=7&amp;number=0.00339&amp;sourceID=14","0.00339")</f>
        <v>0.00339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HYPERLINK("http://141.218.60.56/~jnz1568/getInfo.php?workbook=12_04.xlsx&amp;sheet=U0&amp;row=1149&amp;col=6&amp;number=3.5&amp;sourceID=14","3.5")</f>
        <v>3.5</v>
      </c>
      <c r="G1149" s="4" t="str">
        <f>HYPERLINK("http://141.218.60.56/~jnz1568/getInfo.php?workbook=12_04.xlsx&amp;sheet=U0&amp;row=1149&amp;col=7&amp;number=0.00338&amp;sourceID=14","0.00338")</f>
        <v>0.00338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HYPERLINK("http://141.218.60.56/~jnz1568/getInfo.php?workbook=12_04.xlsx&amp;sheet=U0&amp;row=1150&amp;col=6&amp;number=3.6&amp;sourceID=14","3.6")</f>
        <v>3.6</v>
      </c>
      <c r="G1150" s="4" t="str">
        <f>HYPERLINK("http://141.218.60.56/~jnz1568/getInfo.php?workbook=12_04.xlsx&amp;sheet=U0&amp;row=1150&amp;col=7&amp;number=0.00338&amp;sourceID=14","0.00338")</f>
        <v>0.00338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HYPERLINK("http://141.218.60.56/~jnz1568/getInfo.php?workbook=12_04.xlsx&amp;sheet=U0&amp;row=1151&amp;col=6&amp;number=3.7&amp;sourceID=14","3.7")</f>
        <v>3.7</v>
      </c>
      <c r="G1151" s="4" t="str">
        <f>HYPERLINK("http://141.218.60.56/~jnz1568/getInfo.php?workbook=12_04.xlsx&amp;sheet=U0&amp;row=1151&amp;col=7&amp;number=0.00338&amp;sourceID=14","0.00338")</f>
        <v>0.00338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HYPERLINK("http://141.218.60.56/~jnz1568/getInfo.php?workbook=12_04.xlsx&amp;sheet=U0&amp;row=1152&amp;col=6&amp;number=3.8&amp;sourceID=14","3.8")</f>
        <v>3.8</v>
      </c>
      <c r="G1152" s="4" t="str">
        <f>HYPERLINK("http://141.218.60.56/~jnz1568/getInfo.php?workbook=12_04.xlsx&amp;sheet=U0&amp;row=1152&amp;col=7&amp;number=0.00338&amp;sourceID=14","0.00338")</f>
        <v>0.00338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HYPERLINK("http://141.218.60.56/~jnz1568/getInfo.php?workbook=12_04.xlsx&amp;sheet=U0&amp;row=1153&amp;col=6&amp;number=3.9&amp;sourceID=14","3.9")</f>
        <v>3.9</v>
      </c>
      <c r="G1153" s="4" t="str">
        <f>HYPERLINK("http://141.218.60.56/~jnz1568/getInfo.php?workbook=12_04.xlsx&amp;sheet=U0&amp;row=1153&amp;col=7&amp;number=0.00337&amp;sourceID=14","0.00337")</f>
        <v>0.00337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HYPERLINK("http://141.218.60.56/~jnz1568/getInfo.php?workbook=12_04.xlsx&amp;sheet=U0&amp;row=1154&amp;col=6&amp;number=4&amp;sourceID=14","4")</f>
        <v>4</v>
      </c>
      <c r="G1154" s="4" t="str">
        <f>HYPERLINK("http://141.218.60.56/~jnz1568/getInfo.php?workbook=12_04.xlsx&amp;sheet=U0&amp;row=1154&amp;col=7&amp;number=0.00337&amp;sourceID=14","0.00337")</f>
        <v>0.00337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HYPERLINK("http://141.218.60.56/~jnz1568/getInfo.php?workbook=12_04.xlsx&amp;sheet=U0&amp;row=1155&amp;col=6&amp;number=4.1&amp;sourceID=14","4.1")</f>
        <v>4.1</v>
      </c>
      <c r="G1155" s="4" t="str">
        <f>HYPERLINK("http://141.218.60.56/~jnz1568/getInfo.php?workbook=12_04.xlsx&amp;sheet=U0&amp;row=1155&amp;col=7&amp;number=0.00336&amp;sourceID=14","0.00336")</f>
        <v>0.00336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HYPERLINK("http://141.218.60.56/~jnz1568/getInfo.php?workbook=12_04.xlsx&amp;sheet=U0&amp;row=1156&amp;col=6&amp;number=4.2&amp;sourceID=14","4.2")</f>
        <v>4.2</v>
      </c>
      <c r="G1156" s="4" t="str">
        <f>HYPERLINK("http://141.218.60.56/~jnz1568/getInfo.php?workbook=12_04.xlsx&amp;sheet=U0&amp;row=1156&amp;col=7&amp;number=0.00335&amp;sourceID=14","0.00335")</f>
        <v>0.00335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HYPERLINK("http://141.218.60.56/~jnz1568/getInfo.php?workbook=12_04.xlsx&amp;sheet=U0&amp;row=1157&amp;col=6&amp;number=4.3&amp;sourceID=14","4.3")</f>
        <v>4.3</v>
      </c>
      <c r="G1157" s="4" t="str">
        <f>HYPERLINK("http://141.218.60.56/~jnz1568/getInfo.php?workbook=12_04.xlsx&amp;sheet=U0&amp;row=1157&amp;col=7&amp;number=0.00334&amp;sourceID=14","0.00334")</f>
        <v>0.00334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HYPERLINK("http://141.218.60.56/~jnz1568/getInfo.php?workbook=12_04.xlsx&amp;sheet=U0&amp;row=1158&amp;col=6&amp;number=4.4&amp;sourceID=14","4.4")</f>
        <v>4.4</v>
      </c>
      <c r="G1158" s="4" t="str">
        <f>HYPERLINK("http://141.218.60.56/~jnz1568/getInfo.php?workbook=12_04.xlsx&amp;sheet=U0&amp;row=1158&amp;col=7&amp;number=0.00333&amp;sourceID=14","0.00333")</f>
        <v>0.00333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HYPERLINK("http://141.218.60.56/~jnz1568/getInfo.php?workbook=12_04.xlsx&amp;sheet=U0&amp;row=1159&amp;col=6&amp;number=4.5&amp;sourceID=14","4.5")</f>
        <v>4.5</v>
      </c>
      <c r="G1159" s="4" t="str">
        <f>HYPERLINK("http://141.218.60.56/~jnz1568/getInfo.php?workbook=12_04.xlsx&amp;sheet=U0&amp;row=1159&amp;col=7&amp;number=0.00331&amp;sourceID=14","0.00331")</f>
        <v>0.00331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HYPERLINK("http://141.218.60.56/~jnz1568/getInfo.php?workbook=12_04.xlsx&amp;sheet=U0&amp;row=1160&amp;col=6&amp;number=4.6&amp;sourceID=14","4.6")</f>
        <v>4.6</v>
      </c>
      <c r="G1160" s="4" t="str">
        <f>HYPERLINK("http://141.218.60.56/~jnz1568/getInfo.php?workbook=12_04.xlsx&amp;sheet=U0&amp;row=1160&amp;col=7&amp;number=0.00329&amp;sourceID=14","0.00329")</f>
        <v>0.00329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HYPERLINK("http://141.218.60.56/~jnz1568/getInfo.php?workbook=12_04.xlsx&amp;sheet=U0&amp;row=1161&amp;col=6&amp;number=4.7&amp;sourceID=14","4.7")</f>
        <v>4.7</v>
      </c>
      <c r="G1161" s="4" t="str">
        <f>HYPERLINK("http://141.218.60.56/~jnz1568/getInfo.php?workbook=12_04.xlsx&amp;sheet=U0&amp;row=1161&amp;col=7&amp;number=0.00327&amp;sourceID=14","0.00327")</f>
        <v>0.00327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HYPERLINK("http://141.218.60.56/~jnz1568/getInfo.php?workbook=12_04.xlsx&amp;sheet=U0&amp;row=1162&amp;col=6&amp;number=4.8&amp;sourceID=14","4.8")</f>
        <v>4.8</v>
      </c>
      <c r="G1162" s="4" t="str">
        <f>HYPERLINK("http://141.218.60.56/~jnz1568/getInfo.php?workbook=12_04.xlsx&amp;sheet=U0&amp;row=1162&amp;col=7&amp;number=0.00324&amp;sourceID=14","0.00324")</f>
        <v>0.00324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HYPERLINK("http://141.218.60.56/~jnz1568/getInfo.php?workbook=12_04.xlsx&amp;sheet=U0&amp;row=1163&amp;col=6&amp;number=4.9&amp;sourceID=14","4.9")</f>
        <v>4.9</v>
      </c>
      <c r="G1163" s="4" t="str">
        <f>HYPERLINK("http://141.218.60.56/~jnz1568/getInfo.php?workbook=12_04.xlsx&amp;sheet=U0&amp;row=1163&amp;col=7&amp;number=0.0032&amp;sourceID=14","0.0032")</f>
        <v>0.0032</v>
      </c>
    </row>
    <row r="1164" spans="1:7">
      <c r="A1164" s="3">
        <v>12</v>
      </c>
      <c r="B1164" s="3">
        <v>4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HYPERLINK("http://141.218.60.56/~jnz1568/getInfo.php?workbook=12_04.xlsx&amp;sheet=U0&amp;row=1164&amp;col=6&amp;number=3&amp;sourceID=14","3")</f>
        <v>3</v>
      </c>
      <c r="G1164" s="4" t="str">
        <f>HYPERLINK("http://141.218.60.56/~jnz1568/getInfo.php?workbook=12_04.xlsx&amp;sheet=U0&amp;row=1164&amp;col=7&amp;number=0.0052&amp;sourceID=14","0.0052")</f>
        <v>0.0052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HYPERLINK("http://141.218.60.56/~jnz1568/getInfo.php?workbook=12_04.xlsx&amp;sheet=U0&amp;row=1165&amp;col=6&amp;number=3.1&amp;sourceID=14","3.1")</f>
        <v>3.1</v>
      </c>
      <c r="G1165" s="4" t="str">
        <f>HYPERLINK("http://141.218.60.56/~jnz1568/getInfo.php?workbook=12_04.xlsx&amp;sheet=U0&amp;row=1165&amp;col=7&amp;number=0.0052&amp;sourceID=14","0.0052")</f>
        <v>0.0052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HYPERLINK("http://141.218.60.56/~jnz1568/getInfo.php?workbook=12_04.xlsx&amp;sheet=U0&amp;row=1166&amp;col=6&amp;number=3.2&amp;sourceID=14","3.2")</f>
        <v>3.2</v>
      </c>
      <c r="G1166" s="4" t="str">
        <f>HYPERLINK("http://141.218.60.56/~jnz1568/getInfo.php?workbook=12_04.xlsx&amp;sheet=U0&amp;row=1166&amp;col=7&amp;number=0.0052&amp;sourceID=14","0.0052")</f>
        <v>0.0052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HYPERLINK("http://141.218.60.56/~jnz1568/getInfo.php?workbook=12_04.xlsx&amp;sheet=U0&amp;row=1167&amp;col=6&amp;number=3.3&amp;sourceID=14","3.3")</f>
        <v>3.3</v>
      </c>
      <c r="G1167" s="4" t="str">
        <f>HYPERLINK("http://141.218.60.56/~jnz1568/getInfo.php?workbook=12_04.xlsx&amp;sheet=U0&amp;row=1167&amp;col=7&amp;number=0.0052&amp;sourceID=14","0.0052")</f>
        <v>0.0052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HYPERLINK("http://141.218.60.56/~jnz1568/getInfo.php?workbook=12_04.xlsx&amp;sheet=U0&amp;row=1168&amp;col=6&amp;number=3.4&amp;sourceID=14","3.4")</f>
        <v>3.4</v>
      </c>
      <c r="G1168" s="4" t="str">
        <f>HYPERLINK("http://141.218.60.56/~jnz1568/getInfo.php?workbook=12_04.xlsx&amp;sheet=U0&amp;row=1168&amp;col=7&amp;number=0.0052&amp;sourceID=14","0.0052")</f>
        <v>0.0052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HYPERLINK("http://141.218.60.56/~jnz1568/getInfo.php?workbook=12_04.xlsx&amp;sheet=U0&amp;row=1169&amp;col=6&amp;number=3.5&amp;sourceID=14","3.5")</f>
        <v>3.5</v>
      </c>
      <c r="G1169" s="4" t="str">
        <f>HYPERLINK("http://141.218.60.56/~jnz1568/getInfo.php?workbook=12_04.xlsx&amp;sheet=U0&amp;row=1169&amp;col=7&amp;number=0.0052&amp;sourceID=14","0.0052")</f>
        <v>0.0052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HYPERLINK("http://141.218.60.56/~jnz1568/getInfo.php?workbook=12_04.xlsx&amp;sheet=U0&amp;row=1170&amp;col=6&amp;number=3.6&amp;sourceID=14","3.6")</f>
        <v>3.6</v>
      </c>
      <c r="G1170" s="4" t="str">
        <f>HYPERLINK("http://141.218.60.56/~jnz1568/getInfo.php?workbook=12_04.xlsx&amp;sheet=U0&amp;row=1170&amp;col=7&amp;number=0.0052&amp;sourceID=14","0.0052")</f>
        <v>0.0052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HYPERLINK("http://141.218.60.56/~jnz1568/getInfo.php?workbook=12_04.xlsx&amp;sheet=U0&amp;row=1171&amp;col=6&amp;number=3.7&amp;sourceID=14","3.7")</f>
        <v>3.7</v>
      </c>
      <c r="G1171" s="4" t="str">
        <f>HYPERLINK("http://141.218.60.56/~jnz1568/getInfo.php?workbook=12_04.xlsx&amp;sheet=U0&amp;row=1171&amp;col=7&amp;number=0.0052&amp;sourceID=14","0.0052")</f>
        <v>0.0052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HYPERLINK("http://141.218.60.56/~jnz1568/getInfo.php?workbook=12_04.xlsx&amp;sheet=U0&amp;row=1172&amp;col=6&amp;number=3.8&amp;sourceID=14","3.8")</f>
        <v>3.8</v>
      </c>
      <c r="G1172" s="4" t="str">
        <f>HYPERLINK("http://141.218.60.56/~jnz1568/getInfo.php?workbook=12_04.xlsx&amp;sheet=U0&amp;row=1172&amp;col=7&amp;number=0.0052&amp;sourceID=14","0.0052")</f>
        <v>0.0052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HYPERLINK("http://141.218.60.56/~jnz1568/getInfo.php?workbook=12_04.xlsx&amp;sheet=U0&amp;row=1173&amp;col=6&amp;number=3.9&amp;sourceID=14","3.9")</f>
        <v>3.9</v>
      </c>
      <c r="G1173" s="4" t="str">
        <f>HYPERLINK("http://141.218.60.56/~jnz1568/getInfo.php?workbook=12_04.xlsx&amp;sheet=U0&amp;row=1173&amp;col=7&amp;number=0.0052&amp;sourceID=14","0.0052")</f>
        <v>0.0052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HYPERLINK("http://141.218.60.56/~jnz1568/getInfo.php?workbook=12_04.xlsx&amp;sheet=U0&amp;row=1174&amp;col=6&amp;number=4&amp;sourceID=14","4")</f>
        <v>4</v>
      </c>
      <c r="G1174" s="4" t="str">
        <f>HYPERLINK("http://141.218.60.56/~jnz1568/getInfo.php?workbook=12_04.xlsx&amp;sheet=U0&amp;row=1174&amp;col=7&amp;number=0.0052&amp;sourceID=14","0.0052")</f>
        <v>0.0052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HYPERLINK("http://141.218.60.56/~jnz1568/getInfo.php?workbook=12_04.xlsx&amp;sheet=U0&amp;row=1175&amp;col=6&amp;number=4.1&amp;sourceID=14","4.1")</f>
        <v>4.1</v>
      </c>
      <c r="G1175" s="4" t="str">
        <f>HYPERLINK("http://141.218.60.56/~jnz1568/getInfo.php?workbook=12_04.xlsx&amp;sheet=U0&amp;row=1175&amp;col=7&amp;number=0.0052&amp;sourceID=14","0.0052")</f>
        <v>0.0052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HYPERLINK("http://141.218.60.56/~jnz1568/getInfo.php?workbook=12_04.xlsx&amp;sheet=U0&amp;row=1176&amp;col=6&amp;number=4.2&amp;sourceID=14","4.2")</f>
        <v>4.2</v>
      </c>
      <c r="G1176" s="4" t="str">
        <f>HYPERLINK("http://141.218.60.56/~jnz1568/getInfo.php?workbook=12_04.xlsx&amp;sheet=U0&amp;row=1176&amp;col=7&amp;number=0.0052&amp;sourceID=14","0.0052")</f>
        <v>0.0052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HYPERLINK("http://141.218.60.56/~jnz1568/getInfo.php?workbook=12_04.xlsx&amp;sheet=U0&amp;row=1177&amp;col=6&amp;number=4.3&amp;sourceID=14","4.3")</f>
        <v>4.3</v>
      </c>
      <c r="G1177" s="4" t="str">
        <f>HYPERLINK("http://141.218.60.56/~jnz1568/getInfo.php?workbook=12_04.xlsx&amp;sheet=U0&amp;row=1177&amp;col=7&amp;number=0.0052&amp;sourceID=14","0.0052")</f>
        <v>0.0052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HYPERLINK("http://141.218.60.56/~jnz1568/getInfo.php?workbook=12_04.xlsx&amp;sheet=U0&amp;row=1178&amp;col=6&amp;number=4.4&amp;sourceID=14","4.4")</f>
        <v>4.4</v>
      </c>
      <c r="G1178" s="4" t="str">
        <f>HYPERLINK("http://141.218.60.56/~jnz1568/getInfo.php?workbook=12_04.xlsx&amp;sheet=U0&amp;row=1178&amp;col=7&amp;number=0.0052&amp;sourceID=14","0.0052")</f>
        <v>0.0052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HYPERLINK("http://141.218.60.56/~jnz1568/getInfo.php?workbook=12_04.xlsx&amp;sheet=U0&amp;row=1179&amp;col=6&amp;number=4.5&amp;sourceID=14","4.5")</f>
        <v>4.5</v>
      </c>
      <c r="G1179" s="4" t="str">
        <f>HYPERLINK("http://141.218.60.56/~jnz1568/getInfo.php?workbook=12_04.xlsx&amp;sheet=U0&amp;row=1179&amp;col=7&amp;number=0.0052&amp;sourceID=14","0.0052")</f>
        <v>0.0052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HYPERLINK("http://141.218.60.56/~jnz1568/getInfo.php?workbook=12_04.xlsx&amp;sheet=U0&amp;row=1180&amp;col=6&amp;number=4.6&amp;sourceID=14","4.6")</f>
        <v>4.6</v>
      </c>
      <c r="G1180" s="4" t="str">
        <f>HYPERLINK("http://141.218.60.56/~jnz1568/getInfo.php?workbook=12_04.xlsx&amp;sheet=U0&amp;row=1180&amp;col=7&amp;number=0.0052&amp;sourceID=14","0.0052")</f>
        <v>0.0052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HYPERLINK("http://141.218.60.56/~jnz1568/getInfo.php?workbook=12_04.xlsx&amp;sheet=U0&amp;row=1181&amp;col=6&amp;number=4.7&amp;sourceID=14","4.7")</f>
        <v>4.7</v>
      </c>
      <c r="G1181" s="4" t="str">
        <f>HYPERLINK("http://141.218.60.56/~jnz1568/getInfo.php?workbook=12_04.xlsx&amp;sheet=U0&amp;row=1181&amp;col=7&amp;number=0.00519&amp;sourceID=14","0.00519")</f>
        <v>0.00519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HYPERLINK("http://141.218.60.56/~jnz1568/getInfo.php?workbook=12_04.xlsx&amp;sheet=U0&amp;row=1182&amp;col=6&amp;number=4.8&amp;sourceID=14","4.8")</f>
        <v>4.8</v>
      </c>
      <c r="G1182" s="4" t="str">
        <f>HYPERLINK("http://141.218.60.56/~jnz1568/getInfo.php?workbook=12_04.xlsx&amp;sheet=U0&amp;row=1182&amp;col=7&amp;number=0.00519&amp;sourceID=14","0.00519")</f>
        <v>0.00519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HYPERLINK("http://141.218.60.56/~jnz1568/getInfo.php?workbook=12_04.xlsx&amp;sheet=U0&amp;row=1183&amp;col=6&amp;number=4.9&amp;sourceID=14","4.9")</f>
        <v>4.9</v>
      </c>
      <c r="G1183" s="4" t="str">
        <f>HYPERLINK("http://141.218.60.56/~jnz1568/getInfo.php?workbook=12_04.xlsx&amp;sheet=U0&amp;row=1183&amp;col=7&amp;number=0.00519&amp;sourceID=14","0.00519")</f>
        <v>0.00519</v>
      </c>
    </row>
    <row r="1184" spans="1:7">
      <c r="A1184" s="3">
        <v>12</v>
      </c>
      <c r="B1184" s="3">
        <v>4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HYPERLINK("http://141.218.60.56/~jnz1568/getInfo.php?workbook=12_04.xlsx&amp;sheet=U0&amp;row=1184&amp;col=6&amp;number=3&amp;sourceID=14","3")</f>
        <v>3</v>
      </c>
      <c r="G1184" s="4" t="str">
        <f>HYPERLINK("http://141.218.60.56/~jnz1568/getInfo.php?workbook=12_04.xlsx&amp;sheet=U0&amp;row=1184&amp;col=7&amp;number=0.000133&amp;sourceID=14","0.000133")</f>
        <v>0.000133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HYPERLINK("http://141.218.60.56/~jnz1568/getInfo.php?workbook=12_04.xlsx&amp;sheet=U0&amp;row=1185&amp;col=6&amp;number=3.1&amp;sourceID=14","3.1")</f>
        <v>3.1</v>
      </c>
      <c r="G1185" s="4" t="str">
        <f>HYPERLINK("http://141.218.60.56/~jnz1568/getInfo.php?workbook=12_04.xlsx&amp;sheet=U0&amp;row=1185&amp;col=7&amp;number=0.000133&amp;sourceID=14","0.000133")</f>
        <v>0.000133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HYPERLINK("http://141.218.60.56/~jnz1568/getInfo.php?workbook=12_04.xlsx&amp;sheet=U0&amp;row=1186&amp;col=6&amp;number=3.2&amp;sourceID=14","3.2")</f>
        <v>3.2</v>
      </c>
      <c r="G1186" s="4" t="str">
        <f>HYPERLINK("http://141.218.60.56/~jnz1568/getInfo.php?workbook=12_04.xlsx&amp;sheet=U0&amp;row=1186&amp;col=7&amp;number=0.000132&amp;sourceID=14","0.000132")</f>
        <v>0.000132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HYPERLINK("http://141.218.60.56/~jnz1568/getInfo.php?workbook=12_04.xlsx&amp;sheet=U0&amp;row=1187&amp;col=6&amp;number=3.3&amp;sourceID=14","3.3")</f>
        <v>3.3</v>
      </c>
      <c r="G1187" s="4" t="str">
        <f>HYPERLINK("http://141.218.60.56/~jnz1568/getInfo.php?workbook=12_04.xlsx&amp;sheet=U0&amp;row=1187&amp;col=7&amp;number=0.000132&amp;sourceID=14","0.000132")</f>
        <v>0.000132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HYPERLINK("http://141.218.60.56/~jnz1568/getInfo.php?workbook=12_04.xlsx&amp;sheet=U0&amp;row=1188&amp;col=6&amp;number=3.4&amp;sourceID=14","3.4")</f>
        <v>3.4</v>
      </c>
      <c r="G1188" s="4" t="str">
        <f>HYPERLINK("http://141.218.60.56/~jnz1568/getInfo.php?workbook=12_04.xlsx&amp;sheet=U0&amp;row=1188&amp;col=7&amp;number=0.000131&amp;sourceID=14","0.000131")</f>
        <v>0.000131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HYPERLINK("http://141.218.60.56/~jnz1568/getInfo.php?workbook=12_04.xlsx&amp;sheet=U0&amp;row=1189&amp;col=6&amp;number=3.5&amp;sourceID=14","3.5")</f>
        <v>3.5</v>
      </c>
      <c r="G1189" s="4" t="str">
        <f>HYPERLINK("http://141.218.60.56/~jnz1568/getInfo.php?workbook=12_04.xlsx&amp;sheet=U0&amp;row=1189&amp;col=7&amp;number=0.00013&amp;sourceID=14","0.00013")</f>
        <v>0.00013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HYPERLINK("http://141.218.60.56/~jnz1568/getInfo.php?workbook=12_04.xlsx&amp;sheet=U0&amp;row=1190&amp;col=6&amp;number=3.6&amp;sourceID=14","3.6")</f>
        <v>3.6</v>
      </c>
      <c r="G1190" s="4" t="str">
        <f>HYPERLINK("http://141.218.60.56/~jnz1568/getInfo.php?workbook=12_04.xlsx&amp;sheet=U0&amp;row=1190&amp;col=7&amp;number=0.000129&amp;sourceID=14","0.000129")</f>
        <v>0.000129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HYPERLINK("http://141.218.60.56/~jnz1568/getInfo.php?workbook=12_04.xlsx&amp;sheet=U0&amp;row=1191&amp;col=6&amp;number=3.7&amp;sourceID=14","3.7")</f>
        <v>3.7</v>
      </c>
      <c r="G1191" s="4" t="str">
        <f>HYPERLINK("http://141.218.60.56/~jnz1568/getInfo.php?workbook=12_04.xlsx&amp;sheet=U0&amp;row=1191&amp;col=7&amp;number=0.000128&amp;sourceID=14","0.000128")</f>
        <v>0.000128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HYPERLINK("http://141.218.60.56/~jnz1568/getInfo.php?workbook=12_04.xlsx&amp;sheet=U0&amp;row=1192&amp;col=6&amp;number=3.8&amp;sourceID=14","3.8")</f>
        <v>3.8</v>
      </c>
      <c r="G1192" s="4" t="str">
        <f>HYPERLINK("http://141.218.60.56/~jnz1568/getInfo.php?workbook=12_04.xlsx&amp;sheet=U0&amp;row=1192&amp;col=7&amp;number=0.000126&amp;sourceID=14","0.000126")</f>
        <v>0.000126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HYPERLINK("http://141.218.60.56/~jnz1568/getInfo.php?workbook=12_04.xlsx&amp;sheet=U0&amp;row=1193&amp;col=6&amp;number=3.9&amp;sourceID=14","3.9")</f>
        <v>3.9</v>
      </c>
      <c r="G1193" s="4" t="str">
        <f>HYPERLINK("http://141.218.60.56/~jnz1568/getInfo.php?workbook=12_04.xlsx&amp;sheet=U0&amp;row=1193&amp;col=7&amp;number=0.000124&amp;sourceID=14","0.000124")</f>
        <v>0.000124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HYPERLINK("http://141.218.60.56/~jnz1568/getInfo.php?workbook=12_04.xlsx&amp;sheet=U0&amp;row=1194&amp;col=6&amp;number=4&amp;sourceID=14","4")</f>
        <v>4</v>
      </c>
      <c r="G1194" s="4" t="str">
        <f>HYPERLINK("http://141.218.60.56/~jnz1568/getInfo.php?workbook=12_04.xlsx&amp;sheet=U0&amp;row=1194&amp;col=7&amp;number=0.000122&amp;sourceID=14","0.000122")</f>
        <v>0.000122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HYPERLINK("http://141.218.60.56/~jnz1568/getInfo.php?workbook=12_04.xlsx&amp;sheet=U0&amp;row=1195&amp;col=6&amp;number=4.1&amp;sourceID=14","4.1")</f>
        <v>4.1</v>
      </c>
      <c r="G1195" s="4" t="str">
        <f>HYPERLINK("http://141.218.60.56/~jnz1568/getInfo.php?workbook=12_04.xlsx&amp;sheet=U0&amp;row=1195&amp;col=7&amp;number=0.000118&amp;sourceID=14","0.000118")</f>
        <v>0.000118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HYPERLINK("http://141.218.60.56/~jnz1568/getInfo.php?workbook=12_04.xlsx&amp;sheet=U0&amp;row=1196&amp;col=6&amp;number=4.2&amp;sourceID=14","4.2")</f>
        <v>4.2</v>
      </c>
      <c r="G1196" s="4" t="str">
        <f>HYPERLINK("http://141.218.60.56/~jnz1568/getInfo.php?workbook=12_04.xlsx&amp;sheet=U0&amp;row=1196&amp;col=7&amp;number=0.000114&amp;sourceID=14","0.000114")</f>
        <v>0.000114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HYPERLINK("http://141.218.60.56/~jnz1568/getInfo.php?workbook=12_04.xlsx&amp;sheet=U0&amp;row=1197&amp;col=6&amp;number=4.3&amp;sourceID=14","4.3")</f>
        <v>4.3</v>
      </c>
      <c r="G1197" s="4" t="str">
        <f>HYPERLINK("http://141.218.60.56/~jnz1568/getInfo.php?workbook=12_04.xlsx&amp;sheet=U0&amp;row=1197&amp;col=7&amp;number=0.00011&amp;sourceID=14","0.00011")</f>
        <v>0.00011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HYPERLINK("http://141.218.60.56/~jnz1568/getInfo.php?workbook=12_04.xlsx&amp;sheet=U0&amp;row=1198&amp;col=6&amp;number=4.4&amp;sourceID=14","4.4")</f>
        <v>4.4</v>
      </c>
      <c r="G1198" s="4" t="str">
        <f>HYPERLINK("http://141.218.60.56/~jnz1568/getInfo.php?workbook=12_04.xlsx&amp;sheet=U0&amp;row=1198&amp;col=7&amp;number=0.000103&amp;sourceID=14","0.000103")</f>
        <v>0.000103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HYPERLINK("http://141.218.60.56/~jnz1568/getInfo.php?workbook=12_04.xlsx&amp;sheet=U0&amp;row=1199&amp;col=6&amp;number=4.5&amp;sourceID=14","4.5")</f>
        <v>4.5</v>
      </c>
      <c r="G1199" s="4" t="str">
        <f>HYPERLINK("http://141.218.60.56/~jnz1568/getInfo.php?workbook=12_04.xlsx&amp;sheet=U0&amp;row=1199&amp;col=7&amp;number=9.61e-05&amp;sourceID=14","9.61e-05")</f>
        <v>9.61e-05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HYPERLINK("http://141.218.60.56/~jnz1568/getInfo.php?workbook=12_04.xlsx&amp;sheet=U0&amp;row=1200&amp;col=6&amp;number=4.6&amp;sourceID=14","4.6")</f>
        <v>4.6</v>
      </c>
      <c r="G1200" s="4" t="str">
        <f>HYPERLINK("http://141.218.60.56/~jnz1568/getInfo.php?workbook=12_04.xlsx&amp;sheet=U0&amp;row=1200&amp;col=7&amp;number=8.74e-05&amp;sourceID=14","8.74e-05")</f>
        <v>8.74e-05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HYPERLINK("http://141.218.60.56/~jnz1568/getInfo.php?workbook=12_04.xlsx&amp;sheet=U0&amp;row=1201&amp;col=6&amp;number=4.7&amp;sourceID=14","4.7")</f>
        <v>4.7</v>
      </c>
      <c r="G1201" s="4" t="str">
        <f>HYPERLINK("http://141.218.60.56/~jnz1568/getInfo.php?workbook=12_04.xlsx&amp;sheet=U0&amp;row=1201&amp;col=7&amp;number=7.73e-05&amp;sourceID=14","7.73e-05")</f>
        <v>7.73e-05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HYPERLINK("http://141.218.60.56/~jnz1568/getInfo.php?workbook=12_04.xlsx&amp;sheet=U0&amp;row=1202&amp;col=6&amp;number=4.8&amp;sourceID=14","4.8")</f>
        <v>4.8</v>
      </c>
      <c r="G1202" s="4" t="str">
        <f>HYPERLINK("http://141.218.60.56/~jnz1568/getInfo.php?workbook=12_04.xlsx&amp;sheet=U0&amp;row=1202&amp;col=7&amp;number=6.59e-05&amp;sourceID=14","6.59e-05")</f>
        <v>6.59e-05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HYPERLINK("http://141.218.60.56/~jnz1568/getInfo.php?workbook=12_04.xlsx&amp;sheet=U0&amp;row=1203&amp;col=6&amp;number=4.9&amp;sourceID=14","4.9")</f>
        <v>4.9</v>
      </c>
      <c r="G1203" s="4" t="str">
        <f>HYPERLINK("http://141.218.60.56/~jnz1568/getInfo.php?workbook=12_04.xlsx&amp;sheet=U0&amp;row=1203&amp;col=7&amp;number=5.41e-05&amp;sourceID=14","5.41e-05")</f>
        <v>5.41e-05</v>
      </c>
    </row>
    <row r="1204" spans="1:7">
      <c r="A1204" s="3">
        <v>12</v>
      </c>
      <c r="B1204" s="3">
        <v>4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HYPERLINK("http://141.218.60.56/~jnz1568/getInfo.php?workbook=12_04.xlsx&amp;sheet=U0&amp;row=1204&amp;col=6&amp;number=3&amp;sourceID=14","3")</f>
        <v>3</v>
      </c>
      <c r="G1204" s="4" t="str">
        <f>HYPERLINK("http://141.218.60.56/~jnz1568/getInfo.php?workbook=12_04.xlsx&amp;sheet=U0&amp;row=1204&amp;col=7&amp;number=0.000234&amp;sourceID=14","0.000234")</f>
        <v>0.000234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HYPERLINK("http://141.218.60.56/~jnz1568/getInfo.php?workbook=12_04.xlsx&amp;sheet=U0&amp;row=1205&amp;col=6&amp;number=3.1&amp;sourceID=14","3.1")</f>
        <v>3.1</v>
      </c>
      <c r="G1205" s="4" t="str">
        <f>HYPERLINK("http://141.218.60.56/~jnz1568/getInfo.php?workbook=12_04.xlsx&amp;sheet=U0&amp;row=1205&amp;col=7&amp;number=0.000234&amp;sourceID=14","0.000234")</f>
        <v>0.000234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HYPERLINK("http://141.218.60.56/~jnz1568/getInfo.php?workbook=12_04.xlsx&amp;sheet=U0&amp;row=1206&amp;col=6&amp;number=3.2&amp;sourceID=14","3.2")</f>
        <v>3.2</v>
      </c>
      <c r="G1206" s="4" t="str">
        <f>HYPERLINK("http://141.218.60.56/~jnz1568/getInfo.php?workbook=12_04.xlsx&amp;sheet=U0&amp;row=1206&amp;col=7&amp;number=0.000234&amp;sourceID=14","0.000234")</f>
        <v>0.000234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HYPERLINK("http://141.218.60.56/~jnz1568/getInfo.php?workbook=12_04.xlsx&amp;sheet=U0&amp;row=1207&amp;col=6&amp;number=3.3&amp;sourceID=14","3.3")</f>
        <v>3.3</v>
      </c>
      <c r="G1207" s="4" t="str">
        <f>HYPERLINK("http://141.218.60.56/~jnz1568/getInfo.php?workbook=12_04.xlsx&amp;sheet=U0&amp;row=1207&amp;col=7&amp;number=0.000233&amp;sourceID=14","0.000233")</f>
        <v>0.000233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HYPERLINK("http://141.218.60.56/~jnz1568/getInfo.php?workbook=12_04.xlsx&amp;sheet=U0&amp;row=1208&amp;col=6&amp;number=3.4&amp;sourceID=14","3.4")</f>
        <v>3.4</v>
      </c>
      <c r="G1208" s="4" t="str">
        <f>HYPERLINK("http://141.218.60.56/~jnz1568/getInfo.php?workbook=12_04.xlsx&amp;sheet=U0&amp;row=1208&amp;col=7&amp;number=0.000233&amp;sourceID=14","0.000233")</f>
        <v>0.000233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HYPERLINK("http://141.218.60.56/~jnz1568/getInfo.php?workbook=12_04.xlsx&amp;sheet=U0&amp;row=1209&amp;col=6&amp;number=3.5&amp;sourceID=14","3.5")</f>
        <v>3.5</v>
      </c>
      <c r="G1209" s="4" t="str">
        <f>HYPERLINK("http://141.218.60.56/~jnz1568/getInfo.php?workbook=12_04.xlsx&amp;sheet=U0&amp;row=1209&amp;col=7&amp;number=0.000232&amp;sourceID=14","0.000232")</f>
        <v>0.000232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HYPERLINK("http://141.218.60.56/~jnz1568/getInfo.php?workbook=12_04.xlsx&amp;sheet=U0&amp;row=1210&amp;col=6&amp;number=3.6&amp;sourceID=14","3.6")</f>
        <v>3.6</v>
      </c>
      <c r="G1210" s="4" t="str">
        <f>HYPERLINK("http://141.218.60.56/~jnz1568/getInfo.php?workbook=12_04.xlsx&amp;sheet=U0&amp;row=1210&amp;col=7&amp;number=0.000232&amp;sourceID=14","0.000232")</f>
        <v>0.000232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HYPERLINK("http://141.218.60.56/~jnz1568/getInfo.php?workbook=12_04.xlsx&amp;sheet=U0&amp;row=1211&amp;col=6&amp;number=3.7&amp;sourceID=14","3.7")</f>
        <v>3.7</v>
      </c>
      <c r="G1211" s="4" t="str">
        <f>HYPERLINK("http://141.218.60.56/~jnz1568/getInfo.php?workbook=12_04.xlsx&amp;sheet=U0&amp;row=1211&amp;col=7&amp;number=0.000231&amp;sourceID=14","0.000231")</f>
        <v>0.000231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HYPERLINK("http://141.218.60.56/~jnz1568/getInfo.php?workbook=12_04.xlsx&amp;sheet=U0&amp;row=1212&amp;col=6&amp;number=3.8&amp;sourceID=14","3.8")</f>
        <v>3.8</v>
      </c>
      <c r="G1212" s="4" t="str">
        <f>HYPERLINK("http://141.218.60.56/~jnz1568/getInfo.php?workbook=12_04.xlsx&amp;sheet=U0&amp;row=1212&amp;col=7&amp;number=0.00023&amp;sourceID=14","0.00023")</f>
        <v>0.00023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HYPERLINK("http://141.218.60.56/~jnz1568/getInfo.php?workbook=12_04.xlsx&amp;sheet=U0&amp;row=1213&amp;col=6&amp;number=3.9&amp;sourceID=14","3.9")</f>
        <v>3.9</v>
      </c>
      <c r="G1213" s="4" t="str">
        <f>HYPERLINK("http://141.218.60.56/~jnz1568/getInfo.php?workbook=12_04.xlsx&amp;sheet=U0&amp;row=1213&amp;col=7&amp;number=0.000228&amp;sourceID=14","0.000228")</f>
        <v>0.000228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HYPERLINK("http://141.218.60.56/~jnz1568/getInfo.php?workbook=12_04.xlsx&amp;sheet=U0&amp;row=1214&amp;col=6&amp;number=4&amp;sourceID=14","4")</f>
        <v>4</v>
      </c>
      <c r="G1214" s="4" t="str">
        <f>HYPERLINK("http://141.218.60.56/~jnz1568/getInfo.php?workbook=12_04.xlsx&amp;sheet=U0&amp;row=1214&amp;col=7&amp;number=0.000227&amp;sourceID=14","0.000227")</f>
        <v>0.000227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HYPERLINK("http://141.218.60.56/~jnz1568/getInfo.php?workbook=12_04.xlsx&amp;sheet=U0&amp;row=1215&amp;col=6&amp;number=4.1&amp;sourceID=14","4.1")</f>
        <v>4.1</v>
      </c>
      <c r="G1215" s="4" t="str">
        <f>HYPERLINK("http://141.218.60.56/~jnz1568/getInfo.php?workbook=12_04.xlsx&amp;sheet=U0&amp;row=1215&amp;col=7&amp;number=0.000224&amp;sourceID=14","0.000224")</f>
        <v>0.000224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HYPERLINK("http://141.218.60.56/~jnz1568/getInfo.php?workbook=12_04.xlsx&amp;sheet=U0&amp;row=1216&amp;col=6&amp;number=4.2&amp;sourceID=14","4.2")</f>
        <v>4.2</v>
      </c>
      <c r="G1216" s="4" t="str">
        <f>HYPERLINK("http://141.218.60.56/~jnz1568/getInfo.php?workbook=12_04.xlsx&amp;sheet=U0&amp;row=1216&amp;col=7&amp;number=0.000222&amp;sourceID=14","0.000222")</f>
        <v>0.000222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HYPERLINK("http://141.218.60.56/~jnz1568/getInfo.php?workbook=12_04.xlsx&amp;sheet=U0&amp;row=1217&amp;col=6&amp;number=4.3&amp;sourceID=14","4.3")</f>
        <v>4.3</v>
      </c>
      <c r="G1217" s="4" t="str">
        <f>HYPERLINK("http://141.218.60.56/~jnz1568/getInfo.php?workbook=12_04.xlsx&amp;sheet=U0&amp;row=1217&amp;col=7&amp;number=0.000218&amp;sourceID=14","0.000218")</f>
        <v>0.000218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HYPERLINK("http://141.218.60.56/~jnz1568/getInfo.php?workbook=12_04.xlsx&amp;sheet=U0&amp;row=1218&amp;col=6&amp;number=4.4&amp;sourceID=14","4.4")</f>
        <v>4.4</v>
      </c>
      <c r="G1218" s="4" t="str">
        <f>HYPERLINK("http://141.218.60.56/~jnz1568/getInfo.php?workbook=12_04.xlsx&amp;sheet=U0&amp;row=1218&amp;col=7&amp;number=0.000214&amp;sourceID=14","0.000214")</f>
        <v>0.000214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HYPERLINK("http://141.218.60.56/~jnz1568/getInfo.php?workbook=12_04.xlsx&amp;sheet=U0&amp;row=1219&amp;col=6&amp;number=4.5&amp;sourceID=14","4.5")</f>
        <v>4.5</v>
      </c>
      <c r="G1219" s="4" t="str">
        <f>HYPERLINK("http://141.218.60.56/~jnz1568/getInfo.php?workbook=12_04.xlsx&amp;sheet=U0&amp;row=1219&amp;col=7&amp;number=0.000209&amp;sourceID=14","0.000209")</f>
        <v>0.000209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HYPERLINK("http://141.218.60.56/~jnz1568/getInfo.php?workbook=12_04.xlsx&amp;sheet=U0&amp;row=1220&amp;col=6&amp;number=4.6&amp;sourceID=14","4.6")</f>
        <v>4.6</v>
      </c>
      <c r="G1220" s="4" t="str">
        <f>HYPERLINK("http://141.218.60.56/~jnz1568/getInfo.php?workbook=12_04.xlsx&amp;sheet=U0&amp;row=1220&amp;col=7&amp;number=0.000202&amp;sourceID=14","0.000202")</f>
        <v>0.000202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HYPERLINK("http://141.218.60.56/~jnz1568/getInfo.php?workbook=12_04.xlsx&amp;sheet=U0&amp;row=1221&amp;col=6&amp;number=4.7&amp;sourceID=14","4.7")</f>
        <v>4.7</v>
      </c>
      <c r="G1221" s="4" t="str">
        <f>HYPERLINK("http://141.218.60.56/~jnz1568/getInfo.php?workbook=12_04.xlsx&amp;sheet=U0&amp;row=1221&amp;col=7&amp;number=0.000194&amp;sourceID=14","0.000194")</f>
        <v>0.000194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HYPERLINK("http://141.218.60.56/~jnz1568/getInfo.php?workbook=12_04.xlsx&amp;sheet=U0&amp;row=1222&amp;col=6&amp;number=4.8&amp;sourceID=14","4.8")</f>
        <v>4.8</v>
      </c>
      <c r="G1222" s="4" t="str">
        <f>HYPERLINK("http://141.218.60.56/~jnz1568/getInfo.php?workbook=12_04.xlsx&amp;sheet=U0&amp;row=1222&amp;col=7&amp;number=0.000185&amp;sourceID=14","0.000185")</f>
        <v>0.000185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HYPERLINK("http://141.218.60.56/~jnz1568/getInfo.php?workbook=12_04.xlsx&amp;sheet=U0&amp;row=1223&amp;col=6&amp;number=4.9&amp;sourceID=14","4.9")</f>
        <v>4.9</v>
      </c>
      <c r="G1223" s="4" t="str">
        <f>HYPERLINK("http://141.218.60.56/~jnz1568/getInfo.php?workbook=12_04.xlsx&amp;sheet=U0&amp;row=1223&amp;col=7&amp;number=0.000173&amp;sourceID=14","0.000173")</f>
        <v>0.000173</v>
      </c>
    </row>
    <row r="1224" spans="1:7">
      <c r="A1224" s="3">
        <v>12</v>
      </c>
      <c r="B1224" s="3">
        <v>4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HYPERLINK("http://141.218.60.56/~jnz1568/getInfo.php?workbook=12_04.xlsx&amp;sheet=U0&amp;row=1224&amp;col=6&amp;number=3&amp;sourceID=14","3")</f>
        <v>3</v>
      </c>
      <c r="G1224" s="4" t="str">
        <f>HYPERLINK("http://141.218.60.56/~jnz1568/getInfo.php?workbook=12_04.xlsx&amp;sheet=U0&amp;row=1224&amp;col=7&amp;number=0.000659&amp;sourceID=14","0.000659")</f>
        <v>0.000659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HYPERLINK("http://141.218.60.56/~jnz1568/getInfo.php?workbook=12_04.xlsx&amp;sheet=U0&amp;row=1225&amp;col=6&amp;number=3.1&amp;sourceID=14","3.1")</f>
        <v>3.1</v>
      </c>
      <c r="G1225" s="4" t="str">
        <f>HYPERLINK("http://141.218.60.56/~jnz1568/getInfo.php?workbook=12_04.xlsx&amp;sheet=U0&amp;row=1225&amp;col=7&amp;number=0.000657&amp;sourceID=14","0.000657")</f>
        <v>0.000657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HYPERLINK("http://141.218.60.56/~jnz1568/getInfo.php?workbook=12_04.xlsx&amp;sheet=U0&amp;row=1226&amp;col=6&amp;number=3.2&amp;sourceID=14","3.2")</f>
        <v>3.2</v>
      </c>
      <c r="G1226" s="4" t="str">
        <f>HYPERLINK("http://141.218.60.56/~jnz1568/getInfo.php?workbook=12_04.xlsx&amp;sheet=U0&amp;row=1226&amp;col=7&amp;number=0.000655&amp;sourceID=14","0.000655")</f>
        <v>0.000655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HYPERLINK("http://141.218.60.56/~jnz1568/getInfo.php?workbook=12_04.xlsx&amp;sheet=U0&amp;row=1227&amp;col=6&amp;number=3.3&amp;sourceID=14","3.3")</f>
        <v>3.3</v>
      </c>
      <c r="G1227" s="4" t="str">
        <f>HYPERLINK("http://141.218.60.56/~jnz1568/getInfo.php?workbook=12_04.xlsx&amp;sheet=U0&amp;row=1227&amp;col=7&amp;number=0.000652&amp;sourceID=14","0.000652")</f>
        <v>0.000652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HYPERLINK("http://141.218.60.56/~jnz1568/getInfo.php?workbook=12_04.xlsx&amp;sheet=U0&amp;row=1228&amp;col=6&amp;number=3.4&amp;sourceID=14","3.4")</f>
        <v>3.4</v>
      </c>
      <c r="G1228" s="4" t="str">
        <f>HYPERLINK("http://141.218.60.56/~jnz1568/getInfo.php?workbook=12_04.xlsx&amp;sheet=U0&amp;row=1228&amp;col=7&amp;number=0.000649&amp;sourceID=14","0.000649")</f>
        <v>0.000649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HYPERLINK("http://141.218.60.56/~jnz1568/getInfo.php?workbook=12_04.xlsx&amp;sheet=U0&amp;row=1229&amp;col=6&amp;number=3.5&amp;sourceID=14","3.5")</f>
        <v>3.5</v>
      </c>
      <c r="G1229" s="4" t="str">
        <f>HYPERLINK("http://141.218.60.56/~jnz1568/getInfo.php?workbook=12_04.xlsx&amp;sheet=U0&amp;row=1229&amp;col=7&amp;number=0.000645&amp;sourceID=14","0.000645")</f>
        <v>0.000645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HYPERLINK("http://141.218.60.56/~jnz1568/getInfo.php?workbook=12_04.xlsx&amp;sheet=U0&amp;row=1230&amp;col=6&amp;number=3.6&amp;sourceID=14","3.6")</f>
        <v>3.6</v>
      </c>
      <c r="G1230" s="4" t="str">
        <f>HYPERLINK("http://141.218.60.56/~jnz1568/getInfo.php?workbook=12_04.xlsx&amp;sheet=U0&amp;row=1230&amp;col=7&amp;number=0.00064&amp;sourceID=14","0.00064")</f>
        <v>0.00064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HYPERLINK("http://141.218.60.56/~jnz1568/getInfo.php?workbook=12_04.xlsx&amp;sheet=U0&amp;row=1231&amp;col=6&amp;number=3.7&amp;sourceID=14","3.7")</f>
        <v>3.7</v>
      </c>
      <c r="G1231" s="4" t="str">
        <f>HYPERLINK("http://141.218.60.56/~jnz1568/getInfo.php?workbook=12_04.xlsx&amp;sheet=U0&amp;row=1231&amp;col=7&amp;number=0.000633&amp;sourceID=14","0.000633")</f>
        <v>0.000633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HYPERLINK("http://141.218.60.56/~jnz1568/getInfo.php?workbook=12_04.xlsx&amp;sheet=U0&amp;row=1232&amp;col=6&amp;number=3.8&amp;sourceID=14","3.8")</f>
        <v>3.8</v>
      </c>
      <c r="G1232" s="4" t="str">
        <f>HYPERLINK("http://141.218.60.56/~jnz1568/getInfo.php?workbook=12_04.xlsx&amp;sheet=U0&amp;row=1232&amp;col=7&amp;number=0.000625&amp;sourceID=14","0.000625")</f>
        <v>0.000625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HYPERLINK("http://141.218.60.56/~jnz1568/getInfo.php?workbook=12_04.xlsx&amp;sheet=U0&amp;row=1233&amp;col=6&amp;number=3.9&amp;sourceID=14","3.9")</f>
        <v>3.9</v>
      </c>
      <c r="G1233" s="4" t="str">
        <f>HYPERLINK("http://141.218.60.56/~jnz1568/getInfo.php?workbook=12_04.xlsx&amp;sheet=U0&amp;row=1233&amp;col=7&amp;number=0.000615&amp;sourceID=14","0.000615")</f>
        <v>0.000615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HYPERLINK("http://141.218.60.56/~jnz1568/getInfo.php?workbook=12_04.xlsx&amp;sheet=U0&amp;row=1234&amp;col=6&amp;number=4&amp;sourceID=14","4")</f>
        <v>4</v>
      </c>
      <c r="G1234" s="4" t="str">
        <f>HYPERLINK("http://141.218.60.56/~jnz1568/getInfo.php?workbook=12_04.xlsx&amp;sheet=U0&amp;row=1234&amp;col=7&amp;number=0.000602&amp;sourceID=14","0.000602")</f>
        <v>0.000602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HYPERLINK("http://141.218.60.56/~jnz1568/getInfo.php?workbook=12_04.xlsx&amp;sheet=U0&amp;row=1235&amp;col=6&amp;number=4.1&amp;sourceID=14","4.1")</f>
        <v>4.1</v>
      </c>
      <c r="G1235" s="4" t="str">
        <f>HYPERLINK("http://141.218.60.56/~jnz1568/getInfo.php?workbook=12_04.xlsx&amp;sheet=U0&amp;row=1235&amp;col=7&amp;number=0.000586&amp;sourceID=14","0.000586")</f>
        <v>0.000586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HYPERLINK("http://141.218.60.56/~jnz1568/getInfo.php?workbook=12_04.xlsx&amp;sheet=U0&amp;row=1236&amp;col=6&amp;number=4.2&amp;sourceID=14","4.2")</f>
        <v>4.2</v>
      </c>
      <c r="G1236" s="4" t="str">
        <f>HYPERLINK("http://141.218.60.56/~jnz1568/getInfo.php?workbook=12_04.xlsx&amp;sheet=U0&amp;row=1236&amp;col=7&amp;number=0.000567&amp;sourceID=14","0.000567")</f>
        <v>0.000567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HYPERLINK("http://141.218.60.56/~jnz1568/getInfo.php?workbook=12_04.xlsx&amp;sheet=U0&amp;row=1237&amp;col=6&amp;number=4.3&amp;sourceID=14","4.3")</f>
        <v>4.3</v>
      </c>
      <c r="G1237" s="4" t="str">
        <f>HYPERLINK("http://141.218.60.56/~jnz1568/getInfo.php?workbook=12_04.xlsx&amp;sheet=U0&amp;row=1237&amp;col=7&amp;number=0.000542&amp;sourceID=14","0.000542")</f>
        <v>0.000542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HYPERLINK("http://141.218.60.56/~jnz1568/getInfo.php?workbook=12_04.xlsx&amp;sheet=U0&amp;row=1238&amp;col=6&amp;number=4.4&amp;sourceID=14","4.4")</f>
        <v>4.4</v>
      </c>
      <c r="G1238" s="4" t="str">
        <f>HYPERLINK("http://141.218.60.56/~jnz1568/getInfo.php?workbook=12_04.xlsx&amp;sheet=U0&amp;row=1238&amp;col=7&amp;number=0.000512&amp;sourceID=14","0.000512")</f>
        <v>0.000512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HYPERLINK("http://141.218.60.56/~jnz1568/getInfo.php?workbook=12_04.xlsx&amp;sheet=U0&amp;row=1239&amp;col=6&amp;number=4.5&amp;sourceID=14","4.5")</f>
        <v>4.5</v>
      </c>
      <c r="G1239" s="4" t="str">
        <f>HYPERLINK("http://141.218.60.56/~jnz1568/getInfo.php?workbook=12_04.xlsx&amp;sheet=U0&amp;row=1239&amp;col=7&amp;number=0.000476&amp;sourceID=14","0.000476")</f>
        <v>0.000476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HYPERLINK("http://141.218.60.56/~jnz1568/getInfo.php?workbook=12_04.xlsx&amp;sheet=U0&amp;row=1240&amp;col=6&amp;number=4.6&amp;sourceID=14","4.6")</f>
        <v>4.6</v>
      </c>
      <c r="G1240" s="4" t="str">
        <f>HYPERLINK("http://141.218.60.56/~jnz1568/getInfo.php?workbook=12_04.xlsx&amp;sheet=U0&amp;row=1240&amp;col=7&amp;number=0.000433&amp;sourceID=14","0.000433")</f>
        <v>0.000433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HYPERLINK("http://141.218.60.56/~jnz1568/getInfo.php?workbook=12_04.xlsx&amp;sheet=U0&amp;row=1241&amp;col=6&amp;number=4.7&amp;sourceID=14","4.7")</f>
        <v>4.7</v>
      </c>
      <c r="G1241" s="4" t="str">
        <f>HYPERLINK("http://141.218.60.56/~jnz1568/getInfo.php?workbook=12_04.xlsx&amp;sheet=U0&amp;row=1241&amp;col=7&amp;number=0.000383&amp;sourceID=14","0.000383")</f>
        <v>0.000383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HYPERLINK("http://141.218.60.56/~jnz1568/getInfo.php?workbook=12_04.xlsx&amp;sheet=U0&amp;row=1242&amp;col=6&amp;number=4.8&amp;sourceID=14","4.8")</f>
        <v>4.8</v>
      </c>
      <c r="G1242" s="4" t="str">
        <f>HYPERLINK("http://141.218.60.56/~jnz1568/getInfo.php?workbook=12_04.xlsx&amp;sheet=U0&amp;row=1242&amp;col=7&amp;number=0.000327&amp;sourceID=14","0.000327")</f>
        <v>0.000327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HYPERLINK("http://141.218.60.56/~jnz1568/getInfo.php?workbook=12_04.xlsx&amp;sheet=U0&amp;row=1243&amp;col=6&amp;number=4.9&amp;sourceID=14","4.9")</f>
        <v>4.9</v>
      </c>
      <c r="G1243" s="4" t="str">
        <f>HYPERLINK("http://141.218.60.56/~jnz1568/getInfo.php?workbook=12_04.xlsx&amp;sheet=U0&amp;row=1243&amp;col=7&amp;number=0.000268&amp;sourceID=14","0.000268")</f>
        <v>0.000268</v>
      </c>
    </row>
    <row r="1244" spans="1:7">
      <c r="A1244" s="3">
        <v>12</v>
      </c>
      <c r="B1244" s="3">
        <v>4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HYPERLINK("http://141.218.60.56/~jnz1568/getInfo.php?workbook=12_04.xlsx&amp;sheet=U0&amp;row=1244&amp;col=6&amp;number=3&amp;sourceID=14","3")</f>
        <v>3</v>
      </c>
      <c r="G1244" s="4" t="str">
        <f>HYPERLINK("http://141.218.60.56/~jnz1568/getInfo.php?workbook=12_04.xlsx&amp;sheet=U0&amp;row=1244&amp;col=7&amp;number=0.000886&amp;sourceID=14","0.000886")</f>
        <v>0.000886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HYPERLINK("http://141.218.60.56/~jnz1568/getInfo.php?workbook=12_04.xlsx&amp;sheet=U0&amp;row=1245&amp;col=6&amp;number=3.1&amp;sourceID=14","3.1")</f>
        <v>3.1</v>
      </c>
      <c r="G1245" s="4" t="str">
        <f>HYPERLINK("http://141.218.60.56/~jnz1568/getInfo.php?workbook=12_04.xlsx&amp;sheet=U0&amp;row=1245&amp;col=7&amp;number=0.000885&amp;sourceID=14","0.000885")</f>
        <v>0.000885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HYPERLINK("http://141.218.60.56/~jnz1568/getInfo.php?workbook=12_04.xlsx&amp;sheet=U0&amp;row=1246&amp;col=6&amp;number=3.2&amp;sourceID=14","3.2")</f>
        <v>3.2</v>
      </c>
      <c r="G1246" s="4" t="str">
        <f>HYPERLINK("http://141.218.60.56/~jnz1568/getInfo.php?workbook=12_04.xlsx&amp;sheet=U0&amp;row=1246&amp;col=7&amp;number=0.000883&amp;sourceID=14","0.000883")</f>
        <v>0.000883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HYPERLINK("http://141.218.60.56/~jnz1568/getInfo.php?workbook=12_04.xlsx&amp;sheet=U0&amp;row=1247&amp;col=6&amp;number=3.3&amp;sourceID=14","3.3")</f>
        <v>3.3</v>
      </c>
      <c r="G1247" s="4" t="str">
        <f>HYPERLINK("http://141.218.60.56/~jnz1568/getInfo.php?workbook=12_04.xlsx&amp;sheet=U0&amp;row=1247&amp;col=7&amp;number=0.000881&amp;sourceID=14","0.000881")</f>
        <v>0.000881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HYPERLINK("http://141.218.60.56/~jnz1568/getInfo.php?workbook=12_04.xlsx&amp;sheet=U0&amp;row=1248&amp;col=6&amp;number=3.4&amp;sourceID=14","3.4")</f>
        <v>3.4</v>
      </c>
      <c r="G1248" s="4" t="str">
        <f>HYPERLINK("http://141.218.60.56/~jnz1568/getInfo.php?workbook=12_04.xlsx&amp;sheet=U0&amp;row=1248&amp;col=7&amp;number=0.000878&amp;sourceID=14","0.000878")</f>
        <v>0.000878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HYPERLINK("http://141.218.60.56/~jnz1568/getInfo.php?workbook=12_04.xlsx&amp;sheet=U0&amp;row=1249&amp;col=6&amp;number=3.5&amp;sourceID=14","3.5")</f>
        <v>3.5</v>
      </c>
      <c r="G1249" s="4" t="str">
        <f>HYPERLINK("http://141.218.60.56/~jnz1568/getInfo.php?workbook=12_04.xlsx&amp;sheet=U0&amp;row=1249&amp;col=7&amp;number=0.000874&amp;sourceID=14","0.000874")</f>
        <v>0.000874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HYPERLINK("http://141.218.60.56/~jnz1568/getInfo.php?workbook=12_04.xlsx&amp;sheet=U0&amp;row=1250&amp;col=6&amp;number=3.6&amp;sourceID=14","3.6")</f>
        <v>3.6</v>
      </c>
      <c r="G1250" s="4" t="str">
        <f>HYPERLINK("http://141.218.60.56/~jnz1568/getInfo.php?workbook=12_04.xlsx&amp;sheet=U0&amp;row=1250&amp;col=7&amp;number=0.00087&amp;sourceID=14","0.00087")</f>
        <v>0.00087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HYPERLINK("http://141.218.60.56/~jnz1568/getInfo.php?workbook=12_04.xlsx&amp;sheet=U0&amp;row=1251&amp;col=6&amp;number=3.7&amp;sourceID=14","3.7")</f>
        <v>3.7</v>
      </c>
      <c r="G1251" s="4" t="str">
        <f>HYPERLINK("http://141.218.60.56/~jnz1568/getInfo.php?workbook=12_04.xlsx&amp;sheet=U0&amp;row=1251&amp;col=7&amp;number=0.000864&amp;sourceID=14","0.000864")</f>
        <v>0.000864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HYPERLINK("http://141.218.60.56/~jnz1568/getInfo.php?workbook=12_04.xlsx&amp;sheet=U0&amp;row=1252&amp;col=6&amp;number=3.8&amp;sourceID=14","3.8")</f>
        <v>3.8</v>
      </c>
      <c r="G1252" s="4" t="str">
        <f>HYPERLINK("http://141.218.60.56/~jnz1568/getInfo.php?workbook=12_04.xlsx&amp;sheet=U0&amp;row=1252&amp;col=7&amp;number=0.000857&amp;sourceID=14","0.000857")</f>
        <v>0.000857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HYPERLINK("http://141.218.60.56/~jnz1568/getInfo.php?workbook=12_04.xlsx&amp;sheet=U0&amp;row=1253&amp;col=6&amp;number=3.9&amp;sourceID=14","3.9")</f>
        <v>3.9</v>
      </c>
      <c r="G1253" s="4" t="str">
        <f>HYPERLINK("http://141.218.60.56/~jnz1568/getInfo.php?workbook=12_04.xlsx&amp;sheet=U0&amp;row=1253&amp;col=7&amp;number=0.000847&amp;sourceID=14","0.000847")</f>
        <v>0.000847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HYPERLINK("http://141.218.60.56/~jnz1568/getInfo.php?workbook=12_04.xlsx&amp;sheet=U0&amp;row=1254&amp;col=6&amp;number=4&amp;sourceID=14","4")</f>
        <v>4</v>
      </c>
      <c r="G1254" s="4" t="str">
        <f>HYPERLINK("http://141.218.60.56/~jnz1568/getInfo.php?workbook=12_04.xlsx&amp;sheet=U0&amp;row=1254&amp;col=7&amp;number=0.000836&amp;sourceID=14","0.000836")</f>
        <v>0.000836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HYPERLINK("http://141.218.60.56/~jnz1568/getInfo.php?workbook=12_04.xlsx&amp;sheet=U0&amp;row=1255&amp;col=6&amp;number=4.1&amp;sourceID=14","4.1")</f>
        <v>4.1</v>
      </c>
      <c r="G1255" s="4" t="str">
        <f>HYPERLINK("http://141.218.60.56/~jnz1568/getInfo.php?workbook=12_04.xlsx&amp;sheet=U0&amp;row=1255&amp;col=7&amp;number=0.000822&amp;sourceID=14","0.000822")</f>
        <v>0.000822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HYPERLINK("http://141.218.60.56/~jnz1568/getInfo.php?workbook=12_04.xlsx&amp;sheet=U0&amp;row=1256&amp;col=6&amp;number=4.2&amp;sourceID=14","4.2")</f>
        <v>4.2</v>
      </c>
      <c r="G1256" s="4" t="str">
        <f>HYPERLINK("http://141.218.60.56/~jnz1568/getInfo.php?workbook=12_04.xlsx&amp;sheet=U0&amp;row=1256&amp;col=7&amp;number=0.000804&amp;sourceID=14","0.000804")</f>
        <v>0.000804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HYPERLINK("http://141.218.60.56/~jnz1568/getInfo.php?workbook=12_04.xlsx&amp;sheet=U0&amp;row=1257&amp;col=6&amp;number=4.3&amp;sourceID=14","4.3")</f>
        <v>4.3</v>
      </c>
      <c r="G1257" s="4" t="str">
        <f>HYPERLINK("http://141.218.60.56/~jnz1568/getInfo.php?workbook=12_04.xlsx&amp;sheet=U0&amp;row=1257&amp;col=7&amp;number=0.000781&amp;sourceID=14","0.000781")</f>
        <v>0.000781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HYPERLINK("http://141.218.60.56/~jnz1568/getInfo.php?workbook=12_04.xlsx&amp;sheet=U0&amp;row=1258&amp;col=6&amp;number=4.4&amp;sourceID=14","4.4")</f>
        <v>4.4</v>
      </c>
      <c r="G1258" s="4" t="str">
        <f>HYPERLINK("http://141.218.60.56/~jnz1568/getInfo.php?workbook=12_04.xlsx&amp;sheet=U0&amp;row=1258&amp;col=7&amp;number=0.000754&amp;sourceID=14","0.000754")</f>
        <v>0.000754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HYPERLINK("http://141.218.60.56/~jnz1568/getInfo.php?workbook=12_04.xlsx&amp;sheet=U0&amp;row=1259&amp;col=6&amp;number=4.5&amp;sourceID=14","4.5")</f>
        <v>4.5</v>
      </c>
      <c r="G1259" s="4" t="str">
        <f>HYPERLINK("http://141.218.60.56/~jnz1568/getInfo.php?workbook=12_04.xlsx&amp;sheet=U0&amp;row=1259&amp;col=7&amp;number=0.000719&amp;sourceID=14","0.000719")</f>
        <v>0.000719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HYPERLINK("http://141.218.60.56/~jnz1568/getInfo.php?workbook=12_04.xlsx&amp;sheet=U0&amp;row=1260&amp;col=6&amp;number=4.6&amp;sourceID=14","4.6")</f>
        <v>4.6</v>
      </c>
      <c r="G1260" s="4" t="str">
        <f>HYPERLINK("http://141.218.60.56/~jnz1568/getInfo.php?workbook=12_04.xlsx&amp;sheet=U0&amp;row=1260&amp;col=7&amp;number=0.000678&amp;sourceID=14","0.000678")</f>
        <v>0.000678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HYPERLINK("http://141.218.60.56/~jnz1568/getInfo.php?workbook=12_04.xlsx&amp;sheet=U0&amp;row=1261&amp;col=6&amp;number=4.7&amp;sourceID=14","4.7")</f>
        <v>4.7</v>
      </c>
      <c r="G1261" s="4" t="str">
        <f>HYPERLINK("http://141.218.60.56/~jnz1568/getInfo.php?workbook=12_04.xlsx&amp;sheet=U0&amp;row=1261&amp;col=7&amp;number=0.000628&amp;sourceID=14","0.000628")</f>
        <v>0.000628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HYPERLINK("http://141.218.60.56/~jnz1568/getInfo.php?workbook=12_04.xlsx&amp;sheet=U0&amp;row=1262&amp;col=6&amp;number=4.8&amp;sourceID=14","4.8")</f>
        <v>4.8</v>
      </c>
      <c r="G1262" s="4" t="str">
        <f>HYPERLINK("http://141.218.60.56/~jnz1568/getInfo.php?workbook=12_04.xlsx&amp;sheet=U0&amp;row=1262&amp;col=7&amp;number=0.00057&amp;sourceID=14","0.00057")</f>
        <v>0.00057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HYPERLINK("http://141.218.60.56/~jnz1568/getInfo.php?workbook=12_04.xlsx&amp;sheet=U0&amp;row=1263&amp;col=6&amp;number=4.9&amp;sourceID=14","4.9")</f>
        <v>4.9</v>
      </c>
      <c r="G1263" s="4" t="str">
        <f>HYPERLINK("http://141.218.60.56/~jnz1568/getInfo.php?workbook=12_04.xlsx&amp;sheet=U0&amp;row=1263&amp;col=7&amp;number=0.000507&amp;sourceID=14","0.000507")</f>
        <v>0.000507</v>
      </c>
    </row>
    <row r="1264" spans="1:7">
      <c r="A1264" s="3">
        <v>12</v>
      </c>
      <c r="B1264" s="3">
        <v>4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HYPERLINK("http://141.218.60.56/~jnz1568/getInfo.php?workbook=12_04.xlsx&amp;sheet=U0&amp;row=1264&amp;col=6&amp;number=3&amp;sourceID=14","3")</f>
        <v>3</v>
      </c>
      <c r="G1264" s="4" t="str">
        <f>HYPERLINK("http://141.218.60.56/~jnz1568/getInfo.php?workbook=12_04.xlsx&amp;sheet=U0&amp;row=1264&amp;col=7&amp;number=0.000293&amp;sourceID=14","0.000293")</f>
        <v>0.000293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HYPERLINK("http://141.218.60.56/~jnz1568/getInfo.php?workbook=12_04.xlsx&amp;sheet=U0&amp;row=1265&amp;col=6&amp;number=3.1&amp;sourceID=14","3.1")</f>
        <v>3.1</v>
      </c>
      <c r="G1265" s="4" t="str">
        <f>HYPERLINK("http://141.218.60.56/~jnz1568/getInfo.php?workbook=12_04.xlsx&amp;sheet=U0&amp;row=1265&amp;col=7&amp;number=0.000292&amp;sourceID=14","0.000292")</f>
        <v>0.000292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HYPERLINK("http://141.218.60.56/~jnz1568/getInfo.php?workbook=12_04.xlsx&amp;sheet=U0&amp;row=1266&amp;col=6&amp;number=3.2&amp;sourceID=14","3.2")</f>
        <v>3.2</v>
      </c>
      <c r="G1266" s="4" t="str">
        <f>HYPERLINK("http://141.218.60.56/~jnz1568/getInfo.php?workbook=12_04.xlsx&amp;sheet=U0&amp;row=1266&amp;col=7&amp;number=0.000292&amp;sourceID=14","0.000292")</f>
        <v>0.000292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HYPERLINK("http://141.218.60.56/~jnz1568/getInfo.php?workbook=12_04.xlsx&amp;sheet=U0&amp;row=1267&amp;col=6&amp;number=3.3&amp;sourceID=14","3.3")</f>
        <v>3.3</v>
      </c>
      <c r="G1267" s="4" t="str">
        <f>HYPERLINK("http://141.218.60.56/~jnz1568/getInfo.php?workbook=12_04.xlsx&amp;sheet=U0&amp;row=1267&amp;col=7&amp;number=0.000291&amp;sourceID=14","0.000291")</f>
        <v>0.000291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HYPERLINK("http://141.218.60.56/~jnz1568/getInfo.php?workbook=12_04.xlsx&amp;sheet=U0&amp;row=1268&amp;col=6&amp;number=3.4&amp;sourceID=14","3.4")</f>
        <v>3.4</v>
      </c>
      <c r="G1268" s="4" t="str">
        <f>HYPERLINK("http://141.218.60.56/~jnz1568/getInfo.php?workbook=12_04.xlsx&amp;sheet=U0&amp;row=1268&amp;col=7&amp;number=0.00029&amp;sourceID=14","0.00029")</f>
        <v>0.00029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HYPERLINK("http://141.218.60.56/~jnz1568/getInfo.php?workbook=12_04.xlsx&amp;sheet=U0&amp;row=1269&amp;col=6&amp;number=3.5&amp;sourceID=14","3.5")</f>
        <v>3.5</v>
      </c>
      <c r="G1269" s="4" t="str">
        <f>HYPERLINK("http://141.218.60.56/~jnz1568/getInfo.php?workbook=12_04.xlsx&amp;sheet=U0&amp;row=1269&amp;col=7&amp;number=0.000288&amp;sourceID=14","0.000288")</f>
        <v>0.000288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HYPERLINK("http://141.218.60.56/~jnz1568/getInfo.php?workbook=12_04.xlsx&amp;sheet=U0&amp;row=1270&amp;col=6&amp;number=3.6&amp;sourceID=14","3.6")</f>
        <v>3.6</v>
      </c>
      <c r="G1270" s="4" t="str">
        <f>HYPERLINK("http://141.218.60.56/~jnz1568/getInfo.php?workbook=12_04.xlsx&amp;sheet=U0&amp;row=1270&amp;col=7&amp;number=0.000286&amp;sourceID=14","0.000286")</f>
        <v>0.000286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HYPERLINK("http://141.218.60.56/~jnz1568/getInfo.php?workbook=12_04.xlsx&amp;sheet=U0&amp;row=1271&amp;col=6&amp;number=3.7&amp;sourceID=14","3.7")</f>
        <v>3.7</v>
      </c>
      <c r="G1271" s="4" t="str">
        <f>HYPERLINK("http://141.218.60.56/~jnz1568/getInfo.php?workbook=12_04.xlsx&amp;sheet=U0&amp;row=1271&amp;col=7&amp;number=0.000284&amp;sourceID=14","0.000284")</f>
        <v>0.000284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HYPERLINK("http://141.218.60.56/~jnz1568/getInfo.php?workbook=12_04.xlsx&amp;sheet=U0&amp;row=1272&amp;col=6&amp;number=3.8&amp;sourceID=14","3.8")</f>
        <v>3.8</v>
      </c>
      <c r="G1272" s="4" t="str">
        <f>HYPERLINK("http://141.218.60.56/~jnz1568/getInfo.php?workbook=12_04.xlsx&amp;sheet=U0&amp;row=1272&amp;col=7&amp;number=0.000282&amp;sourceID=14","0.000282")</f>
        <v>0.000282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HYPERLINK("http://141.218.60.56/~jnz1568/getInfo.php?workbook=12_04.xlsx&amp;sheet=U0&amp;row=1273&amp;col=6&amp;number=3.9&amp;sourceID=14","3.9")</f>
        <v>3.9</v>
      </c>
      <c r="G1273" s="4" t="str">
        <f>HYPERLINK("http://141.218.60.56/~jnz1568/getInfo.php?workbook=12_04.xlsx&amp;sheet=U0&amp;row=1273&amp;col=7&amp;number=0.000278&amp;sourceID=14","0.000278")</f>
        <v>0.000278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HYPERLINK("http://141.218.60.56/~jnz1568/getInfo.php?workbook=12_04.xlsx&amp;sheet=U0&amp;row=1274&amp;col=6&amp;number=4&amp;sourceID=14","4")</f>
        <v>4</v>
      </c>
      <c r="G1274" s="4" t="str">
        <f>HYPERLINK("http://141.218.60.56/~jnz1568/getInfo.php?workbook=12_04.xlsx&amp;sheet=U0&amp;row=1274&amp;col=7&amp;number=0.000274&amp;sourceID=14","0.000274")</f>
        <v>0.000274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HYPERLINK("http://141.218.60.56/~jnz1568/getInfo.php?workbook=12_04.xlsx&amp;sheet=U0&amp;row=1275&amp;col=6&amp;number=4.1&amp;sourceID=14","4.1")</f>
        <v>4.1</v>
      </c>
      <c r="G1275" s="4" t="str">
        <f>HYPERLINK("http://141.218.60.56/~jnz1568/getInfo.php?workbook=12_04.xlsx&amp;sheet=U0&amp;row=1275&amp;col=7&amp;number=0.000268&amp;sourceID=14","0.000268")</f>
        <v>0.000268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HYPERLINK("http://141.218.60.56/~jnz1568/getInfo.php?workbook=12_04.xlsx&amp;sheet=U0&amp;row=1276&amp;col=6&amp;number=4.2&amp;sourceID=14","4.2")</f>
        <v>4.2</v>
      </c>
      <c r="G1276" s="4" t="str">
        <f>HYPERLINK("http://141.218.60.56/~jnz1568/getInfo.php?workbook=12_04.xlsx&amp;sheet=U0&amp;row=1276&amp;col=7&amp;number=0.000262&amp;sourceID=14","0.000262")</f>
        <v>0.000262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HYPERLINK("http://141.218.60.56/~jnz1568/getInfo.php?workbook=12_04.xlsx&amp;sheet=U0&amp;row=1277&amp;col=6&amp;number=4.3&amp;sourceID=14","4.3")</f>
        <v>4.3</v>
      </c>
      <c r="G1277" s="4" t="str">
        <f>HYPERLINK("http://141.218.60.56/~jnz1568/getInfo.php?workbook=12_04.xlsx&amp;sheet=U0&amp;row=1277&amp;col=7&amp;number=0.000253&amp;sourceID=14","0.000253")</f>
        <v>0.000253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HYPERLINK("http://141.218.60.56/~jnz1568/getInfo.php?workbook=12_04.xlsx&amp;sheet=U0&amp;row=1278&amp;col=6&amp;number=4.4&amp;sourceID=14","4.4")</f>
        <v>4.4</v>
      </c>
      <c r="G1278" s="4" t="str">
        <f>HYPERLINK("http://141.218.60.56/~jnz1568/getInfo.php?workbook=12_04.xlsx&amp;sheet=U0&amp;row=1278&amp;col=7&amp;number=0.000243&amp;sourceID=14","0.000243")</f>
        <v>0.000243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HYPERLINK("http://141.218.60.56/~jnz1568/getInfo.php?workbook=12_04.xlsx&amp;sheet=U0&amp;row=1279&amp;col=6&amp;number=4.5&amp;sourceID=14","4.5")</f>
        <v>4.5</v>
      </c>
      <c r="G1279" s="4" t="str">
        <f>HYPERLINK("http://141.218.60.56/~jnz1568/getInfo.php?workbook=12_04.xlsx&amp;sheet=U0&amp;row=1279&amp;col=7&amp;number=0.00023&amp;sourceID=14","0.00023")</f>
        <v>0.00023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HYPERLINK("http://141.218.60.56/~jnz1568/getInfo.php?workbook=12_04.xlsx&amp;sheet=U0&amp;row=1280&amp;col=6&amp;number=4.6&amp;sourceID=14","4.6")</f>
        <v>4.6</v>
      </c>
      <c r="G1280" s="4" t="str">
        <f>HYPERLINK("http://141.218.60.56/~jnz1568/getInfo.php?workbook=12_04.xlsx&amp;sheet=U0&amp;row=1280&amp;col=7&amp;number=0.000215&amp;sourceID=14","0.000215")</f>
        <v>0.000215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HYPERLINK("http://141.218.60.56/~jnz1568/getInfo.php?workbook=12_04.xlsx&amp;sheet=U0&amp;row=1281&amp;col=6&amp;number=4.7&amp;sourceID=14","4.7")</f>
        <v>4.7</v>
      </c>
      <c r="G1281" s="4" t="str">
        <f>HYPERLINK("http://141.218.60.56/~jnz1568/getInfo.php?workbook=12_04.xlsx&amp;sheet=U0&amp;row=1281&amp;col=7&amp;number=0.000197&amp;sourceID=14","0.000197")</f>
        <v>0.000197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HYPERLINK("http://141.218.60.56/~jnz1568/getInfo.php?workbook=12_04.xlsx&amp;sheet=U0&amp;row=1282&amp;col=6&amp;number=4.8&amp;sourceID=14","4.8")</f>
        <v>4.8</v>
      </c>
      <c r="G1282" s="4" t="str">
        <f>HYPERLINK("http://141.218.60.56/~jnz1568/getInfo.php?workbook=12_04.xlsx&amp;sheet=U0&amp;row=1282&amp;col=7&amp;number=0.000176&amp;sourceID=14","0.000176")</f>
        <v>0.000176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HYPERLINK("http://141.218.60.56/~jnz1568/getInfo.php?workbook=12_04.xlsx&amp;sheet=U0&amp;row=1283&amp;col=6&amp;number=4.9&amp;sourceID=14","4.9")</f>
        <v>4.9</v>
      </c>
      <c r="G1283" s="4" t="str">
        <f>HYPERLINK("http://141.218.60.56/~jnz1568/getInfo.php?workbook=12_04.xlsx&amp;sheet=U0&amp;row=1283&amp;col=7&amp;number=0.000153&amp;sourceID=14","0.000153")</f>
        <v>0.000153</v>
      </c>
    </row>
    <row r="1284" spans="1:7">
      <c r="A1284" s="3">
        <v>12</v>
      </c>
      <c r="B1284" s="3">
        <v>4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HYPERLINK("http://141.218.60.56/~jnz1568/getInfo.php?workbook=12_04.xlsx&amp;sheet=U0&amp;row=1284&amp;col=6&amp;number=3&amp;sourceID=14","3")</f>
        <v>3</v>
      </c>
      <c r="G1284" s="4" t="str">
        <f>HYPERLINK("http://141.218.60.56/~jnz1568/getInfo.php?workbook=12_04.xlsx&amp;sheet=U0&amp;row=1284&amp;col=7&amp;number=0.000199&amp;sourceID=14","0.000199")</f>
        <v>0.000199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HYPERLINK("http://141.218.60.56/~jnz1568/getInfo.php?workbook=12_04.xlsx&amp;sheet=U0&amp;row=1285&amp;col=6&amp;number=3.1&amp;sourceID=14","3.1")</f>
        <v>3.1</v>
      </c>
      <c r="G1285" s="4" t="str">
        <f>HYPERLINK("http://141.218.60.56/~jnz1568/getInfo.php?workbook=12_04.xlsx&amp;sheet=U0&amp;row=1285&amp;col=7&amp;number=0.000198&amp;sourceID=14","0.000198")</f>
        <v>0.000198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HYPERLINK("http://141.218.60.56/~jnz1568/getInfo.php?workbook=12_04.xlsx&amp;sheet=U0&amp;row=1286&amp;col=6&amp;number=3.2&amp;sourceID=14","3.2")</f>
        <v>3.2</v>
      </c>
      <c r="G1286" s="4" t="str">
        <f>HYPERLINK("http://141.218.60.56/~jnz1568/getInfo.php?workbook=12_04.xlsx&amp;sheet=U0&amp;row=1286&amp;col=7&amp;number=0.000198&amp;sourceID=14","0.000198")</f>
        <v>0.000198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HYPERLINK("http://141.218.60.56/~jnz1568/getInfo.php?workbook=12_04.xlsx&amp;sheet=U0&amp;row=1287&amp;col=6&amp;number=3.3&amp;sourceID=14","3.3")</f>
        <v>3.3</v>
      </c>
      <c r="G1287" s="4" t="str">
        <f>HYPERLINK("http://141.218.60.56/~jnz1568/getInfo.php?workbook=12_04.xlsx&amp;sheet=U0&amp;row=1287&amp;col=7&amp;number=0.000198&amp;sourceID=14","0.000198")</f>
        <v>0.000198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HYPERLINK("http://141.218.60.56/~jnz1568/getInfo.php?workbook=12_04.xlsx&amp;sheet=U0&amp;row=1288&amp;col=6&amp;number=3.4&amp;sourceID=14","3.4")</f>
        <v>3.4</v>
      </c>
      <c r="G1288" s="4" t="str">
        <f>HYPERLINK("http://141.218.60.56/~jnz1568/getInfo.php?workbook=12_04.xlsx&amp;sheet=U0&amp;row=1288&amp;col=7&amp;number=0.000197&amp;sourceID=14","0.000197")</f>
        <v>0.000197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HYPERLINK("http://141.218.60.56/~jnz1568/getInfo.php?workbook=12_04.xlsx&amp;sheet=U0&amp;row=1289&amp;col=6&amp;number=3.5&amp;sourceID=14","3.5")</f>
        <v>3.5</v>
      </c>
      <c r="G1289" s="4" t="str">
        <f>HYPERLINK("http://141.218.60.56/~jnz1568/getInfo.php?workbook=12_04.xlsx&amp;sheet=U0&amp;row=1289&amp;col=7&amp;number=0.000197&amp;sourceID=14","0.000197")</f>
        <v>0.000197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HYPERLINK("http://141.218.60.56/~jnz1568/getInfo.php?workbook=12_04.xlsx&amp;sheet=U0&amp;row=1290&amp;col=6&amp;number=3.6&amp;sourceID=14","3.6")</f>
        <v>3.6</v>
      </c>
      <c r="G1290" s="4" t="str">
        <f>HYPERLINK("http://141.218.60.56/~jnz1568/getInfo.php?workbook=12_04.xlsx&amp;sheet=U0&amp;row=1290&amp;col=7&amp;number=0.000196&amp;sourceID=14","0.000196")</f>
        <v>0.000196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HYPERLINK("http://141.218.60.56/~jnz1568/getInfo.php?workbook=12_04.xlsx&amp;sheet=U0&amp;row=1291&amp;col=6&amp;number=3.7&amp;sourceID=14","3.7")</f>
        <v>3.7</v>
      </c>
      <c r="G1291" s="4" t="str">
        <f>HYPERLINK("http://141.218.60.56/~jnz1568/getInfo.php?workbook=12_04.xlsx&amp;sheet=U0&amp;row=1291&amp;col=7&amp;number=0.000195&amp;sourceID=14","0.000195")</f>
        <v>0.000195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HYPERLINK("http://141.218.60.56/~jnz1568/getInfo.php?workbook=12_04.xlsx&amp;sheet=U0&amp;row=1292&amp;col=6&amp;number=3.8&amp;sourceID=14","3.8")</f>
        <v>3.8</v>
      </c>
      <c r="G1292" s="4" t="str">
        <f>HYPERLINK("http://141.218.60.56/~jnz1568/getInfo.php?workbook=12_04.xlsx&amp;sheet=U0&amp;row=1292&amp;col=7&amp;number=0.000194&amp;sourceID=14","0.000194")</f>
        <v>0.000194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HYPERLINK("http://141.218.60.56/~jnz1568/getInfo.php?workbook=12_04.xlsx&amp;sheet=U0&amp;row=1293&amp;col=6&amp;number=3.9&amp;sourceID=14","3.9")</f>
        <v>3.9</v>
      </c>
      <c r="G1293" s="4" t="str">
        <f>HYPERLINK("http://141.218.60.56/~jnz1568/getInfo.php?workbook=12_04.xlsx&amp;sheet=U0&amp;row=1293&amp;col=7&amp;number=0.000192&amp;sourceID=14","0.000192")</f>
        <v>0.000192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HYPERLINK("http://141.218.60.56/~jnz1568/getInfo.php?workbook=12_04.xlsx&amp;sheet=U0&amp;row=1294&amp;col=6&amp;number=4&amp;sourceID=14","4")</f>
        <v>4</v>
      </c>
      <c r="G1294" s="4" t="str">
        <f>HYPERLINK("http://141.218.60.56/~jnz1568/getInfo.php?workbook=12_04.xlsx&amp;sheet=U0&amp;row=1294&amp;col=7&amp;number=0.00019&amp;sourceID=14","0.00019")</f>
        <v>0.00019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HYPERLINK("http://141.218.60.56/~jnz1568/getInfo.php?workbook=12_04.xlsx&amp;sheet=U0&amp;row=1295&amp;col=6&amp;number=4.1&amp;sourceID=14","4.1")</f>
        <v>4.1</v>
      </c>
      <c r="G1295" s="4" t="str">
        <f>HYPERLINK("http://141.218.60.56/~jnz1568/getInfo.php?workbook=12_04.xlsx&amp;sheet=U0&amp;row=1295&amp;col=7&amp;number=0.000188&amp;sourceID=14","0.000188")</f>
        <v>0.000188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HYPERLINK("http://141.218.60.56/~jnz1568/getInfo.php?workbook=12_04.xlsx&amp;sheet=U0&amp;row=1296&amp;col=6&amp;number=4.2&amp;sourceID=14","4.2")</f>
        <v>4.2</v>
      </c>
      <c r="G1296" s="4" t="str">
        <f>HYPERLINK("http://141.218.60.56/~jnz1568/getInfo.php?workbook=12_04.xlsx&amp;sheet=U0&amp;row=1296&amp;col=7&amp;number=0.000185&amp;sourceID=14","0.000185")</f>
        <v>0.000185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HYPERLINK("http://141.218.60.56/~jnz1568/getInfo.php?workbook=12_04.xlsx&amp;sheet=U0&amp;row=1297&amp;col=6&amp;number=4.3&amp;sourceID=14","4.3")</f>
        <v>4.3</v>
      </c>
      <c r="G1297" s="4" t="str">
        <f>HYPERLINK("http://141.218.60.56/~jnz1568/getInfo.php?workbook=12_04.xlsx&amp;sheet=U0&amp;row=1297&amp;col=7&amp;number=0.000182&amp;sourceID=14","0.000182")</f>
        <v>0.000182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HYPERLINK("http://141.218.60.56/~jnz1568/getInfo.php?workbook=12_04.xlsx&amp;sheet=U0&amp;row=1298&amp;col=6&amp;number=4.4&amp;sourceID=14","4.4")</f>
        <v>4.4</v>
      </c>
      <c r="G1298" s="4" t="str">
        <f>HYPERLINK("http://141.218.60.56/~jnz1568/getInfo.php?workbook=12_04.xlsx&amp;sheet=U0&amp;row=1298&amp;col=7&amp;number=0.000177&amp;sourceID=14","0.000177")</f>
        <v>0.000177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HYPERLINK("http://141.218.60.56/~jnz1568/getInfo.php?workbook=12_04.xlsx&amp;sheet=U0&amp;row=1299&amp;col=6&amp;number=4.5&amp;sourceID=14","4.5")</f>
        <v>4.5</v>
      </c>
      <c r="G1299" s="4" t="str">
        <f>HYPERLINK("http://141.218.60.56/~jnz1568/getInfo.php?workbook=12_04.xlsx&amp;sheet=U0&amp;row=1299&amp;col=7&amp;number=0.000172&amp;sourceID=14","0.000172")</f>
        <v>0.000172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HYPERLINK("http://141.218.60.56/~jnz1568/getInfo.php?workbook=12_04.xlsx&amp;sheet=U0&amp;row=1300&amp;col=6&amp;number=4.6&amp;sourceID=14","4.6")</f>
        <v>4.6</v>
      </c>
      <c r="G1300" s="4" t="str">
        <f>HYPERLINK("http://141.218.60.56/~jnz1568/getInfo.php?workbook=12_04.xlsx&amp;sheet=U0&amp;row=1300&amp;col=7&amp;number=0.000165&amp;sourceID=14","0.000165")</f>
        <v>0.000165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HYPERLINK("http://141.218.60.56/~jnz1568/getInfo.php?workbook=12_04.xlsx&amp;sheet=U0&amp;row=1301&amp;col=6&amp;number=4.7&amp;sourceID=14","4.7")</f>
        <v>4.7</v>
      </c>
      <c r="G1301" s="4" t="str">
        <f>HYPERLINK("http://141.218.60.56/~jnz1568/getInfo.php?workbook=12_04.xlsx&amp;sheet=U0&amp;row=1301&amp;col=7&amp;number=0.000156&amp;sourceID=14","0.000156")</f>
        <v>0.000156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HYPERLINK("http://141.218.60.56/~jnz1568/getInfo.php?workbook=12_04.xlsx&amp;sheet=U0&amp;row=1302&amp;col=6&amp;number=4.8&amp;sourceID=14","4.8")</f>
        <v>4.8</v>
      </c>
      <c r="G1302" s="4" t="str">
        <f>HYPERLINK("http://141.218.60.56/~jnz1568/getInfo.php?workbook=12_04.xlsx&amp;sheet=U0&amp;row=1302&amp;col=7&amp;number=0.000146&amp;sourceID=14","0.000146")</f>
        <v>0.000146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HYPERLINK("http://141.218.60.56/~jnz1568/getInfo.php?workbook=12_04.xlsx&amp;sheet=U0&amp;row=1303&amp;col=6&amp;number=4.9&amp;sourceID=14","4.9")</f>
        <v>4.9</v>
      </c>
      <c r="G1303" s="4" t="str">
        <f>HYPERLINK("http://141.218.60.56/~jnz1568/getInfo.php?workbook=12_04.xlsx&amp;sheet=U0&amp;row=1303&amp;col=7&amp;number=0.000134&amp;sourceID=14","0.000134")</f>
        <v>0.000134</v>
      </c>
    </row>
    <row r="1304" spans="1:7">
      <c r="A1304" s="3">
        <v>12</v>
      </c>
      <c r="B1304" s="3">
        <v>4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HYPERLINK("http://141.218.60.56/~jnz1568/getInfo.php?workbook=12_04.xlsx&amp;sheet=U0&amp;row=1304&amp;col=6&amp;number=3&amp;sourceID=14","3")</f>
        <v>3</v>
      </c>
      <c r="G1304" s="4" t="str">
        <f>HYPERLINK("http://141.218.60.56/~jnz1568/getInfo.php?workbook=12_04.xlsx&amp;sheet=U0&amp;row=1304&amp;col=7&amp;number=0.000336&amp;sourceID=14","0.000336")</f>
        <v>0.000336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HYPERLINK("http://141.218.60.56/~jnz1568/getInfo.php?workbook=12_04.xlsx&amp;sheet=U0&amp;row=1305&amp;col=6&amp;number=3.1&amp;sourceID=14","3.1")</f>
        <v>3.1</v>
      </c>
      <c r="G1305" s="4" t="str">
        <f>HYPERLINK("http://141.218.60.56/~jnz1568/getInfo.php?workbook=12_04.xlsx&amp;sheet=U0&amp;row=1305&amp;col=7&amp;number=0.000336&amp;sourceID=14","0.000336")</f>
        <v>0.000336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HYPERLINK("http://141.218.60.56/~jnz1568/getInfo.php?workbook=12_04.xlsx&amp;sheet=U0&amp;row=1306&amp;col=6&amp;number=3.2&amp;sourceID=14","3.2")</f>
        <v>3.2</v>
      </c>
      <c r="G1306" s="4" t="str">
        <f>HYPERLINK("http://141.218.60.56/~jnz1568/getInfo.php?workbook=12_04.xlsx&amp;sheet=U0&amp;row=1306&amp;col=7&amp;number=0.000335&amp;sourceID=14","0.000335")</f>
        <v>0.000335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HYPERLINK("http://141.218.60.56/~jnz1568/getInfo.php?workbook=12_04.xlsx&amp;sheet=U0&amp;row=1307&amp;col=6&amp;number=3.3&amp;sourceID=14","3.3")</f>
        <v>3.3</v>
      </c>
      <c r="G1307" s="4" t="str">
        <f>HYPERLINK("http://141.218.60.56/~jnz1568/getInfo.php?workbook=12_04.xlsx&amp;sheet=U0&amp;row=1307&amp;col=7&amp;number=0.000334&amp;sourceID=14","0.000334")</f>
        <v>0.000334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HYPERLINK("http://141.218.60.56/~jnz1568/getInfo.php?workbook=12_04.xlsx&amp;sheet=U0&amp;row=1308&amp;col=6&amp;number=3.4&amp;sourceID=14","3.4")</f>
        <v>3.4</v>
      </c>
      <c r="G1308" s="4" t="str">
        <f>HYPERLINK("http://141.218.60.56/~jnz1568/getInfo.php?workbook=12_04.xlsx&amp;sheet=U0&amp;row=1308&amp;col=7&amp;number=0.000332&amp;sourceID=14","0.000332")</f>
        <v>0.000332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HYPERLINK("http://141.218.60.56/~jnz1568/getInfo.php?workbook=12_04.xlsx&amp;sheet=U0&amp;row=1309&amp;col=6&amp;number=3.5&amp;sourceID=14","3.5")</f>
        <v>3.5</v>
      </c>
      <c r="G1309" s="4" t="str">
        <f>HYPERLINK("http://141.218.60.56/~jnz1568/getInfo.php?workbook=12_04.xlsx&amp;sheet=U0&amp;row=1309&amp;col=7&amp;number=0.00033&amp;sourceID=14","0.00033")</f>
        <v>0.00033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HYPERLINK("http://141.218.60.56/~jnz1568/getInfo.php?workbook=12_04.xlsx&amp;sheet=U0&amp;row=1310&amp;col=6&amp;number=3.6&amp;sourceID=14","3.6")</f>
        <v>3.6</v>
      </c>
      <c r="G1310" s="4" t="str">
        <f>HYPERLINK("http://141.218.60.56/~jnz1568/getInfo.php?workbook=12_04.xlsx&amp;sheet=U0&amp;row=1310&amp;col=7&amp;number=0.000328&amp;sourceID=14","0.000328")</f>
        <v>0.000328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HYPERLINK("http://141.218.60.56/~jnz1568/getInfo.php?workbook=12_04.xlsx&amp;sheet=U0&amp;row=1311&amp;col=6&amp;number=3.7&amp;sourceID=14","3.7")</f>
        <v>3.7</v>
      </c>
      <c r="G1311" s="4" t="str">
        <f>HYPERLINK("http://141.218.60.56/~jnz1568/getInfo.php?workbook=12_04.xlsx&amp;sheet=U0&amp;row=1311&amp;col=7&amp;number=0.000326&amp;sourceID=14","0.000326")</f>
        <v>0.000326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HYPERLINK("http://141.218.60.56/~jnz1568/getInfo.php?workbook=12_04.xlsx&amp;sheet=U0&amp;row=1312&amp;col=6&amp;number=3.8&amp;sourceID=14","3.8")</f>
        <v>3.8</v>
      </c>
      <c r="G1312" s="4" t="str">
        <f>HYPERLINK("http://141.218.60.56/~jnz1568/getInfo.php?workbook=12_04.xlsx&amp;sheet=U0&amp;row=1312&amp;col=7&amp;number=0.000322&amp;sourceID=14","0.000322")</f>
        <v>0.000322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HYPERLINK("http://141.218.60.56/~jnz1568/getInfo.php?workbook=12_04.xlsx&amp;sheet=U0&amp;row=1313&amp;col=6&amp;number=3.9&amp;sourceID=14","3.9")</f>
        <v>3.9</v>
      </c>
      <c r="G1313" s="4" t="str">
        <f>HYPERLINK("http://141.218.60.56/~jnz1568/getInfo.php?workbook=12_04.xlsx&amp;sheet=U0&amp;row=1313&amp;col=7&amp;number=0.000318&amp;sourceID=14","0.000318")</f>
        <v>0.000318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HYPERLINK("http://141.218.60.56/~jnz1568/getInfo.php?workbook=12_04.xlsx&amp;sheet=U0&amp;row=1314&amp;col=6&amp;number=4&amp;sourceID=14","4")</f>
        <v>4</v>
      </c>
      <c r="G1314" s="4" t="str">
        <f>HYPERLINK("http://141.218.60.56/~jnz1568/getInfo.php?workbook=12_04.xlsx&amp;sheet=U0&amp;row=1314&amp;col=7&amp;number=0.000313&amp;sourceID=14","0.000313")</f>
        <v>0.000313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HYPERLINK("http://141.218.60.56/~jnz1568/getInfo.php?workbook=12_04.xlsx&amp;sheet=U0&amp;row=1315&amp;col=6&amp;number=4.1&amp;sourceID=14","4.1")</f>
        <v>4.1</v>
      </c>
      <c r="G1315" s="4" t="str">
        <f>HYPERLINK("http://141.218.60.56/~jnz1568/getInfo.php?workbook=12_04.xlsx&amp;sheet=U0&amp;row=1315&amp;col=7&amp;number=0.000306&amp;sourceID=14","0.000306")</f>
        <v>0.000306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HYPERLINK("http://141.218.60.56/~jnz1568/getInfo.php?workbook=12_04.xlsx&amp;sheet=U0&amp;row=1316&amp;col=6&amp;number=4.2&amp;sourceID=14","4.2")</f>
        <v>4.2</v>
      </c>
      <c r="G1316" s="4" t="str">
        <f>HYPERLINK("http://141.218.60.56/~jnz1568/getInfo.php?workbook=12_04.xlsx&amp;sheet=U0&amp;row=1316&amp;col=7&amp;number=0.000298&amp;sourceID=14","0.000298")</f>
        <v>0.000298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HYPERLINK("http://141.218.60.56/~jnz1568/getInfo.php?workbook=12_04.xlsx&amp;sheet=U0&amp;row=1317&amp;col=6&amp;number=4.3&amp;sourceID=14","4.3")</f>
        <v>4.3</v>
      </c>
      <c r="G1317" s="4" t="str">
        <f>HYPERLINK("http://141.218.60.56/~jnz1568/getInfo.php?workbook=12_04.xlsx&amp;sheet=U0&amp;row=1317&amp;col=7&amp;number=0.000287&amp;sourceID=14","0.000287")</f>
        <v>0.000287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HYPERLINK("http://141.218.60.56/~jnz1568/getInfo.php?workbook=12_04.xlsx&amp;sheet=U0&amp;row=1318&amp;col=6&amp;number=4.4&amp;sourceID=14","4.4")</f>
        <v>4.4</v>
      </c>
      <c r="G1318" s="4" t="str">
        <f>HYPERLINK("http://141.218.60.56/~jnz1568/getInfo.php?workbook=12_04.xlsx&amp;sheet=U0&amp;row=1318&amp;col=7&amp;number=0.000275&amp;sourceID=14","0.000275")</f>
        <v>0.000275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HYPERLINK("http://141.218.60.56/~jnz1568/getInfo.php?workbook=12_04.xlsx&amp;sheet=U0&amp;row=1319&amp;col=6&amp;number=4.5&amp;sourceID=14","4.5")</f>
        <v>4.5</v>
      </c>
      <c r="G1319" s="4" t="str">
        <f>HYPERLINK("http://141.218.60.56/~jnz1568/getInfo.php?workbook=12_04.xlsx&amp;sheet=U0&amp;row=1319&amp;col=7&amp;number=0.00026&amp;sourceID=14","0.00026")</f>
        <v>0.00026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HYPERLINK("http://141.218.60.56/~jnz1568/getInfo.php?workbook=12_04.xlsx&amp;sheet=U0&amp;row=1320&amp;col=6&amp;number=4.6&amp;sourceID=14","4.6")</f>
        <v>4.6</v>
      </c>
      <c r="G1320" s="4" t="str">
        <f>HYPERLINK("http://141.218.60.56/~jnz1568/getInfo.php?workbook=12_04.xlsx&amp;sheet=U0&amp;row=1320&amp;col=7&amp;number=0.000242&amp;sourceID=14","0.000242")</f>
        <v>0.000242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HYPERLINK("http://141.218.60.56/~jnz1568/getInfo.php?workbook=12_04.xlsx&amp;sheet=U0&amp;row=1321&amp;col=6&amp;number=4.7&amp;sourceID=14","4.7")</f>
        <v>4.7</v>
      </c>
      <c r="G1321" s="4" t="str">
        <f>HYPERLINK("http://141.218.60.56/~jnz1568/getInfo.php?workbook=12_04.xlsx&amp;sheet=U0&amp;row=1321&amp;col=7&amp;number=0.000221&amp;sourceID=14","0.000221")</f>
        <v>0.000221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HYPERLINK("http://141.218.60.56/~jnz1568/getInfo.php?workbook=12_04.xlsx&amp;sheet=U0&amp;row=1322&amp;col=6&amp;number=4.8&amp;sourceID=14","4.8")</f>
        <v>4.8</v>
      </c>
      <c r="G1322" s="4" t="str">
        <f>HYPERLINK("http://141.218.60.56/~jnz1568/getInfo.php?workbook=12_04.xlsx&amp;sheet=U0&amp;row=1322&amp;col=7&amp;number=0.000197&amp;sourceID=14","0.000197")</f>
        <v>0.000197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HYPERLINK("http://141.218.60.56/~jnz1568/getInfo.php?workbook=12_04.xlsx&amp;sheet=U0&amp;row=1323&amp;col=6&amp;number=4.9&amp;sourceID=14","4.9")</f>
        <v>4.9</v>
      </c>
      <c r="G1323" s="4" t="str">
        <f>HYPERLINK("http://141.218.60.56/~jnz1568/getInfo.php?workbook=12_04.xlsx&amp;sheet=U0&amp;row=1323&amp;col=7&amp;number=0.000173&amp;sourceID=14","0.000173")</f>
        <v>0.000173</v>
      </c>
    </row>
    <row r="1324" spans="1:7">
      <c r="A1324" s="3">
        <v>12</v>
      </c>
      <c r="B1324" s="3">
        <v>4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HYPERLINK("http://141.218.60.56/~jnz1568/getInfo.php?workbook=12_04.xlsx&amp;sheet=U0&amp;row=1324&amp;col=6&amp;number=3&amp;sourceID=14","3")</f>
        <v>3</v>
      </c>
      <c r="G1324" s="4" t="str">
        <f>HYPERLINK("http://141.218.60.56/~jnz1568/getInfo.php?workbook=12_04.xlsx&amp;sheet=U0&amp;row=1324&amp;col=7&amp;number=0.000431&amp;sourceID=14","0.000431")</f>
        <v>0.000431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HYPERLINK("http://141.218.60.56/~jnz1568/getInfo.php?workbook=12_04.xlsx&amp;sheet=U0&amp;row=1325&amp;col=6&amp;number=3.1&amp;sourceID=14","3.1")</f>
        <v>3.1</v>
      </c>
      <c r="G1325" s="4" t="str">
        <f>HYPERLINK("http://141.218.60.56/~jnz1568/getInfo.php?workbook=12_04.xlsx&amp;sheet=U0&amp;row=1325&amp;col=7&amp;number=0.00043&amp;sourceID=14","0.00043")</f>
        <v>0.00043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HYPERLINK("http://141.218.60.56/~jnz1568/getInfo.php?workbook=12_04.xlsx&amp;sheet=U0&amp;row=1326&amp;col=6&amp;number=3.2&amp;sourceID=14","3.2")</f>
        <v>3.2</v>
      </c>
      <c r="G1326" s="4" t="str">
        <f>HYPERLINK("http://141.218.60.56/~jnz1568/getInfo.php?workbook=12_04.xlsx&amp;sheet=U0&amp;row=1326&amp;col=7&amp;number=0.00043&amp;sourceID=14","0.00043")</f>
        <v>0.00043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HYPERLINK("http://141.218.60.56/~jnz1568/getInfo.php?workbook=12_04.xlsx&amp;sheet=U0&amp;row=1327&amp;col=6&amp;number=3.3&amp;sourceID=14","3.3")</f>
        <v>3.3</v>
      </c>
      <c r="G1327" s="4" t="str">
        <f>HYPERLINK("http://141.218.60.56/~jnz1568/getInfo.php?workbook=12_04.xlsx&amp;sheet=U0&amp;row=1327&amp;col=7&amp;number=0.000429&amp;sourceID=14","0.000429")</f>
        <v>0.000429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HYPERLINK("http://141.218.60.56/~jnz1568/getInfo.php?workbook=12_04.xlsx&amp;sheet=U0&amp;row=1328&amp;col=6&amp;number=3.4&amp;sourceID=14","3.4")</f>
        <v>3.4</v>
      </c>
      <c r="G1328" s="4" t="str">
        <f>HYPERLINK("http://141.218.60.56/~jnz1568/getInfo.php?workbook=12_04.xlsx&amp;sheet=U0&amp;row=1328&amp;col=7&amp;number=0.000428&amp;sourceID=14","0.000428")</f>
        <v>0.000428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HYPERLINK("http://141.218.60.56/~jnz1568/getInfo.php?workbook=12_04.xlsx&amp;sheet=U0&amp;row=1329&amp;col=6&amp;number=3.5&amp;sourceID=14","3.5")</f>
        <v>3.5</v>
      </c>
      <c r="G1329" s="4" t="str">
        <f>HYPERLINK("http://141.218.60.56/~jnz1568/getInfo.php?workbook=12_04.xlsx&amp;sheet=U0&amp;row=1329&amp;col=7&amp;number=0.000427&amp;sourceID=14","0.000427")</f>
        <v>0.000427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HYPERLINK("http://141.218.60.56/~jnz1568/getInfo.php?workbook=12_04.xlsx&amp;sheet=U0&amp;row=1330&amp;col=6&amp;number=3.6&amp;sourceID=14","3.6")</f>
        <v>3.6</v>
      </c>
      <c r="G1330" s="4" t="str">
        <f>HYPERLINK("http://141.218.60.56/~jnz1568/getInfo.php?workbook=12_04.xlsx&amp;sheet=U0&amp;row=1330&amp;col=7&amp;number=0.000425&amp;sourceID=14","0.000425")</f>
        <v>0.000425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HYPERLINK("http://141.218.60.56/~jnz1568/getInfo.php?workbook=12_04.xlsx&amp;sheet=U0&amp;row=1331&amp;col=6&amp;number=3.7&amp;sourceID=14","3.7")</f>
        <v>3.7</v>
      </c>
      <c r="G1331" s="4" t="str">
        <f>HYPERLINK("http://141.218.60.56/~jnz1568/getInfo.php?workbook=12_04.xlsx&amp;sheet=U0&amp;row=1331&amp;col=7&amp;number=0.000423&amp;sourceID=14","0.000423")</f>
        <v>0.000423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HYPERLINK("http://141.218.60.56/~jnz1568/getInfo.php?workbook=12_04.xlsx&amp;sheet=U0&amp;row=1332&amp;col=6&amp;number=3.8&amp;sourceID=14","3.8")</f>
        <v>3.8</v>
      </c>
      <c r="G1332" s="4" t="str">
        <f>HYPERLINK("http://141.218.60.56/~jnz1568/getInfo.php?workbook=12_04.xlsx&amp;sheet=U0&amp;row=1332&amp;col=7&amp;number=0.00042&amp;sourceID=14","0.00042")</f>
        <v>0.00042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HYPERLINK("http://141.218.60.56/~jnz1568/getInfo.php?workbook=12_04.xlsx&amp;sheet=U0&amp;row=1333&amp;col=6&amp;number=3.9&amp;sourceID=14","3.9")</f>
        <v>3.9</v>
      </c>
      <c r="G1333" s="4" t="str">
        <f>HYPERLINK("http://141.218.60.56/~jnz1568/getInfo.php?workbook=12_04.xlsx&amp;sheet=U0&amp;row=1333&amp;col=7&amp;number=0.000417&amp;sourceID=14","0.000417")</f>
        <v>0.000417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HYPERLINK("http://141.218.60.56/~jnz1568/getInfo.php?workbook=12_04.xlsx&amp;sheet=U0&amp;row=1334&amp;col=6&amp;number=4&amp;sourceID=14","4")</f>
        <v>4</v>
      </c>
      <c r="G1334" s="4" t="str">
        <f>HYPERLINK("http://141.218.60.56/~jnz1568/getInfo.php?workbook=12_04.xlsx&amp;sheet=U0&amp;row=1334&amp;col=7&amp;number=0.000413&amp;sourceID=14","0.000413")</f>
        <v>0.000413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HYPERLINK("http://141.218.60.56/~jnz1568/getInfo.php?workbook=12_04.xlsx&amp;sheet=U0&amp;row=1335&amp;col=6&amp;number=4.1&amp;sourceID=14","4.1")</f>
        <v>4.1</v>
      </c>
      <c r="G1335" s="4" t="str">
        <f>HYPERLINK("http://141.218.60.56/~jnz1568/getInfo.php?workbook=12_04.xlsx&amp;sheet=U0&amp;row=1335&amp;col=7&amp;number=0.000407&amp;sourceID=14","0.000407")</f>
        <v>0.000407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HYPERLINK("http://141.218.60.56/~jnz1568/getInfo.php?workbook=12_04.xlsx&amp;sheet=U0&amp;row=1336&amp;col=6&amp;number=4.2&amp;sourceID=14","4.2")</f>
        <v>4.2</v>
      </c>
      <c r="G1336" s="4" t="str">
        <f>HYPERLINK("http://141.218.60.56/~jnz1568/getInfo.php?workbook=12_04.xlsx&amp;sheet=U0&amp;row=1336&amp;col=7&amp;number=0.000401&amp;sourceID=14","0.000401")</f>
        <v>0.000401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HYPERLINK("http://141.218.60.56/~jnz1568/getInfo.php?workbook=12_04.xlsx&amp;sheet=U0&amp;row=1337&amp;col=6&amp;number=4.3&amp;sourceID=14","4.3")</f>
        <v>4.3</v>
      </c>
      <c r="G1337" s="4" t="str">
        <f>HYPERLINK("http://141.218.60.56/~jnz1568/getInfo.php?workbook=12_04.xlsx&amp;sheet=U0&amp;row=1337&amp;col=7&amp;number=0.000393&amp;sourceID=14","0.000393")</f>
        <v>0.000393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HYPERLINK("http://141.218.60.56/~jnz1568/getInfo.php?workbook=12_04.xlsx&amp;sheet=U0&amp;row=1338&amp;col=6&amp;number=4.4&amp;sourceID=14","4.4")</f>
        <v>4.4</v>
      </c>
      <c r="G1338" s="4" t="str">
        <f>HYPERLINK("http://141.218.60.56/~jnz1568/getInfo.php?workbook=12_04.xlsx&amp;sheet=U0&amp;row=1338&amp;col=7&amp;number=0.000382&amp;sourceID=14","0.000382")</f>
        <v>0.000382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HYPERLINK("http://141.218.60.56/~jnz1568/getInfo.php?workbook=12_04.xlsx&amp;sheet=U0&amp;row=1339&amp;col=6&amp;number=4.5&amp;sourceID=14","4.5")</f>
        <v>4.5</v>
      </c>
      <c r="G1339" s="4" t="str">
        <f>HYPERLINK("http://141.218.60.56/~jnz1568/getInfo.php?workbook=12_04.xlsx&amp;sheet=U0&amp;row=1339&amp;col=7&amp;number=0.00037&amp;sourceID=14","0.00037")</f>
        <v>0.00037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HYPERLINK("http://141.218.60.56/~jnz1568/getInfo.php?workbook=12_04.xlsx&amp;sheet=U0&amp;row=1340&amp;col=6&amp;number=4.6&amp;sourceID=14","4.6")</f>
        <v>4.6</v>
      </c>
      <c r="G1340" s="4" t="str">
        <f>HYPERLINK("http://141.218.60.56/~jnz1568/getInfo.php?workbook=12_04.xlsx&amp;sheet=U0&amp;row=1340&amp;col=7&amp;number=0.000354&amp;sourceID=14","0.000354")</f>
        <v>0.000354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HYPERLINK("http://141.218.60.56/~jnz1568/getInfo.php?workbook=12_04.xlsx&amp;sheet=U0&amp;row=1341&amp;col=6&amp;number=4.7&amp;sourceID=14","4.7")</f>
        <v>4.7</v>
      </c>
      <c r="G1341" s="4" t="str">
        <f>HYPERLINK("http://141.218.60.56/~jnz1568/getInfo.php?workbook=12_04.xlsx&amp;sheet=U0&amp;row=1341&amp;col=7&amp;number=0.000335&amp;sourceID=14","0.000335")</f>
        <v>0.000335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HYPERLINK("http://141.218.60.56/~jnz1568/getInfo.php?workbook=12_04.xlsx&amp;sheet=U0&amp;row=1342&amp;col=6&amp;number=4.8&amp;sourceID=14","4.8")</f>
        <v>4.8</v>
      </c>
      <c r="G1342" s="4" t="str">
        <f>HYPERLINK("http://141.218.60.56/~jnz1568/getInfo.php?workbook=12_04.xlsx&amp;sheet=U0&amp;row=1342&amp;col=7&amp;number=0.000312&amp;sourceID=14","0.000312")</f>
        <v>0.000312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HYPERLINK("http://141.218.60.56/~jnz1568/getInfo.php?workbook=12_04.xlsx&amp;sheet=U0&amp;row=1343&amp;col=6&amp;number=4.9&amp;sourceID=14","4.9")</f>
        <v>4.9</v>
      </c>
      <c r="G1343" s="4" t="str">
        <f>HYPERLINK("http://141.218.60.56/~jnz1568/getInfo.php?workbook=12_04.xlsx&amp;sheet=U0&amp;row=1343&amp;col=7&amp;number=0.000285&amp;sourceID=14","0.000285")</f>
        <v>0.000285</v>
      </c>
    </row>
    <row r="1344" spans="1:7">
      <c r="A1344" s="3">
        <v>12</v>
      </c>
      <c r="B1344" s="3">
        <v>4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HYPERLINK("http://141.218.60.56/~jnz1568/getInfo.php?workbook=12_04.xlsx&amp;sheet=U0&amp;row=1344&amp;col=6&amp;number=3&amp;sourceID=14","3")</f>
        <v>3</v>
      </c>
      <c r="G1344" s="4" t="str">
        <f>HYPERLINK("http://141.218.60.56/~jnz1568/getInfo.php?workbook=12_04.xlsx&amp;sheet=U0&amp;row=1344&amp;col=7&amp;number=0.000202&amp;sourceID=14","0.000202")</f>
        <v>0.000202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HYPERLINK("http://141.218.60.56/~jnz1568/getInfo.php?workbook=12_04.xlsx&amp;sheet=U0&amp;row=1345&amp;col=6&amp;number=3.1&amp;sourceID=14","3.1")</f>
        <v>3.1</v>
      </c>
      <c r="G1345" s="4" t="str">
        <f>HYPERLINK("http://141.218.60.56/~jnz1568/getInfo.php?workbook=12_04.xlsx&amp;sheet=U0&amp;row=1345&amp;col=7&amp;number=0.000202&amp;sourceID=14","0.000202")</f>
        <v>0.000202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HYPERLINK("http://141.218.60.56/~jnz1568/getInfo.php?workbook=12_04.xlsx&amp;sheet=U0&amp;row=1346&amp;col=6&amp;number=3.2&amp;sourceID=14","3.2")</f>
        <v>3.2</v>
      </c>
      <c r="G1346" s="4" t="str">
        <f>HYPERLINK("http://141.218.60.56/~jnz1568/getInfo.php?workbook=12_04.xlsx&amp;sheet=U0&amp;row=1346&amp;col=7&amp;number=0.000202&amp;sourceID=14","0.000202")</f>
        <v>0.000202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HYPERLINK("http://141.218.60.56/~jnz1568/getInfo.php?workbook=12_04.xlsx&amp;sheet=U0&amp;row=1347&amp;col=6&amp;number=3.3&amp;sourceID=14","3.3")</f>
        <v>3.3</v>
      </c>
      <c r="G1347" s="4" t="str">
        <f>HYPERLINK("http://141.218.60.56/~jnz1568/getInfo.php?workbook=12_04.xlsx&amp;sheet=U0&amp;row=1347&amp;col=7&amp;number=0.000201&amp;sourceID=14","0.000201")</f>
        <v>0.000201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HYPERLINK("http://141.218.60.56/~jnz1568/getInfo.php?workbook=12_04.xlsx&amp;sheet=U0&amp;row=1348&amp;col=6&amp;number=3.4&amp;sourceID=14","3.4")</f>
        <v>3.4</v>
      </c>
      <c r="G1348" s="4" t="str">
        <f>HYPERLINK("http://141.218.60.56/~jnz1568/getInfo.php?workbook=12_04.xlsx&amp;sheet=U0&amp;row=1348&amp;col=7&amp;number=0.000201&amp;sourceID=14","0.000201")</f>
        <v>0.000201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HYPERLINK("http://141.218.60.56/~jnz1568/getInfo.php?workbook=12_04.xlsx&amp;sheet=U0&amp;row=1349&amp;col=6&amp;number=3.5&amp;sourceID=14","3.5")</f>
        <v>3.5</v>
      </c>
      <c r="G1349" s="4" t="str">
        <f>HYPERLINK("http://141.218.60.56/~jnz1568/getInfo.php?workbook=12_04.xlsx&amp;sheet=U0&amp;row=1349&amp;col=7&amp;number=0.0002&amp;sourceID=14","0.0002")</f>
        <v>0.0002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HYPERLINK("http://141.218.60.56/~jnz1568/getInfo.php?workbook=12_04.xlsx&amp;sheet=U0&amp;row=1350&amp;col=6&amp;number=3.6&amp;sourceID=14","3.6")</f>
        <v>3.6</v>
      </c>
      <c r="G1350" s="4" t="str">
        <f>HYPERLINK("http://141.218.60.56/~jnz1568/getInfo.php?workbook=12_04.xlsx&amp;sheet=U0&amp;row=1350&amp;col=7&amp;number=0.0002&amp;sourceID=14","0.0002")</f>
        <v>0.0002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HYPERLINK("http://141.218.60.56/~jnz1568/getInfo.php?workbook=12_04.xlsx&amp;sheet=U0&amp;row=1351&amp;col=6&amp;number=3.7&amp;sourceID=14","3.7")</f>
        <v>3.7</v>
      </c>
      <c r="G1351" s="4" t="str">
        <f>HYPERLINK("http://141.218.60.56/~jnz1568/getInfo.php?workbook=12_04.xlsx&amp;sheet=U0&amp;row=1351&amp;col=7&amp;number=0.000199&amp;sourceID=14","0.000199")</f>
        <v>0.000199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HYPERLINK("http://141.218.60.56/~jnz1568/getInfo.php?workbook=12_04.xlsx&amp;sheet=U0&amp;row=1352&amp;col=6&amp;number=3.8&amp;sourceID=14","3.8")</f>
        <v>3.8</v>
      </c>
      <c r="G1352" s="4" t="str">
        <f>HYPERLINK("http://141.218.60.56/~jnz1568/getInfo.php?workbook=12_04.xlsx&amp;sheet=U0&amp;row=1352&amp;col=7&amp;number=0.000198&amp;sourceID=14","0.000198")</f>
        <v>0.000198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HYPERLINK("http://141.218.60.56/~jnz1568/getInfo.php?workbook=12_04.xlsx&amp;sheet=U0&amp;row=1353&amp;col=6&amp;number=3.9&amp;sourceID=14","3.9")</f>
        <v>3.9</v>
      </c>
      <c r="G1353" s="4" t="str">
        <f>HYPERLINK("http://141.218.60.56/~jnz1568/getInfo.php?workbook=12_04.xlsx&amp;sheet=U0&amp;row=1353&amp;col=7&amp;number=0.000197&amp;sourceID=14","0.000197")</f>
        <v>0.000197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HYPERLINK("http://141.218.60.56/~jnz1568/getInfo.php?workbook=12_04.xlsx&amp;sheet=U0&amp;row=1354&amp;col=6&amp;number=4&amp;sourceID=14","4")</f>
        <v>4</v>
      </c>
      <c r="G1354" s="4" t="str">
        <f>HYPERLINK("http://141.218.60.56/~jnz1568/getInfo.php?workbook=12_04.xlsx&amp;sheet=U0&amp;row=1354&amp;col=7&amp;number=0.000195&amp;sourceID=14","0.000195")</f>
        <v>0.000195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HYPERLINK("http://141.218.60.56/~jnz1568/getInfo.php?workbook=12_04.xlsx&amp;sheet=U0&amp;row=1355&amp;col=6&amp;number=4.1&amp;sourceID=14","4.1")</f>
        <v>4.1</v>
      </c>
      <c r="G1355" s="4" t="str">
        <f>HYPERLINK("http://141.218.60.56/~jnz1568/getInfo.php?workbook=12_04.xlsx&amp;sheet=U0&amp;row=1355&amp;col=7&amp;number=0.000193&amp;sourceID=14","0.000193")</f>
        <v>0.000193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HYPERLINK("http://141.218.60.56/~jnz1568/getInfo.php?workbook=12_04.xlsx&amp;sheet=U0&amp;row=1356&amp;col=6&amp;number=4.2&amp;sourceID=14","4.2")</f>
        <v>4.2</v>
      </c>
      <c r="G1356" s="4" t="str">
        <f>HYPERLINK("http://141.218.60.56/~jnz1568/getInfo.php?workbook=12_04.xlsx&amp;sheet=U0&amp;row=1356&amp;col=7&amp;number=0.000191&amp;sourceID=14","0.000191")</f>
        <v>0.000191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HYPERLINK("http://141.218.60.56/~jnz1568/getInfo.php?workbook=12_04.xlsx&amp;sheet=U0&amp;row=1357&amp;col=6&amp;number=4.3&amp;sourceID=14","4.3")</f>
        <v>4.3</v>
      </c>
      <c r="G1357" s="4" t="str">
        <f>HYPERLINK("http://141.218.60.56/~jnz1568/getInfo.php?workbook=12_04.xlsx&amp;sheet=U0&amp;row=1357&amp;col=7&amp;number=0.000187&amp;sourceID=14","0.000187")</f>
        <v>0.000187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HYPERLINK("http://141.218.60.56/~jnz1568/getInfo.php?workbook=12_04.xlsx&amp;sheet=U0&amp;row=1358&amp;col=6&amp;number=4.4&amp;sourceID=14","4.4")</f>
        <v>4.4</v>
      </c>
      <c r="G1358" s="4" t="str">
        <f>HYPERLINK("http://141.218.60.56/~jnz1568/getInfo.php?workbook=12_04.xlsx&amp;sheet=U0&amp;row=1358&amp;col=7&amp;number=0.000184&amp;sourceID=14","0.000184")</f>
        <v>0.000184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HYPERLINK("http://141.218.60.56/~jnz1568/getInfo.php?workbook=12_04.xlsx&amp;sheet=U0&amp;row=1359&amp;col=6&amp;number=4.5&amp;sourceID=14","4.5")</f>
        <v>4.5</v>
      </c>
      <c r="G1359" s="4" t="str">
        <f>HYPERLINK("http://141.218.60.56/~jnz1568/getInfo.php?workbook=12_04.xlsx&amp;sheet=U0&amp;row=1359&amp;col=7&amp;number=0.000179&amp;sourceID=14","0.000179")</f>
        <v>0.000179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HYPERLINK("http://141.218.60.56/~jnz1568/getInfo.php?workbook=12_04.xlsx&amp;sheet=U0&amp;row=1360&amp;col=6&amp;number=4.6&amp;sourceID=14","4.6")</f>
        <v>4.6</v>
      </c>
      <c r="G1360" s="4" t="str">
        <f>HYPERLINK("http://141.218.60.56/~jnz1568/getInfo.php?workbook=12_04.xlsx&amp;sheet=U0&amp;row=1360&amp;col=7&amp;number=0.000173&amp;sourceID=14","0.000173")</f>
        <v>0.000173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HYPERLINK("http://141.218.60.56/~jnz1568/getInfo.php?workbook=12_04.xlsx&amp;sheet=U0&amp;row=1361&amp;col=6&amp;number=4.7&amp;sourceID=14","4.7")</f>
        <v>4.7</v>
      </c>
      <c r="G1361" s="4" t="str">
        <f>HYPERLINK("http://141.218.60.56/~jnz1568/getInfo.php?workbook=12_04.xlsx&amp;sheet=U0&amp;row=1361&amp;col=7&amp;number=0.000165&amp;sourceID=14","0.000165")</f>
        <v>0.000165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HYPERLINK("http://141.218.60.56/~jnz1568/getInfo.php?workbook=12_04.xlsx&amp;sheet=U0&amp;row=1362&amp;col=6&amp;number=4.8&amp;sourceID=14","4.8")</f>
        <v>4.8</v>
      </c>
      <c r="G1362" s="4" t="str">
        <f>HYPERLINK("http://141.218.60.56/~jnz1568/getInfo.php?workbook=12_04.xlsx&amp;sheet=U0&amp;row=1362&amp;col=7&amp;number=0.000156&amp;sourceID=14","0.000156")</f>
        <v>0.000156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HYPERLINK("http://141.218.60.56/~jnz1568/getInfo.php?workbook=12_04.xlsx&amp;sheet=U0&amp;row=1363&amp;col=6&amp;number=4.9&amp;sourceID=14","4.9")</f>
        <v>4.9</v>
      </c>
      <c r="G1363" s="4" t="str">
        <f>HYPERLINK("http://141.218.60.56/~jnz1568/getInfo.php?workbook=12_04.xlsx&amp;sheet=U0&amp;row=1363&amp;col=7&amp;number=0.000146&amp;sourceID=14","0.000146")</f>
        <v>0.000146</v>
      </c>
    </row>
    <row r="1364" spans="1:7">
      <c r="A1364" s="3">
        <v>12</v>
      </c>
      <c r="B1364" s="3">
        <v>4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HYPERLINK("http://141.218.60.56/~jnz1568/getInfo.php?workbook=12_04.xlsx&amp;sheet=U0&amp;row=1364&amp;col=6&amp;number=3&amp;sourceID=14","3")</f>
        <v>3</v>
      </c>
      <c r="G1364" s="4" t="str">
        <f>HYPERLINK("http://141.218.60.56/~jnz1568/getInfo.php?workbook=12_04.xlsx&amp;sheet=U0&amp;row=1364&amp;col=7&amp;number=4.22e-05&amp;sourceID=14","4.22e-05")</f>
        <v>4.22e-05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HYPERLINK("http://141.218.60.56/~jnz1568/getInfo.php?workbook=12_04.xlsx&amp;sheet=U0&amp;row=1365&amp;col=6&amp;number=3.1&amp;sourceID=14","3.1")</f>
        <v>3.1</v>
      </c>
      <c r="G1365" s="4" t="str">
        <f>HYPERLINK("http://141.218.60.56/~jnz1568/getInfo.php?workbook=12_04.xlsx&amp;sheet=U0&amp;row=1365&amp;col=7&amp;number=4.22e-05&amp;sourceID=14","4.22e-05")</f>
        <v>4.22e-05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HYPERLINK("http://141.218.60.56/~jnz1568/getInfo.php?workbook=12_04.xlsx&amp;sheet=U0&amp;row=1366&amp;col=6&amp;number=3.2&amp;sourceID=14","3.2")</f>
        <v>3.2</v>
      </c>
      <c r="G1366" s="4" t="str">
        <f>HYPERLINK("http://141.218.60.56/~jnz1568/getInfo.php?workbook=12_04.xlsx&amp;sheet=U0&amp;row=1366&amp;col=7&amp;number=4.21e-05&amp;sourceID=14","4.21e-05")</f>
        <v>4.21e-05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HYPERLINK("http://141.218.60.56/~jnz1568/getInfo.php?workbook=12_04.xlsx&amp;sheet=U0&amp;row=1367&amp;col=6&amp;number=3.3&amp;sourceID=14","3.3")</f>
        <v>3.3</v>
      </c>
      <c r="G1367" s="4" t="str">
        <f>HYPERLINK("http://141.218.60.56/~jnz1568/getInfo.php?workbook=12_04.xlsx&amp;sheet=U0&amp;row=1367&amp;col=7&amp;number=4.19e-05&amp;sourceID=14","4.19e-05")</f>
        <v>4.19e-05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HYPERLINK("http://141.218.60.56/~jnz1568/getInfo.php?workbook=12_04.xlsx&amp;sheet=U0&amp;row=1368&amp;col=6&amp;number=3.4&amp;sourceID=14","3.4")</f>
        <v>3.4</v>
      </c>
      <c r="G1368" s="4" t="str">
        <f>HYPERLINK("http://141.218.60.56/~jnz1568/getInfo.php?workbook=12_04.xlsx&amp;sheet=U0&amp;row=1368&amp;col=7&amp;number=4.18e-05&amp;sourceID=14","4.18e-05")</f>
        <v>4.18e-05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HYPERLINK("http://141.218.60.56/~jnz1568/getInfo.php?workbook=12_04.xlsx&amp;sheet=U0&amp;row=1369&amp;col=6&amp;number=3.5&amp;sourceID=14","3.5")</f>
        <v>3.5</v>
      </c>
      <c r="G1369" s="4" t="str">
        <f>HYPERLINK("http://141.218.60.56/~jnz1568/getInfo.php?workbook=12_04.xlsx&amp;sheet=U0&amp;row=1369&amp;col=7&amp;number=4.16e-05&amp;sourceID=14","4.16e-05")</f>
        <v>4.16e-05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HYPERLINK("http://141.218.60.56/~jnz1568/getInfo.php?workbook=12_04.xlsx&amp;sheet=U0&amp;row=1370&amp;col=6&amp;number=3.6&amp;sourceID=14","3.6")</f>
        <v>3.6</v>
      </c>
      <c r="G1370" s="4" t="str">
        <f>HYPERLINK("http://141.218.60.56/~jnz1568/getInfo.php?workbook=12_04.xlsx&amp;sheet=U0&amp;row=1370&amp;col=7&amp;number=4.13e-05&amp;sourceID=14","4.13e-05")</f>
        <v>4.13e-05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HYPERLINK("http://141.218.60.56/~jnz1568/getInfo.php?workbook=12_04.xlsx&amp;sheet=U0&amp;row=1371&amp;col=6&amp;number=3.7&amp;sourceID=14","3.7")</f>
        <v>3.7</v>
      </c>
      <c r="G1371" s="4" t="str">
        <f>HYPERLINK("http://141.218.60.56/~jnz1568/getInfo.php?workbook=12_04.xlsx&amp;sheet=U0&amp;row=1371&amp;col=7&amp;number=4.1e-05&amp;sourceID=14","4.1e-05")</f>
        <v>4.1e-05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HYPERLINK("http://141.218.60.56/~jnz1568/getInfo.php?workbook=12_04.xlsx&amp;sheet=U0&amp;row=1372&amp;col=6&amp;number=3.8&amp;sourceID=14","3.8")</f>
        <v>3.8</v>
      </c>
      <c r="G1372" s="4" t="str">
        <f>HYPERLINK("http://141.218.60.56/~jnz1568/getInfo.php?workbook=12_04.xlsx&amp;sheet=U0&amp;row=1372&amp;col=7&amp;number=4.06e-05&amp;sourceID=14","4.06e-05")</f>
        <v>4.06e-05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HYPERLINK("http://141.218.60.56/~jnz1568/getInfo.php?workbook=12_04.xlsx&amp;sheet=U0&amp;row=1373&amp;col=6&amp;number=3.9&amp;sourceID=14","3.9")</f>
        <v>3.9</v>
      </c>
      <c r="G1373" s="4" t="str">
        <f>HYPERLINK("http://141.218.60.56/~jnz1568/getInfo.php?workbook=12_04.xlsx&amp;sheet=U0&amp;row=1373&amp;col=7&amp;number=4.01e-05&amp;sourceID=14","4.01e-05")</f>
        <v>4.01e-05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HYPERLINK("http://141.218.60.56/~jnz1568/getInfo.php?workbook=12_04.xlsx&amp;sheet=U0&amp;row=1374&amp;col=6&amp;number=4&amp;sourceID=14","4")</f>
        <v>4</v>
      </c>
      <c r="G1374" s="4" t="str">
        <f>HYPERLINK("http://141.218.60.56/~jnz1568/getInfo.php?workbook=12_04.xlsx&amp;sheet=U0&amp;row=1374&amp;col=7&amp;number=3.95e-05&amp;sourceID=14","3.95e-05")</f>
        <v>3.95e-05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HYPERLINK("http://141.218.60.56/~jnz1568/getInfo.php?workbook=12_04.xlsx&amp;sheet=U0&amp;row=1375&amp;col=6&amp;number=4.1&amp;sourceID=14","4.1")</f>
        <v>4.1</v>
      </c>
      <c r="G1375" s="4" t="str">
        <f>HYPERLINK("http://141.218.60.56/~jnz1568/getInfo.php?workbook=12_04.xlsx&amp;sheet=U0&amp;row=1375&amp;col=7&amp;number=3.88e-05&amp;sourceID=14","3.88e-05")</f>
        <v>3.88e-05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HYPERLINK("http://141.218.60.56/~jnz1568/getInfo.php?workbook=12_04.xlsx&amp;sheet=U0&amp;row=1376&amp;col=6&amp;number=4.2&amp;sourceID=14","4.2")</f>
        <v>4.2</v>
      </c>
      <c r="G1376" s="4" t="str">
        <f>HYPERLINK("http://141.218.60.56/~jnz1568/getInfo.php?workbook=12_04.xlsx&amp;sheet=U0&amp;row=1376&amp;col=7&amp;number=3.78e-05&amp;sourceID=14","3.78e-05")</f>
        <v>3.78e-05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HYPERLINK("http://141.218.60.56/~jnz1568/getInfo.php?workbook=12_04.xlsx&amp;sheet=U0&amp;row=1377&amp;col=6&amp;number=4.3&amp;sourceID=14","4.3")</f>
        <v>4.3</v>
      </c>
      <c r="G1377" s="4" t="str">
        <f>HYPERLINK("http://141.218.60.56/~jnz1568/getInfo.php?workbook=12_04.xlsx&amp;sheet=U0&amp;row=1377&amp;col=7&amp;number=3.67e-05&amp;sourceID=14","3.67e-05")</f>
        <v>3.67e-05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HYPERLINK("http://141.218.60.56/~jnz1568/getInfo.php?workbook=12_04.xlsx&amp;sheet=U0&amp;row=1378&amp;col=6&amp;number=4.4&amp;sourceID=14","4.4")</f>
        <v>4.4</v>
      </c>
      <c r="G1378" s="4" t="str">
        <f>HYPERLINK("http://141.218.60.56/~jnz1568/getInfo.php?workbook=12_04.xlsx&amp;sheet=U0&amp;row=1378&amp;col=7&amp;number=3.52e-05&amp;sourceID=14","3.52e-05")</f>
        <v>3.52e-05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HYPERLINK("http://141.218.60.56/~jnz1568/getInfo.php?workbook=12_04.xlsx&amp;sheet=U0&amp;row=1379&amp;col=6&amp;number=4.5&amp;sourceID=14","4.5")</f>
        <v>4.5</v>
      </c>
      <c r="G1379" s="4" t="str">
        <f>HYPERLINK("http://141.218.60.56/~jnz1568/getInfo.php?workbook=12_04.xlsx&amp;sheet=U0&amp;row=1379&amp;col=7&amp;number=3.35e-05&amp;sourceID=14","3.35e-05")</f>
        <v>3.35e-05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HYPERLINK("http://141.218.60.56/~jnz1568/getInfo.php?workbook=12_04.xlsx&amp;sheet=U0&amp;row=1380&amp;col=6&amp;number=4.6&amp;sourceID=14","4.6")</f>
        <v>4.6</v>
      </c>
      <c r="G1380" s="4" t="str">
        <f>HYPERLINK("http://141.218.60.56/~jnz1568/getInfo.php?workbook=12_04.xlsx&amp;sheet=U0&amp;row=1380&amp;col=7&amp;number=3.14e-05&amp;sourceID=14","3.14e-05")</f>
        <v>3.14e-05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HYPERLINK("http://141.218.60.56/~jnz1568/getInfo.php?workbook=12_04.xlsx&amp;sheet=U0&amp;row=1381&amp;col=6&amp;number=4.7&amp;sourceID=14","4.7")</f>
        <v>4.7</v>
      </c>
      <c r="G1381" s="4" t="str">
        <f>HYPERLINK("http://141.218.60.56/~jnz1568/getInfo.php?workbook=12_04.xlsx&amp;sheet=U0&amp;row=1381&amp;col=7&amp;number=2.9e-05&amp;sourceID=14","2.9e-05")</f>
        <v>2.9e-05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HYPERLINK("http://141.218.60.56/~jnz1568/getInfo.php?workbook=12_04.xlsx&amp;sheet=U0&amp;row=1382&amp;col=6&amp;number=4.8&amp;sourceID=14","4.8")</f>
        <v>4.8</v>
      </c>
      <c r="G1382" s="4" t="str">
        <f>HYPERLINK("http://141.218.60.56/~jnz1568/getInfo.php?workbook=12_04.xlsx&amp;sheet=U0&amp;row=1382&amp;col=7&amp;number=2.64e-05&amp;sourceID=14","2.64e-05")</f>
        <v>2.64e-05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HYPERLINK("http://141.218.60.56/~jnz1568/getInfo.php?workbook=12_04.xlsx&amp;sheet=U0&amp;row=1383&amp;col=6&amp;number=4.9&amp;sourceID=14","4.9")</f>
        <v>4.9</v>
      </c>
      <c r="G1383" s="4" t="str">
        <f>HYPERLINK("http://141.218.60.56/~jnz1568/getInfo.php?workbook=12_04.xlsx&amp;sheet=U0&amp;row=1383&amp;col=7&amp;number=2.35e-05&amp;sourceID=14","2.35e-05")</f>
        <v>2.35e-05</v>
      </c>
    </row>
    <row r="1384" spans="1:7">
      <c r="A1384" s="3">
        <v>12</v>
      </c>
      <c r="B1384" s="3">
        <v>4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HYPERLINK("http://141.218.60.56/~jnz1568/getInfo.php?workbook=12_04.xlsx&amp;sheet=U0&amp;row=1384&amp;col=6&amp;number=3&amp;sourceID=14","3")</f>
        <v>3</v>
      </c>
      <c r="G1384" s="4" t="str">
        <f>HYPERLINK("http://141.218.60.56/~jnz1568/getInfo.php?workbook=12_04.xlsx&amp;sheet=U0&amp;row=1384&amp;col=7&amp;number=0.000184&amp;sourceID=14","0.000184")</f>
        <v>0.000184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HYPERLINK("http://141.218.60.56/~jnz1568/getInfo.php?workbook=12_04.xlsx&amp;sheet=U0&amp;row=1385&amp;col=6&amp;number=3.1&amp;sourceID=14","3.1")</f>
        <v>3.1</v>
      </c>
      <c r="G1385" s="4" t="str">
        <f>HYPERLINK("http://141.218.60.56/~jnz1568/getInfo.php?workbook=12_04.xlsx&amp;sheet=U0&amp;row=1385&amp;col=7&amp;number=0.000184&amp;sourceID=14","0.000184")</f>
        <v>0.000184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HYPERLINK("http://141.218.60.56/~jnz1568/getInfo.php?workbook=12_04.xlsx&amp;sheet=U0&amp;row=1386&amp;col=6&amp;number=3.2&amp;sourceID=14","3.2")</f>
        <v>3.2</v>
      </c>
      <c r="G1386" s="4" t="str">
        <f>HYPERLINK("http://141.218.60.56/~jnz1568/getInfo.php?workbook=12_04.xlsx&amp;sheet=U0&amp;row=1386&amp;col=7&amp;number=0.000184&amp;sourceID=14","0.000184")</f>
        <v>0.000184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HYPERLINK("http://141.218.60.56/~jnz1568/getInfo.php?workbook=12_04.xlsx&amp;sheet=U0&amp;row=1387&amp;col=6&amp;number=3.3&amp;sourceID=14","3.3")</f>
        <v>3.3</v>
      </c>
      <c r="G1387" s="4" t="str">
        <f>HYPERLINK("http://141.218.60.56/~jnz1568/getInfo.php?workbook=12_04.xlsx&amp;sheet=U0&amp;row=1387&amp;col=7&amp;number=0.000183&amp;sourceID=14","0.000183")</f>
        <v>0.000183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HYPERLINK("http://141.218.60.56/~jnz1568/getInfo.php?workbook=12_04.xlsx&amp;sheet=U0&amp;row=1388&amp;col=6&amp;number=3.4&amp;sourceID=14","3.4")</f>
        <v>3.4</v>
      </c>
      <c r="G1388" s="4" t="str">
        <f>HYPERLINK("http://141.218.60.56/~jnz1568/getInfo.php?workbook=12_04.xlsx&amp;sheet=U0&amp;row=1388&amp;col=7&amp;number=0.000183&amp;sourceID=14","0.000183")</f>
        <v>0.000183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HYPERLINK("http://141.218.60.56/~jnz1568/getInfo.php?workbook=12_04.xlsx&amp;sheet=U0&amp;row=1389&amp;col=6&amp;number=3.5&amp;sourceID=14","3.5")</f>
        <v>3.5</v>
      </c>
      <c r="G1389" s="4" t="str">
        <f>HYPERLINK("http://141.218.60.56/~jnz1568/getInfo.php?workbook=12_04.xlsx&amp;sheet=U0&amp;row=1389&amp;col=7&amp;number=0.000182&amp;sourceID=14","0.000182")</f>
        <v>0.000182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HYPERLINK("http://141.218.60.56/~jnz1568/getInfo.php?workbook=12_04.xlsx&amp;sheet=U0&amp;row=1390&amp;col=6&amp;number=3.6&amp;sourceID=14","3.6")</f>
        <v>3.6</v>
      </c>
      <c r="G1390" s="4" t="str">
        <f>HYPERLINK("http://141.218.60.56/~jnz1568/getInfo.php?workbook=12_04.xlsx&amp;sheet=U0&amp;row=1390&amp;col=7&amp;number=0.000182&amp;sourceID=14","0.000182")</f>
        <v>0.000182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HYPERLINK("http://141.218.60.56/~jnz1568/getInfo.php?workbook=12_04.xlsx&amp;sheet=U0&amp;row=1391&amp;col=6&amp;number=3.7&amp;sourceID=14","3.7")</f>
        <v>3.7</v>
      </c>
      <c r="G1391" s="4" t="str">
        <f>HYPERLINK("http://141.218.60.56/~jnz1568/getInfo.php?workbook=12_04.xlsx&amp;sheet=U0&amp;row=1391&amp;col=7&amp;number=0.000181&amp;sourceID=14","0.000181")</f>
        <v>0.000181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HYPERLINK("http://141.218.60.56/~jnz1568/getInfo.php?workbook=12_04.xlsx&amp;sheet=U0&amp;row=1392&amp;col=6&amp;number=3.8&amp;sourceID=14","3.8")</f>
        <v>3.8</v>
      </c>
      <c r="G1392" s="4" t="str">
        <f>HYPERLINK("http://141.218.60.56/~jnz1568/getInfo.php?workbook=12_04.xlsx&amp;sheet=U0&amp;row=1392&amp;col=7&amp;number=0.00018&amp;sourceID=14","0.00018")</f>
        <v>0.00018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HYPERLINK("http://141.218.60.56/~jnz1568/getInfo.php?workbook=12_04.xlsx&amp;sheet=U0&amp;row=1393&amp;col=6&amp;number=3.9&amp;sourceID=14","3.9")</f>
        <v>3.9</v>
      </c>
      <c r="G1393" s="4" t="str">
        <f>HYPERLINK("http://141.218.60.56/~jnz1568/getInfo.php?workbook=12_04.xlsx&amp;sheet=U0&amp;row=1393&amp;col=7&amp;number=0.000178&amp;sourceID=14","0.000178")</f>
        <v>0.000178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HYPERLINK("http://141.218.60.56/~jnz1568/getInfo.php?workbook=12_04.xlsx&amp;sheet=U0&amp;row=1394&amp;col=6&amp;number=4&amp;sourceID=14","4")</f>
        <v>4</v>
      </c>
      <c r="G1394" s="4" t="str">
        <f>HYPERLINK("http://141.218.60.56/~jnz1568/getInfo.php?workbook=12_04.xlsx&amp;sheet=U0&amp;row=1394&amp;col=7&amp;number=0.000176&amp;sourceID=14","0.000176")</f>
        <v>0.000176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HYPERLINK("http://141.218.60.56/~jnz1568/getInfo.php?workbook=12_04.xlsx&amp;sheet=U0&amp;row=1395&amp;col=6&amp;number=4.1&amp;sourceID=14","4.1")</f>
        <v>4.1</v>
      </c>
      <c r="G1395" s="4" t="str">
        <f>HYPERLINK("http://141.218.60.56/~jnz1568/getInfo.php?workbook=12_04.xlsx&amp;sheet=U0&amp;row=1395&amp;col=7&amp;number=0.000174&amp;sourceID=14","0.000174")</f>
        <v>0.000174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HYPERLINK("http://141.218.60.56/~jnz1568/getInfo.php?workbook=12_04.xlsx&amp;sheet=U0&amp;row=1396&amp;col=6&amp;number=4.2&amp;sourceID=14","4.2")</f>
        <v>4.2</v>
      </c>
      <c r="G1396" s="4" t="str">
        <f>HYPERLINK("http://141.218.60.56/~jnz1568/getInfo.php?workbook=12_04.xlsx&amp;sheet=U0&amp;row=1396&amp;col=7&amp;number=0.000171&amp;sourceID=14","0.000171")</f>
        <v>0.000171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HYPERLINK("http://141.218.60.56/~jnz1568/getInfo.php?workbook=12_04.xlsx&amp;sheet=U0&amp;row=1397&amp;col=6&amp;number=4.3&amp;sourceID=14","4.3")</f>
        <v>4.3</v>
      </c>
      <c r="G1397" s="4" t="str">
        <f>HYPERLINK("http://141.218.60.56/~jnz1568/getInfo.php?workbook=12_04.xlsx&amp;sheet=U0&amp;row=1397&amp;col=7&amp;number=0.000168&amp;sourceID=14","0.000168")</f>
        <v>0.000168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HYPERLINK("http://141.218.60.56/~jnz1568/getInfo.php?workbook=12_04.xlsx&amp;sheet=U0&amp;row=1398&amp;col=6&amp;number=4.4&amp;sourceID=14","4.4")</f>
        <v>4.4</v>
      </c>
      <c r="G1398" s="4" t="str">
        <f>HYPERLINK("http://141.218.60.56/~jnz1568/getInfo.php?workbook=12_04.xlsx&amp;sheet=U0&amp;row=1398&amp;col=7&amp;number=0.000164&amp;sourceID=14","0.000164")</f>
        <v>0.000164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HYPERLINK("http://141.218.60.56/~jnz1568/getInfo.php?workbook=12_04.xlsx&amp;sheet=U0&amp;row=1399&amp;col=6&amp;number=4.5&amp;sourceID=14","4.5")</f>
        <v>4.5</v>
      </c>
      <c r="G1399" s="4" t="str">
        <f>HYPERLINK("http://141.218.60.56/~jnz1568/getInfo.php?workbook=12_04.xlsx&amp;sheet=U0&amp;row=1399&amp;col=7&amp;number=0.000158&amp;sourceID=14","0.000158")</f>
        <v>0.000158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HYPERLINK("http://141.218.60.56/~jnz1568/getInfo.php?workbook=12_04.xlsx&amp;sheet=U0&amp;row=1400&amp;col=6&amp;number=4.6&amp;sourceID=14","4.6")</f>
        <v>4.6</v>
      </c>
      <c r="G1400" s="4" t="str">
        <f>HYPERLINK("http://141.218.60.56/~jnz1568/getInfo.php?workbook=12_04.xlsx&amp;sheet=U0&amp;row=1400&amp;col=7&amp;number=0.000152&amp;sourceID=14","0.000152")</f>
        <v>0.000152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HYPERLINK("http://141.218.60.56/~jnz1568/getInfo.php?workbook=12_04.xlsx&amp;sheet=U0&amp;row=1401&amp;col=6&amp;number=4.7&amp;sourceID=14","4.7")</f>
        <v>4.7</v>
      </c>
      <c r="G1401" s="4" t="str">
        <f>HYPERLINK("http://141.218.60.56/~jnz1568/getInfo.php?workbook=12_04.xlsx&amp;sheet=U0&amp;row=1401&amp;col=7&amp;number=0.000144&amp;sourceID=14","0.000144")</f>
        <v>0.000144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HYPERLINK("http://141.218.60.56/~jnz1568/getInfo.php?workbook=12_04.xlsx&amp;sheet=U0&amp;row=1402&amp;col=6&amp;number=4.8&amp;sourceID=14","4.8")</f>
        <v>4.8</v>
      </c>
      <c r="G1402" s="4" t="str">
        <f>HYPERLINK("http://141.218.60.56/~jnz1568/getInfo.php?workbook=12_04.xlsx&amp;sheet=U0&amp;row=1402&amp;col=7&amp;number=0.000134&amp;sourceID=14","0.000134")</f>
        <v>0.000134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HYPERLINK("http://141.218.60.56/~jnz1568/getInfo.php?workbook=12_04.xlsx&amp;sheet=U0&amp;row=1403&amp;col=6&amp;number=4.9&amp;sourceID=14","4.9")</f>
        <v>4.9</v>
      </c>
      <c r="G1403" s="4" t="str">
        <f>HYPERLINK("http://141.218.60.56/~jnz1568/getInfo.php?workbook=12_04.xlsx&amp;sheet=U0&amp;row=1403&amp;col=7&amp;number=0.000122&amp;sourceID=14","0.000122")</f>
        <v>0.000122</v>
      </c>
    </row>
    <row r="1404" spans="1:7">
      <c r="A1404" s="3">
        <v>12</v>
      </c>
      <c r="B1404" s="3">
        <v>4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HYPERLINK("http://141.218.60.56/~jnz1568/getInfo.php?workbook=12_04.xlsx&amp;sheet=U0&amp;row=1404&amp;col=6&amp;number=3&amp;sourceID=14","3")</f>
        <v>3</v>
      </c>
      <c r="G1404" s="4" t="str">
        <f>HYPERLINK("http://141.218.60.56/~jnz1568/getInfo.php?workbook=12_04.xlsx&amp;sheet=U0&amp;row=1404&amp;col=7&amp;number=0.000239&amp;sourceID=14","0.000239")</f>
        <v>0.000239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HYPERLINK("http://141.218.60.56/~jnz1568/getInfo.php?workbook=12_04.xlsx&amp;sheet=U0&amp;row=1405&amp;col=6&amp;number=3.1&amp;sourceID=14","3.1")</f>
        <v>3.1</v>
      </c>
      <c r="G1405" s="4" t="str">
        <f>HYPERLINK("http://141.218.60.56/~jnz1568/getInfo.php?workbook=12_04.xlsx&amp;sheet=U0&amp;row=1405&amp;col=7&amp;number=0.000238&amp;sourceID=14","0.000238")</f>
        <v>0.000238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HYPERLINK("http://141.218.60.56/~jnz1568/getInfo.php?workbook=12_04.xlsx&amp;sheet=U0&amp;row=1406&amp;col=6&amp;number=3.2&amp;sourceID=14","3.2")</f>
        <v>3.2</v>
      </c>
      <c r="G1406" s="4" t="str">
        <f>HYPERLINK("http://141.218.60.56/~jnz1568/getInfo.php?workbook=12_04.xlsx&amp;sheet=U0&amp;row=1406&amp;col=7&amp;number=0.000238&amp;sourceID=14","0.000238")</f>
        <v>0.000238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HYPERLINK("http://141.218.60.56/~jnz1568/getInfo.php?workbook=12_04.xlsx&amp;sheet=U0&amp;row=1407&amp;col=6&amp;number=3.3&amp;sourceID=14","3.3")</f>
        <v>3.3</v>
      </c>
      <c r="G1407" s="4" t="str">
        <f>HYPERLINK("http://141.218.60.56/~jnz1568/getInfo.php?workbook=12_04.xlsx&amp;sheet=U0&amp;row=1407&amp;col=7&amp;number=0.000237&amp;sourceID=14","0.000237")</f>
        <v>0.000237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HYPERLINK("http://141.218.60.56/~jnz1568/getInfo.php?workbook=12_04.xlsx&amp;sheet=U0&amp;row=1408&amp;col=6&amp;number=3.4&amp;sourceID=14","3.4")</f>
        <v>3.4</v>
      </c>
      <c r="G1408" s="4" t="str">
        <f>HYPERLINK("http://141.218.60.56/~jnz1568/getInfo.php?workbook=12_04.xlsx&amp;sheet=U0&amp;row=1408&amp;col=7&amp;number=0.000236&amp;sourceID=14","0.000236")</f>
        <v>0.000236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HYPERLINK("http://141.218.60.56/~jnz1568/getInfo.php?workbook=12_04.xlsx&amp;sheet=U0&amp;row=1409&amp;col=6&amp;number=3.5&amp;sourceID=14","3.5")</f>
        <v>3.5</v>
      </c>
      <c r="G1409" s="4" t="str">
        <f>HYPERLINK("http://141.218.60.56/~jnz1568/getInfo.php?workbook=12_04.xlsx&amp;sheet=U0&amp;row=1409&amp;col=7&amp;number=0.000234&amp;sourceID=14","0.000234")</f>
        <v>0.000234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HYPERLINK("http://141.218.60.56/~jnz1568/getInfo.php?workbook=12_04.xlsx&amp;sheet=U0&amp;row=1410&amp;col=6&amp;number=3.6&amp;sourceID=14","3.6")</f>
        <v>3.6</v>
      </c>
      <c r="G1410" s="4" t="str">
        <f>HYPERLINK("http://141.218.60.56/~jnz1568/getInfo.php?workbook=12_04.xlsx&amp;sheet=U0&amp;row=1410&amp;col=7&amp;number=0.000233&amp;sourceID=14","0.000233")</f>
        <v>0.000233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HYPERLINK("http://141.218.60.56/~jnz1568/getInfo.php?workbook=12_04.xlsx&amp;sheet=U0&amp;row=1411&amp;col=6&amp;number=3.7&amp;sourceID=14","3.7")</f>
        <v>3.7</v>
      </c>
      <c r="G1411" s="4" t="str">
        <f>HYPERLINK("http://141.218.60.56/~jnz1568/getInfo.php?workbook=12_04.xlsx&amp;sheet=U0&amp;row=1411&amp;col=7&amp;number=0.000231&amp;sourceID=14","0.000231")</f>
        <v>0.000231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HYPERLINK("http://141.218.60.56/~jnz1568/getInfo.php?workbook=12_04.xlsx&amp;sheet=U0&amp;row=1412&amp;col=6&amp;number=3.8&amp;sourceID=14","3.8")</f>
        <v>3.8</v>
      </c>
      <c r="G1412" s="4" t="str">
        <f>HYPERLINK("http://141.218.60.56/~jnz1568/getInfo.php?workbook=12_04.xlsx&amp;sheet=U0&amp;row=1412&amp;col=7&amp;number=0.000228&amp;sourceID=14","0.000228")</f>
        <v>0.000228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HYPERLINK("http://141.218.60.56/~jnz1568/getInfo.php?workbook=12_04.xlsx&amp;sheet=U0&amp;row=1413&amp;col=6&amp;number=3.9&amp;sourceID=14","3.9")</f>
        <v>3.9</v>
      </c>
      <c r="G1413" s="4" t="str">
        <f>HYPERLINK("http://141.218.60.56/~jnz1568/getInfo.php?workbook=12_04.xlsx&amp;sheet=U0&amp;row=1413&amp;col=7&amp;number=0.000225&amp;sourceID=14","0.000225")</f>
        <v>0.000225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HYPERLINK("http://141.218.60.56/~jnz1568/getInfo.php?workbook=12_04.xlsx&amp;sheet=U0&amp;row=1414&amp;col=6&amp;number=4&amp;sourceID=14","4")</f>
        <v>4</v>
      </c>
      <c r="G1414" s="4" t="str">
        <f>HYPERLINK("http://141.218.60.56/~jnz1568/getInfo.php?workbook=12_04.xlsx&amp;sheet=U0&amp;row=1414&amp;col=7&amp;number=0.000221&amp;sourceID=14","0.000221")</f>
        <v>0.000221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HYPERLINK("http://141.218.60.56/~jnz1568/getInfo.php?workbook=12_04.xlsx&amp;sheet=U0&amp;row=1415&amp;col=6&amp;number=4.1&amp;sourceID=14","4.1")</f>
        <v>4.1</v>
      </c>
      <c r="G1415" s="4" t="str">
        <f>HYPERLINK("http://141.218.60.56/~jnz1568/getInfo.php?workbook=12_04.xlsx&amp;sheet=U0&amp;row=1415&amp;col=7&amp;number=0.000216&amp;sourceID=14","0.000216")</f>
        <v>0.000216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HYPERLINK("http://141.218.60.56/~jnz1568/getInfo.php?workbook=12_04.xlsx&amp;sheet=U0&amp;row=1416&amp;col=6&amp;number=4.2&amp;sourceID=14","4.2")</f>
        <v>4.2</v>
      </c>
      <c r="G1416" s="4" t="str">
        <f>HYPERLINK("http://141.218.60.56/~jnz1568/getInfo.php?workbook=12_04.xlsx&amp;sheet=U0&amp;row=1416&amp;col=7&amp;number=0.000209&amp;sourceID=14","0.000209")</f>
        <v>0.000209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HYPERLINK("http://141.218.60.56/~jnz1568/getInfo.php?workbook=12_04.xlsx&amp;sheet=U0&amp;row=1417&amp;col=6&amp;number=4.3&amp;sourceID=14","4.3")</f>
        <v>4.3</v>
      </c>
      <c r="G1417" s="4" t="str">
        <f>HYPERLINK("http://141.218.60.56/~jnz1568/getInfo.php?workbook=12_04.xlsx&amp;sheet=U0&amp;row=1417&amp;col=7&amp;number=0.000201&amp;sourceID=14","0.000201")</f>
        <v>0.000201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HYPERLINK("http://141.218.60.56/~jnz1568/getInfo.php?workbook=12_04.xlsx&amp;sheet=U0&amp;row=1418&amp;col=6&amp;number=4.4&amp;sourceID=14","4.4")</f>
        <v>4.4</v>
      </c>
      <c r="G1418" s="4" t="str">
        <f>HYPERLINK("http://141.218.60.56/~jnz1568/getInfo.php?workbook=12_04.xlsx&amp;sheet=U0&amp;row=1418&amp;col=7&amp;number=0.000192&amp;sourceID=14","0.000192")</f>
        <v>0.000192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HYPERLINK("http://141.218.60.56/~jnz1568/getInfo.php?workbook=12_04.xlsx&amp;sheet=U0&amp;row=1419&amp;col=6&amp;number=4.5&amp;sourceID=14","4.5")</f>
        <v>4.5</v>
      </c>
      <c r="G1419" s="4" t="str">
        <f>HYPERLINK("http://141.218.60.56/~jnz1568/getInfo.php?workbook=12_04.xlsx&amp;sheet=U0&amp;row=1419&amp;col=7&amp;number=0.00018&amp;sourceID=14","0.00018")</f>
        <v>0.00018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HYPERLINK("http://141.218.60.56/~jnz1568/getInfo.php?workbook=12_04.xlsx&amp;sheet=U0&amp;row=1420&amp;col=6&amp;number=4.6&amp;sourceID=14","4.6")</f>
        <v>4.6</v>
      </c>
      <c r="G1420" s="4" t="str">
        <f>HYPERLINK("http://141.218.60.56/~jnz1568/getInfo.php?workbook=12_04.xlsx&amp;sheet=U0&amp;row=1420&amp;col=7&amp;number=0.000166&amp;sourceID=14","0.000166")</f>
        <v>0.000166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HYPERLINK("http://141.218.60.56/~jnz1568/getInfo.php?workbook=12_04.xlsx&amp;sheet=U0&amp;row=1421&amp;col=6&amp;number=4.7&amp;sourceID=14","4.7")</f>
        <v>4.7</v>
      </c>
      <c r="G1421" s="4" t="str">
        <f>HYPERLINK("http://141.218.60.56/~jnz1568/getInfo.php?workbook=12_04.xlsx&amp;sheet=U0&amp;row=1421&amp;col=7&amp;number=0.00015&amp;sourceID=14","0.00015")</f>
        <v>0.00015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HYPERLINK("http://141.218.60.56/~jnz1568/getInfo.php?workbook=12_04.xlsx&amp;sheet=U0&amp;row=1422&amp;col=6&amp;number=4.8&amp;sourceID=14","4.8")</f>
        <v>4.8</v>
      </c>
      <c r="G1422" s="4" t="str">
        <f>HYPERLINK("http://141.218.60.56/~jnz1568/getInfo.php?workbook=12_04.xlsx&amp;sheet=U0&amp;row=1422&amp;col=7&amp;number=0.000132&amp;sourceID=14","0.000132")</f>
        <v>0.000132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HYPERLINK("http://141.218.60.56/~jnz1568/getInfo.php?workbook=12_04.xlsx&amp;sheet=U0&amp;row=1423&amp;col=6&amp;number=4.9&amp;sourceID=14","4.9")</f>
        <v>4.9</v>
      </c>
      <c r="G1423" s="4" t="str">
        <f>HYPERLINK("http://141.218.60.56/~jnz1568/getInfo.php?workbook=12_04.xlsx&amp;sheet=U0&amp;row=1423&amp;col=7&amp;number=0.000114&amp;sourceID=14","0.000114")</f>
        <v>0.000114</v>
      </c>
    </row>
    <row r="1424" spans="1:7">
      <c r="A1424" s="3">
        <v>12</v>
      </c>
      <c r="B1424" s="3">
        <v>4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HYPERLINK("http://141.218.60.56/~jnz1568/getInfo.php?workbook=12_04.xlsx&amp;sheet=U0&amp;row=1424&amp;col=6&amp;number=3&amp;sourceID=14","3")</f>
        <v>3</v>
      </c>
      <c r="G1424" s="4" t="str">
        <f>HYPERLINK("http://141.218.60.56/~jnz1568/getInfo.php?workbook=12_04.xlsx&amp;sheet=U0&amp;row=1424&amp;col=7&amp;number=0.000225&amp;sourceID=14","0.000225")</f>
        <v>0.000225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HYPERLINK("http://141.218.60.56/~jnz1568/getInfo.php?workbook=12_04.xlsx&amp;sheet=U0&amp;row=1425&amp;col=6&amp;number=3.1&amp;sourceID=14","3.1")</f>
        <v>3.1</v>
      </c>
      <c r="G1425" s="4" t="str">
        <f>HYPERLINK("http://141.218.60.56/~jnz1568/getInfo.php?workbook=12_04.xlsx&amp;sheet=U0&amp;row=1425&amp;col=7&amp;number=0.000224&amp;sourceID=14","0.000224")</f>
        <v>0.000224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HYPERLINK("http://141.218.60.56/~jnz1568/getInfo.php?workbook=12_04.xlsx&amp;sheet=U0&amp;row=1426&amp;col=6&amp;number=3.2&amp;sourceID=14","3.2")</f>
        <v>3.2</v>
      </c>
      <c r="G1426" s="4" t="str">
        <f>HYPERLINK("http://141.218.60.56/~jnz1568/getInfo.php?workbook=12_04.xlsx&amp;sheet=U0&amp;row=1426&amp;col=7&amp;number=0.000224&amp;sourceID=14","0.000224")</f>
        <v>0.000224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HYPERLINK("http://141.218.60.56/~jnz1568/getInfo.php?workbook=12_04.xlsx&amp;sheet=U0&amp;row=1427&amp;col=6&amp;number=3.3&amp;sourceID=14","3.3")</f>
        <v>3.3</v>
      </c>
      <c r="G1427" s="4" t="str">
        <f>HYPERLINK("http://141.218.60.56/~jnz1568/getInfo.php?workbook=12_04.xlsx&amp;sheet=U0&amp;row=1427&amp;col=7&amp;number=0.000224&amp;sourceID=14","0.000224")</f>
        <v>0.000224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HYPERLINK("http://141.218.60.56/~jnz1568/getInfo.php?workbook=12_04.xlsx&amp;sheet=U0&amp;row=1428&amp;col=6&amp;number=3.4&amp;sourceID=14","3.4")</f>
        <v>3.4</v>
      </c>
      <c r="G1428" s="4" t="str">
        <f>HYPERLINK("http://141.218.60.56/~jnz1568/getInfo.php?workbook=12_04.xlsx&amp;sheet=U0&amp;row=1428&amp;col=7&amp;number=0.000223&amp;sourceID=14","0.000223")</f>
        <v>0.000223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HYPERLINK("http://141.218.60.56/~jnz1568/getInfo.php?workbook=12_04.xlsx&amp;sheet=U0&amp;row=1429&amp;col=6&amp;number=3.5&amp;sourceID=14","3.5")</f>
        <v>3.5</v>
      </c>
      <c r="G1429" s="4" t="str">
        <f>HYPERLINK("http://141.218.60.56/~jnz1568/getInfo.php?workbook=12_04.xlsx&amp;sheet=U0&amp;row=1429&amp;col=7&amp;number=0.000223&amp;sourceID=14","0.000223")</f>
        <v>0.000223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HYPERLINK("http://141.218.60.56/~jnz1568/getInfo.php?workbook=12_04.xlsx&amp;sheet=U0&amp;row=1430&amp;col=6&amp;number=3.6&amp;sourceID=14","3.6")</f>
        <v>3.6</v>
      </c>
      <c r="G1430" s="4" t="str">
        <f>HYPERLINK("http://141.218.60.56/~jnz1568/getInfo.php?workbook=12_04.xlsx&amp;sheet=U0&amp;row=1430&amp;col=7&amp;number=0.000222&amp;sourceID=14","0.000222")</f>
        <v>0.000222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HYPERLINK("http://141.218.60.56/~jnz1568/getInfo.php?workbook=12_04.xlsx&amp;sheet=U0&amp;row=1431&amp;col=6&amp;number=3.7&amp;sourceID=14","3.7")</f>
        <v>3.7</v>
      </c>
      <c r="G1431" s="4" t="str">
        <f>HYPERLINK("http://141.218.60.56/~jnz1568/getInfo.php?workbook=12_04.xlsx&amp;sheet=U0&amp;row=1431&amp;col=7&amp;number=0.000222&amp;sourceID=14","0.000222")</f>
        <v>0.000222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HYPERLINK("http://141.218.60.56/~jnz1568/getInfo.php?workbook=12_04.xlsx&amp;sheet=U0&amp;row=1432&amp;col=6&amp;number=3.8&amp;sourceID=14","3.8")</f>
        <v>3.8</v>
      </c>
      <c r="G1432" s="4" t="str">
        <f>HYPERLINK("http://141.218.60.56/~jnz1568/getInfo.php?workbook=12_04.xlsx&amp;sheet=U0&amp;row=1432&amp;col=7&amp;number=0.000221&amp;sourceID=14","0.000221")</f>
        <v>0.000221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HYPERLINK("http://141.218.60.56/~jnz1568/getInfo.php?workbook=12_04.xlsx&amp;sheet=U0&amp;row=1433&amp;col=6&amp;number=3.9&amp;sourceID=14","3.9")</f>
        <v>3.9</v>
      </c>
      <c r="G1433" s="4" t="str">
        <f>HYPERLINK("http://141.218.60.56/~jnz1568/getInfo.php?workbook=12_04.xlsx&amp;sheet=U0&amp;row=1433&amp;col=7&amp;number=0.000219&amp;sourceID=14","0.000219")</f>
        <v>0.000219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HYPERLINK("http://141.218.60.56/~jnz1568/getInfo.php?workbook=12_04.xlsx&amp;sheet=U0&amp;row=1434&amp;col=6&amp;number=4&amp;sourceID=14","4")</f>
        <v>4</v>
      </c>
      <c r="G1434" s="4" t="str">
        <f>HYPERLINK("http://141.218.60.56/~jnz1568/getInfo.php?workbook=12_04.xlsx&amp;sheet=U0&amp;row=1434&amp;col=7&amp;number=0.000218&amp;sourceID=14","0.000218")</f>
        <v>0.000218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HYPERLINK("http://141.218.60.56/~jnz1568/getInfo.php?workbook=12_04.xlsx&amp;sheet=U0&amp;row=1435&amp;col=6&amp;number=4.1&amp;sourceID=14","4.1")</f>
        <v>4.1</v>
      </c>
      <c r="G1435" s="4" t="str">
        <f>HYPERLINK("http://141.218.60.56/~jnz1568/getInfo.php?workbook=12_04.xlsx&amp;sheet=U0&amp;row=1435&amp;col=7&amp;number=0.000216&amp;sourceID=14","0.000216")</f>
        <v>0.000216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HYPERLINK("http://141.218.60.56/~jnz1568/getInfo.php?workbook=12_04.xlsx&amp;sheet=U0&amp;row=1436&amp;col=6&amp;number=4.2&amp;sourceID=14","4.2")</f>
        <v>4.2</v>
      </c>
      <c r="G1436" s="4" t="str">
        <f>HYPERLINK("http://141.218.60.56/~jnz1568/getInfo.php?workbook=12_04.xlsx&amp;sheet=U0&amp;row=1436&amp;col=7&amp;number=0.000214&amp;sourceID=14","0.000214")</f>
        <v>0.000214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HYPERLINK("http://141.218.60.56/~jnz1568/getInfo.php?workbook=12_04.xlsx&amp;sheet=U0&amp;row=1437&amp;col=6&amp;number=4.3&amp;sourceID=14","4.3")</f>
        <v>4.3</v>
      </c>
      <c r="G1437" s="4" t="str">
        <f>HYPERLINK("http://141.218.60.56/~jnz1568/getInfo.php?workbook=12_04.xlsx&amp;sheet=U0&amp;row=1437&amp;col=7&amp;number=0.000211&amp;sourceID=14","0.000211")</f>
        <v>0.000211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HYPERLINK("http://141.218.60.56/~jnz1568/getInfo.php?workbook=12_04.xlsx&amp;sheet=U0&amp;row=1438&amp;col=6&amp;number=4.4&amp;sourceID=14","4.4")</f>
        <v>4.4</v>
      </c>
      <c r="G1438" s="4" t="str">
        <f>HYPERLINK("http://141.218.60.56/~jnz1568/getInfo.php?workbook=12_04.xlsx&amp;sheet=U0&amp;row=1438&amp;col=7&amp;number=0.000207&amp;sourceID=14","0.000207")</f>
        <v>0.000207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HYPERLINK("http://141.218.60.56/~jnz1568/getInfo.php?workbook=12_04.xlsx&amp;sheet=U0&amp;row=1439&amp;col=6&amp;number=4.5&amp;sourceID=14","4.5")</f>
        <v>4.5</v>
      </c>
      <c r="G1439" s="4" t="str">
        <f>HYPERLINK("http://141.218.60.56/~jnz1568/getInfo.php?workbook=12_04.xlsx&amp;sheet=U0&amp;row=1439&amp;col=7&amp;number=0.000202&amp;sourceID=14","0.000202")</f>
        <v>0.000202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HYPERLINK("http://141.218.60.56/~jnz1568/getInfo.php?workbook=12_04.xlsx&amp;sheet=U0&amp;row=1440&amp;col=6&amp;number=4.6&amp;sourceID=14","4.6")</f>
        <v>4.6</v>
      </c>
      <c r="G1440" s="4" t="str">
        <f>HYPERLINK("http://141.218.60.56/~jnz1568/getInfo.php?workbook=12_04.xlsx&amp;sheet=U0&amp;row=1440&amp;col=7&amp;number=0.000197&amp;sourceID=14","0.000197")</f>
        <v>0.000197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HYPERLINK("http://141.218.60.56/~jnz1568/getInfo.php?workbook=12_04.xlsx&amp;sheet=U0&amp;row=1441&amp;col=6&amp;number=4.7&amp;sourceID=14","4.7")</f>
        <v>4.7</v>
      </c>
      <c r="G1441" s="4" t="str">
        <f>HYPERLINK("http://141.218.60.56/~jnz1568/getInfo.php?workbook=12_04.xlsx&amp;sheet=U0&amp;row=1441&amp;col=7&amp;number=0.00019&amp;sourceID=14","0.00019")</f>
        <v>0.00019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HYPERLINK("http://141.218.60.56/~jnz1568/getInfo.php?workbook=12_04.xlsx&amp;sheet=U0&amp;row=1442&amp;col=6&amp;number=4.8&amp;sourceID=14","4.8")</f>
        <v>4.8</v>
      </c>
      <c r="G1442" s="4" t="str">
        <f>HYPERLINK("http://141.218.60.56/~jnz1568/getInfo.php?workbook=12_04.xlsx&amp;sheet=U0&amp;row=1442&amp;col=7&amp;number=0.000181&amp;sourceID=14","0.000181")</f>
        <v>0.000181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HYPERLINK("http://141.218.60.56/~jnz1568/getInfo.php?workbook=12_04.xlsx&amp;sheet=U0&amp;row=1443&amp;col=6&amp;number=4.9&amp;sourceID=14","4.9")</f>
        <v>4.9</v>
      </c>
      <c r="G1443" s="4" t="str">
        <f>HYPERLINK("http://141.218.60.56/~jnz1568/getInfo.php?workbook=12_04.xlsx&amp;sheet=U0&amp;row=1443&amp;col=7&amp;number=0.000172&amp;sourceID=14","0.000172")</f>
        <v>0.000172</v>
      </c>
    </row>
    <row r="1444" spans="1:7">
      <c r="A1444" s="3">
        <v>12</v>
      </c>
      <c r="B1444" s="3">
        <v>4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HYPERLINK("http://141.218.60.56/~jnz1568/getInfo.php?workbook=12_04.xlsx&amp;sheet=U0&amp;row=1444&amp;col=6&amp;number=3&amp;sourceID=14","3")</f>
        <v>3</v>
      </c>
      <c r="G1444" s="4" t="str">
        <f>HYPERLINK("http://141.218.60.56/~jnz1568/getInfo.php?workbook=12_04.xlsx&amp;sheet=U0&amp;row=1444&amp;col=7&amp;number=0.000246&amp;sourceID=14","0.000246")</f>
        <v>0.000246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HYPERLINK("http://141.218.60.56/~jnz1568/getInfo.php?workbook=12_04.xlsx&amp;sheet=U0&amp;row=1445&amp;col=6&amp;number=3.1&amp;sourceID=14","3.1")</f>
        <v>3.1</v>
      </c>
      <c r="G1445" s="4" t="str">
        <f>HYPERLINK("http://141.218.60.56/~jnz1568/getInfo.php?workbook=12_04.xlsx&amp;sheet=U0&amp;row=1445&amp;col=7&amp;number=0.000246&amp;sourceID=14","0.000246")</f>
        <v>0.000246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HYPERLINK("http://141.218.60.56/~jnz1568/getInfo.php?workbook=12_04.xlsx&amp;sheet=U0&amp;row=1446&amp;col=6&amp;number=3.2&amp;sourceID=14","3.2")</f>
        <v>3.2</v>
      </c>
      <c r="G1446" s="4" t="str">
        <f>HYPERLINK("http://141.218.60.56/~jnz1568/getInfo.php?workbook=12_04.xlsx&amp;sheet=U0&amp;row=1446&amp;col=7&amp;number=0.000245&amp;sourceID=14","0.000245")</f>
        <v>0.000245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HYPERLINK("http://141.218.60.56/~jnz1568/getInfo.php?workbook=12_04.xlsx&amp;sheet=U0&amp;row=1447&amp;col=6&amp;number=3.3&amp;sourceID=14","3.3")</f>
        <v>3.3</v>
      </c>
      <c r="G1447" s="4" t="str">
        <f>HYPERLINK("http://141.218.60.56/~jnz1568/getInfo.php?workbook=12_04.xlsx&amp;sheet=U0&amp;row=1447&amp;col=7&amp;number=0.000245&amp;sourceID=14","0.000245")</f>
        <v>0.000245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HYPERLINK("http://141.218.60.56/~jnz1568/getInfo.php?workbook=12_04.xlsx&amp;sheet=U0&amp;row=1448&amp;col=6&amp;number=3.4&amp;sourceID=14","3.4")</f>
        <v>3.4</v>
      </c>
      <c r="G1448" s="4" t="str">
        <f>HYPERLINK("http://141.218.60.56/~jnz1568/getInfo.php?workbook=12_04.xlsx&amp;sheet=U0&amp;row=1448&amp;col=7&amp;number=0.000245&amp;sourceID=14","0.000245")</f>
        <v>0.000245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HYPERLINK("http://141.218.60.56/~jnz1568/getInfo.php?workbook=12_04.xlsx&amp;sheet=U0&amp;row=1449&amp;col=6&amp;number=3.5&amp;sourceID=14","3.5")</f>
        <v>3.5</v>
      </c>
      <c r="G1449" s="4" t="str">
        <f>HYPERLINK("http://141.218.60.56/~jnz1568/getInfo.php?workbook=12_04.xlsx&amp;sheet=U0&amp;row=1449&amp;col=7&amp;number=0.000244&amp;sourceID=14","0.000244")</f>
        <v>0.000244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HYPERLINK("http://141.218.60.56/~jnz1568/getInfo.php?workbook=12_04.xlsx&amp;sheet=U0&amp;row=1450&amp;col=6&amp;number=3.6&amp;sourceID=14","3.6")</f>
        <v>3.6</v>
      </c>
      <c r="G1450" s="4" t="str">
        <f>HYPERLINK("http://141.218.60.56/~jnz1568/getInfo.php?workbook=12_04.xlsx&amp;sheet=U0&amp;row=1450&amp;col=7&amp;number=0.000244&amp;sourceID=14","0.000244")</f>
        <v>0.000244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HYPERLINK("http://141.218.60.56/~jnz1568/getInfo.php?workbook=12_04.xlsx&amp;sheet=U0&amp;row=1451&amp;col=6&amp;number=3.7&amp;sourceID=14","3.7")</f>
        <v>3.7</v>
      </c>
      <c r="G1451" s="4" t="str">
        <f>HYPERLINK("http://141.218.60.56/~jnz1568/getInfo.php?workbook=12_04.xlsx&amp;sheet=U0&amp;row=1451&amp;col=7&amp;number=0.000243&amp;sourceID=14","0.000243")</f>
        <v>0.000243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HYPERLINK("http://141.218.60.56/~jnz1568/getInfo.php?workbook=12_04.xlsx&amp;sheet=U0&amp;row=1452&amp;col=6&amp;number=3.8&amp;sourceID=14","3.8")</f>
        <v>3.8</v>
      </c>
      <c r="G1452" s="4" t="str">
        <f>HYPERLINK("http://141.218.60.56/~jnz1568/getInfo.php?workbook=12_04.xlsx&amp;sheet=U0&amp;row=1452&amp;col=7&amp;number=0.000243&amp;sourceID=14","0.000243")</f>
        <v>0.000243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HYPERLINK("http://141.218.60.56/~jnz1568/getInfo.php?workbook=12_04.xlsx&amp;sheet=U0&amp;row=1453&amp;col=6&amp;number=3.9&amp;sourceID=14","3.9")</f>
        <v>3.9</v>
      </c>
      <c r="G1453" s="4" t="str">
        <f>HYPERLINK("http://141.218.60.56/~jnz1568/getInfo.php?workbook=12_04.xlsx&amp;sheet=U0&amp;row=1453&amp;col=7&amp;number=0.000242&amp;sourceID=14","0.000242")</f>
        <v>0.000242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HYPERLINK("http://141.218.60.56/~jnz1568/getInfo.php?workbook=12_04.xlsx&amp;sheet=U0&amp;row=1454&amp;col=6&amp;number=4&amp;sourceID=14","4")</f>
        <v>4</v>
      </c>
      <c r="G1454" s="4" t="str">
        <f>HYPERLINK("http://141.218.60.56/~jnz1568/getInfo.php?workbook=12_04.xlsx&amp;sheet=U0&amp;row=1454&amp;col=7&amp;number=0.00024&amp;sourceID=14","0.00024")</f>
        <v>0.00024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HYPERLINK("http://141.218.60.56/~jnz1568/getInfo.php?workbook=12_04.xlsx&amp;sheet=U0&amp;row=1455&amp;col=6&amp;number=4.1&amp;sourceID=14","4.1")</f>
        <v>4.1</v>
      </c>
      <c r="G1455" s="4" t="str">
        <f>HYPERLINK("http://141.218.60.56/~jnz1568/getInfo.php?workbook=12_04.xlsx&amp;sheet=U0&amp;row=1455&amp;col=7&amp;number=0.000239&amp;sourceID=14","0.000239")</f>
        <v>0.000239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HYPERLINK("http://141.218.60.56/~jnz1568/getInfo.php?workbook=12_04.xlsx&amp;sheet=U0&amp;row=1456&amp;col=6&amp;number=4.2&amp;sourceID=14","4.2")</f>
        <v>4.2</v>
      </c>
      <c r="G1456" s="4" t="str">
        <f>HYPERLINK("http://141.218.60.56/~jnz1568/getInfo.php?workbook=12_04.xlsx&amp;sheet=U0&amp;row=1456&amp;col=7&amp;number=0.000237&amp;sourceID=14","0.000237")</f>
        <v>0.000237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HYPERLINK("http://141.218.60.56/~jnz1568/getInfo.php?workbook=12_04.xlsx&amp;sheet=U0&amp;row=1457&amp;col=6&amp;number=4.3&amp;sourceID=14","4.3")</f>
        <v>4.3</v>
      </c>
      <c r="G1457" s="4" t="str">
        <f>HYPERLINK("http://141.218.60.56/~jnz1568/getInfo.php?workbook=12_04.xlsx&amp;sheet=U0&amp;row=1457&amp;col=7&amp;number=0.000234&amp;sourceID=14","0.000234")</f>
        <v>0.000234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HYPERLINK("http://141.218.60.56/~jnz1568/getInfo.php?workbook=12_04.xlsx&amp;sheet=U0&amp;row=1458&amp;col=6&amp;number=4.4&amp;sourceID=14","4.4")</f>
        <v>4.4</v>
      </c>
      <c r="G1458" s="4" t="str">
        <f>HYPERLINK("http://141.218.60.56/~jnz1568/getInfo.php?workbook=12_04.xlsx&amp;sheet=U0&amp;row=1458&amp;col=7&amp;number=0.000231&amp;sourceID=14","0.000231")</f>
        <v>0.000231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HYPERLINK("http://141.218.60.56/~jnz1568/getInfo.php?workbook=12_04.xlsx&amp;sheet=U0&amp;row=1459&amp;col=6&amp;number=4.5&amp;sourceID=14","4.5")</f>
        <v>4.5</v>
      </c>
      <c r="G1459" s="4" t="str">
        <f>HYPERLINK("http://141.218.60.56/~jnz1568/getInfo.php?workbook=12_04.xlsx&amp;sheet=U0&amp;row=1459&amp;col=7&amp;number=0.000228&amp;sourceID=14","0.000228")</f>
        <v>0.000228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HYPERLINK("http://141.218.60.56/~jnz1568/getInfo.php?workbook=12_04.xlsx&amp;sheet=U0&amp;row=1460&amp;col=6&amp;number=4.6&amp;sourceID=14","4.6")</f>
        <v>4.6</v>
      </c>
      <c r="G1460" s="4" t="str">
        <f>HYPERLINK("http://141.218.60.56/~jnz1568/getInfo.php?workbook=12_04.xlsx&amp;sheet=U0&amp;row=1460&amp;col=7&amp;number=0.000223&amp;sourceID=14","0.000223")</f>
        <v>0.000223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HYPERLINK("http://141.218.60.56/~jnz1568/getInfo.php?workbook=12_04.xlsx&amp;sheet=U0&amp;row=1461&amp;col=6&amp;number=4.7&amp;sourceID=14","4.7")</f>
        <v>4.7</v>
      </c>
      <c r="G1461" s="4" t="str">
        <f>HYPERLINK("http://141.218.60.56/~jnz1568/getInfo.php?workbook=12_04.xlsx&amp;sheet=U0&amp;row=1461&amp;col=7&amp;number=0.000218&amp;sourceID=14","0.000218")</f>
        <v>0.000218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HYPERLINK("http://141.218.60.56/~jnz1568/getInfo.php?workbook=12_04.xlsx&amp;sheet=U0&amp;row=1462&amp;col=6&amp;number=4.8&amp;sourceID=14","4.8")</f>
        <v>4.8</v>
      </c>
      <c r="G1462" s="4" t="str">
        <f>HYPERLINK("http://141.218.60.56/~jnz1568/getInfo.php?workbook=12_04.xlsx&amp;sheet=U0&amp;row=1462&amp;col=7&amp;number=0.000211&amp;sourceID=14","0.000211")</f>
        <v>0.000211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HYPERLINK("http://141.218.60.56/~jnz1568/getInfo.php?workbook=12_04.xlsx&amp;sheet=U0&amp;row=1463&amp;col=6&amp;number=4.9&amp;sourceID=14","4.9")</f>
        <v>4.9</v>
      </c>
      <c r="G1463" s="4" t="str">
        <f>HYPERLINK("http://141.218.60.56/~jnz1568/getInfo.php?workbook=12_04.xlsx&amp;sheet=U0&amp;row=1463&amp;col=7&amp;number=0.000203&amp;sourceID=14","0.000203")</f>
        <v>0.000203</v>
      </c>
    </row>
    <row r="1464" spans="1:7">
      <c r="A1464" s="3">
        <v>12</v>
      </c>
      <c r="B1464" s="3">
        <v>4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HYPERLINK("http://141.218.60.56/~jnz1568/getInfo.php?workbook=12_04.xlsx&amp;sheet=U0&amp;row=1464&amp;col=6&amp;number=3&amp;sourceID=14","3")</f>
        <v>3</v>
      </c>
      <c r="G1464" s="4" t="str">
        <f>HYPERLINK("http://141.218.60.56/~jnz1568/getInfo.php?workbook=12_04.xlsx&amp;sheet=U0&amp;row=1464&amp;col=7&amp;number=0.000283&amp;sourceID=14","0.000283")</f>
        <v>0.000283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HYPERLINK("http://141.218.60.56/~jnz1568/getInfo.php?workbook=12_04.xlsx&amp;sheet=U0&amp;row=1465&amp;col=6&amp;number=3.1&amp;sourceID=14","3.1")</f>
        <v>3.1</v>
      </c>
      <c r="G1465" s="4" t="str">
        <f>HYPERLINK("http://141.218.60.56/~jnz1568/getInfo.php?workbook=12_04.xlsx&amp;sheet=U0&amp;row=1465&amp;col=7&amp;number=0.000282&amp;sourceID=14","0.000282")</f>
        <v>0.000282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HYPERLINK("http://141.218.60.56/~jnz1568/getInfo.php?workbook=12_04.xlsx&amp;sheet=U0&amp;row=1466&amp;col=6&amp;number=3.2&amp;sourceID=14","3.2")</f>
        <v>3.2</v>
      </c>
      <c r="G1466" s="4" t="str">
        <f>HYPERLINK("http://141.218.60.56/~jnz1568/getInfo.php?workbook=12_04.xlsx&amp;sheet=U0&amp;row=1466&amp;col=7&amp;number=0.000282&amp;sourceID=14","0.000282")</f>
        <v>0.000282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HYPERLINK("http://141.218.60.56/~jnz1568/getInfo.php?workbook=12_04.xlsx&amp;sheet=U0&amp;row=1467&amp;col=6&amp;number=3.3&amp;sourceID=14","3.3")</f>
        <v>3.3</v>
      </c>
      <c r="G1467" s="4" t="str">
        <f>HYPERLINK("http://141.218.60.56/~jnz1568/getInfo.php?workbook=12_04.xlsx&amp;sheet=U0&amp;row=1467&amp;col=7&amp;number=0.000282&amp;sourceID=14","0.000282")</f>
        <v>0.000282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HYPERLINK("http://141.218.60.56/~jnz1568/getInfo.php?workbook=12_04.xlsx&amp;sheet=U0&amp;row=1468&amp;col=6&amp;number=3.4&amp;sourceID=14","3.4")</f>
        <v>3.4</v>
      </c>
      <c r="G1468" s="4" t="str">
        <f>HYPERLINK("http://141.218.60.56/~jnz1568/getInfo.php?workbook=12_04.xlsx&amp;sheet=U0&amp;row=1468&amp;col=7&amp;number=0.000281&amp;sourceID=14","0.000281")</f>
        <v>0.000281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HYPERLINK("http://141.218.60.56/~jnz1568/getInfo.php?workbook=12_04.xlsx&amp;sheet=U0&amp;row=1469&amp;col=6&amp;number=3.5&amp;sourceID=14","3.5")</f>
        <v>3.5</v>
      </c>
      <c r="G1469" s="4" t="str">
        <f>HYPERLINK("http://141.218.60.56/~jnz1568/getInfo.php?workbook=12_04.xlsx&amp;sheet=U0&amp;row=1469&amp;col=7&amp;number=0.00028&amp;sourceID=14","0.00028")</f>
        <v>0.00028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HYPERLINK("http://141.218.60.56/~jnz1568/getInfo.php?workbook=12_04.xlsx&amp;sheet=U0&amp;row=1470&amp;col=6&amp;number=3.6&amp;sourceID=14","3.6")</f>
        <v>3.6</v>
      </c>
      <c r="G1470" s="4" t="str">
        <f>HYPERLINK("http://141.218.60.56/~jnz1568/getInfo.php?workbook=12_04.xlsx&amp;sheet=U0&amp;row=1470&amp;col=7&amp;number=0.000279&amp;sourceID=14","0.000279")</f>
        <v>0.000279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HYPERLINK("http://141.218.60.56/~jnz1568/getInfo.php?workbook=12_04.xlsx&amp;sheet=U0&amp;row=1471&amp;col=6&amp;number=3.7&amp;sourceID=14","3.7")</f>
        <v>3.7</v>
      </c>
      <c r="G1471" s="4" t="str">
        <f>HYPERLINK("http://141.218.60.56/~jnz1568/getInfo.php?workbook=12_04.xlsx&amp;sheet=U0&amp;row=1471&amp;col=7&amp;number=0.000278&amp;sourceID=14","0.000278")</f>
        <v>0.000278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HYPERLINK("http://141.218.60.56/~jnz1568/getInfo.php?workbook=12_04.xlsx&amp;sheet=U0&amp;row=1472&amp;col=6&amp;number=3.8&amp;sourceID=14","3.8")</f>
        <v>3.8</v>
      </c>
      <c r="G1472" s="4" t="str">
        <f>HYPERLINK("http://141.218.60.56/~jnz1568/getInfo.php?workbook=12_04.xlsx&amp;sheet=U0&amp;row=1472&amp;col=7&amp;number=0.000277&amp;sourceID=14","0.000277")</f>
        <v>0.000277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HYPERLINK("http://141.218.60.56/~jnz1568/getInfo.php?workbook=12_04.xlsx&amp;sheet=U0&amp;row=1473&amp;col=6&amp;number=3.9&amp;sourceID=14","3.9")</f>
        <v>3.9</v>
      </c>
      <c r="G1473" s="4" t="str">
        <f>HYPERLINK("http://141.218.60.56/~jnz1568/getInfo.php?workbook=12_04.xlsx&amp;sheet=U0&amp;row=1473&amp;col=7&amp;number=0.000275&amp;sourceID=14","0.000275")</f>
        <v>0.000275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HYPERLINK("http://141.218.60.56/~jnz1568/getInfo.php?workbook=12_04.xlsx&amp;sheet=U0&amp;row=1474&amp;col=6&amp;number=4&amp;sourceID=14","4")</f>
        <v>4</v>
      </c>
      <c r="G1474" s="4" t="str">
        <f>HYPERLINK("http://141.218.60.56/~jnz1568/getInfo.php?workbook=12_04.xlsx&amp;sheet=U0&amp;row=1474&amp;col=7&amp;number=0.000272&amp;sourceID=14","0.000272")</f>
        <v>0.000272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HYPERLINK("http://141.218.60.56/~jnz1568/getInfo.php?workbook=12_04.xlsx&amp;sheet=U0&amp;row=1475&amp;col=6&amp;number=4.1&amp;sourceID=14","4.1")</f>
        <v>4.1</v>
      </c>
      <c r="G1475" s="4" t="str">
        <f>HYPERLINK("http://141.218.60.56/~jnz1568/getInfo.php?workbook=12_04.xlsx&amp;sheet=U0&amp;row=1475&amp;col=7&amp;number=0.000269&amp;sourceID=14","0.000269")</f>
        <v>0.000269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HYPERLINK("http://141.218.60.56/~jnz1568/getInfo.php?workbook=12_04.xlsx&amp;sheet=U0&amp;row=1476&amp;col=6&amp;number=4.2&amp;sourceID=14","4.2")</f>
        <v>4.2</v>
      </c>
      <c r="G1476" s="4" t="str">
        <f>HYPERLINK("http://141.218.60.56/~jnz1568/getInfo.php?workbook=12_04.xlsx&amp;sheet=U0&amp;row=1476&amp;col=7&amp;number=0.000266&amp;sourceID=14","0.000266")</f>
        <v>0.000266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HYPERLINK("http://141.218.60.56/~jnz1568/getInfo.php?workbook=12_04.xlsx&amp;sheet=U0&amp;row=1477&amp;col=6&amp;number=4.3&amp;sourceID=14","4.3")</f>
        <v>4.3</v>
      </c>
      <c r="G1477" s="4" t="str">
        <f>HYPERLINK("http://141.218.60.56/~jnz1568/getInfo.php?workbook=12_04.xlsx&amp;sheet=U0&amp;row=1477&amp;col=7&amp;number=0.000261&amp;sourceID=14","0.000261")</f>
        <v>0.000261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HYPERLINK("http://141.218.60.56/~jnz1568/getInfo.php?workbook=12_04.xlsx&amp;sheet=U0&amp;row=1478&amp;col=6&amp;number=4.4&amp;sourceID=14","4.4")</f>
        <v>4.4</v>
      </c>
      <c r="G1478" s="4" t="str">
        <f>HYPERLINK("http://141.218.60.56/~jnz1568/getInfo.php?workbook=12_04.xlsx&amp;sheet=U0&amp;row=1478&amp;col=7&amp;number=0.000255&amp;sourceID=14","0.000255")</f>
        <v>0.000255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HYPERLINK("http://141.218.60.56/~jnz1568/getInfo.php?workbook=12_04.xlsx&amp;sheet=U0&amp;row=1479&amp;col=6&amp;number=4.5&amp;sourceID=14","4.5")</f>
        <v>4.5</v>
      </c>
      <c r="G1479" s="4" t="str">
        <f>HYPERLINK("http://141.218.60.56/~jnz1568/getInfo.php?workbook=12_04.xlsx&amp;sheet=U0&amp;row=1479&amp;col=7&amp;number=0.000248&amp;sourceID=14","0.000248")</f>
        <v>0.000248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HYPERLINK("http://141.218.60.56/~jnz1568/getInfo.php?workbook=12_04.xlsx&amp;sheet=U0&amp;row=1480&amp;col=6&amp;number=4.6&amp;sourceID=14","4.6")</f>
        <v>4.6</v>
      </c>
      <c r="G1480" s="4" t="str">
        <f>HYPERLINK("http://141.218.60.56/~jnz1568/getInfo.php?workbook=12_04.xlsx&amp;sheet=U0&amp;row=1480&amp;col=7&amp;number=0.000239&amp;sourceID=14","0.000239")</f>
        <v>0.000239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HYPERLINK("http://141.218.60.56/~jnz1568/getInfo.php?workbook=12_04.xlsx&amp;sheet=U0&amp;row=1481&amp;col=6&amp;number=4.7&amp;sourceID=14","4.7")</f>
        <v>4.7</v>
      </c>
      <c r="G1481" s="4" t="str">
        <f>HYPERLINK("http://141.218.60.56/~jnz1568/getInfo.php?workbook=12_04.xlsx&amp;sheet=U0&amp;row=1481&amp;col=7&amp;number=0.000228&amp;sourceID=14","0.000228")</f>
        <v>0.000228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HYPERLINK("http://141.218.60.56/~jnz1568/getInfo.php?workbook=12_04.xlsx&amp;sheet=U0&amp;row=1482&amp;col=6&amp;number=4.8&amp;sourceID=14","4.8")</f>
        <v>4.8</v>
      </c>
      <c r="G1482" s="4" t="str">
        <f>HYPERLINK("http://141.218.60.56/~jnz1568/getInfo.php?workbook=12_04.xlsx&amp;sheet=U0&amp;row=1482&amp;col=7&amp;number=0.000215&amp;sourceID=14","0.000215")</f>
        <v>0.000215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HYPERLINK("http://141.218.60.56/~jnz1568/getInfo.php?workbook=12_04.xlsx&amp;sheet=U0&amp;row=1483&amp;col=6&amp;number=4.9&amp;sourceID=14","4.9")</f>
        <v>4.9</v>
      </c>
      <c r="G1483" s="4" t="str">
        <f>HYPERLINK("http://141.218.60.56/~jnz1568/getInfo.php?workbook=12_04.xlsx&amp;sheet=U0&amp;row=1483&amp;col=7&amp;number=0.0002&amp;sourceID=14","0.0002")</f>
        <v>0.0002</v>
      </c>
    </row>
    <row r="1484" spans="1:7">
      <c r="A1484" s="3">
        <v>12</v>
      </c>
      <c r="B1484" s="3">
        <v>4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HYPERLINK("http://141.218.60.56/~jnz1568/getInfo.php?workbook=12_04.xlsx&amp;sheet=U0&amp;row=1484&amp;col=6&amp;number=3&amp;sourceID=14","3")</f>
        <v>3</v>
      </c>
      <c r="G1484" s="4" t="str">
        <f>HYPERLINK("http://141.218.60.56/~jnz1568/getInfo.php?workbook=12_04.xlsx&amp;sheet=U0&amp;row=1484&amp;col=7&amp;number=0.00043&amp;sourceID=14","0.00043")</f>
        <v>0.00043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HYPERLINK("http://141.218.60.56/~jnz1568/getInfo.php?workbook=12_04.xlsx&amp;sheet=U0&amp;row=1485&amp;col=6&amp;number=3.1&amp;sourceID=14","3.1")</f>
        <v>3.1</v>
      </c>
      <c r="G1485" s="4" t="str">
        <f>HYPERLINK("http://141.218.60.56/~jnz1568/getInfo.php?workbook=12_04.xlsx&amp;sheet=U0&amp;row=1485&amp;col=7&amp;number=0.00043&amp;sourceID=14","0.00043")</f>
        <v>0.00043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HYPERLINK("http://141.218.60.56/~jnz1568/getInfo.php?workbook=12_04.xlsx&amp;sheet=U0&amp;row=1486&amp;col=6&amp;number=3.2&amp;sourceID=14","3.2")</f>
        <v>3.2</v>
      </c>
      <c r="G1486" s="4" t="str">
        <f>HYPERLINK("http://141.218.60.56/~jnz1568/getInfo.php?workbook=12_04.xlsx&amp;sheet=U0&amp;row=1486&amp;col=7&amp;number=0.000429&amp;sourceID=14","0.000429")</f>
        <v>0.000429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HYPERLINK("http://141.218.60.56/~jnz1568/getInfo.php?workbook=12_04.xlsx&amp;sheet=U0&amp;row=1487&amp;col=6&amp;number=3.3&amp;sourceID=14","3.3")</f>
        <v>3.3</v>
      </c>
      <c r="G1487" s="4" t="str">
        <f>HYPERLINK("http://141.218.60.56/~jnz1568/getInfo.php?workbook=12_04.xlsx&amp;sheet=U0&amp;row=1487&amp;col=7&amp;number=0.000428&amp;sourceID=14","0.000428")</f>
        <v>0.000428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HYPERLINK("http://141.218.60.56/~jnz1568/getInfo.php?workbook=12_04.xlsx&amp;sheet=U0&amp;row=1488&amp;col=6&amp;number=3.4&amp;sourceID=14","3.4")</f>
        <v>3.4</v>
      </c>
      <c r="G1488" s="4" t="str">
        <f>HYPERLINK("http://141.218.60.56/~jnz1568/getInfo.php?workbook=12_04.xlsx&amp;sheet=U0&amp;row=1488&amp;col=7&amp;number=0.000426&amp;sourceID=14","0.000426")</f>
        <v>0.000426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HYPERLINK("http://141.218.60.56/~jnz1568/getInfo.php?workbook=12_04.xlsx&amp;sheet=U0&amp;row=1489&amp;col=6&amp;number=3.5&amp;sourceID=14","3.5")</f>
        <v>3.5</v>
      </c>
      <c r="G1489" s="4" t="str">
        <f>HYPERLINK("http://141.218.60.56/~jnz1568/getInfo.php?workbook=12_04.xlsx&amp;sheet=U0&amp;row=1489&amp;col=7&amp;number=0.000425&amp;sourceID=14","0.000425")</f>
        <v>0.000425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HYPERLINK("http://141.218.60.56/~jnz1568/getInfo.php?workbook=12_04.xlsx&amp;sheet=U0&amp;row=1490&amp;col=6&amp;number=3.6&amp;sourceID=14","3.6")</f>
        <v>3.6</v>
      </c>
      <c r="G1490" s="4" t="str">
        <f>HYPERLINK("http://141.218.60.56/~jnz1568/getInfo.php?workbook=12_04.xlsx&amp;sheet=U0&amp;row=1490&amp;col=7&amp;number=0.000422&amp;sourceID=14","0.000422")</f>
        <v>0.000422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HYPERLINK("http://141.218.60.56/~jnz1568/getInfo.php?workbook=12_04.xlsx&amp;sheet=U0&amp;row=1491&amp;col=6&amp;number=3.7&amp;sourceID=14","3.7")</f>
        <v>3.7</v>
      </c>
      <c r="G1491" s="4" t="str">
        <f>HYPERLINK("http://141.218.60.56/~jnz1568/getInfo.php?workbook=12_04.xlsx&amp;sheet=U0&amp;row=1491&amp;col=7&amp;number=0.00042&amp;sourceID=14","0.00042")</f>
        <v>0.00042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HYPERLINK("http://141.218.60.56/~jnz1568/getInfo.php?workbook=12_04.xlsx&amp;sheet=U0&amp;row=1492&amp;col=6&amp;number=3.8&amp;sourceID=14","3.8")</f>
        <v>3.8</v>
      </c>
      <c r="G1492" s="4" t="str">
        <f>HYPERLINK("http://141.218.60.56/~jnz1568/getInfo.php?workbook=12_04.xlsx&amp;sheet=U0&amp;row=1492&amp;col=7&amp;number=0.000416&amp;sourceID=14","0.000416")</f>
        <v>0.000416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HYPERLINK("http://141.218.60.56/~jnz1568/getInfo.php?workbook=12_04.xlsx&amp;sheet=U0&amp;row=1493&amp;col=6&amp;number=3.9&amp;sourceID=14","3.9")</f>
        <v>3.9</v>
      </c>
      <c r="G1493" s="4" t="str">
        <f>HYPERLINK("http://141.218.60.56/~jnz1568/getInfo.php?workbook=12_04.xlsx&amp;sheet=U0&amp;row=1493&amp;col=7&amp;number=0.000412&amp;sourceID=14","0.000412")</f>
        <v>0.000412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HYPERLINK("http://141.218.60.56/~jnz1568/getInfo.php?workbook=12_04.xlsx&amp;sheet=U0&amp;row=1494&amp;col=6&amp;number=4&amp;sourceID=14","4")</f>
        <v>4</v>
      </c>
      <c r="G1494" s="4" t="str">
        <f>HYPERLINK("http://141.218.60.56/~jnz1568/getInfo.php?workbook=12_04.xlsx&amp;sheet=U0&amp;row=1494&amp;col=7&amp;number=0.000407&amp;sourceID=14","0.000407")</f>
        <v>0.000407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HYPERLINK("http://141.218.60.56/~jnz1568/getInfo.php?workbook=12_04.xlsx&amp;sheet=U0&amp;row=1495&amp;col=6&amp;number=4.1&amp;sourceID=14","4.1")</f>
        <v>4.1</v>
      </c>
      <c r="G1495" s="4" t="str">
        <f>HYPERLINK("http://141.218.60.56/~jnz1568/getInfo.php?workbook=12_04.xlsx&amp;sheet=U0&amp;row=1495&amp;col=7&amp;number=0.0004&amp;sourceID=14","0.0004")</f>
        <v>0.0004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HYPERLINK("http://141.218.60.56/~jnz1568/getInfo.php?workbook=12_04.xlsx&amp;sheet=U0&amp;row=1496&amp;col=6&amp;number=4.2&amp;sourceID=14","4.2")</f>
        <v>4.2</v>
      </c>
      <c r="G1496" s="4" t="str">
        <f>HYPERLINK("http://141.218.60.56/~jnz1568/getInfo.php?workbook=12_04.xlsx&amp;sheet=U0&amp;row=1496&amp;col=7&amp;number=0.000391&amp;sourceID=14","0.000391")</f>
        <v>0.000391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HYPERLINK("http://141.218.60.56/~jnz1568/getInfo.php?workbook=12_04.xlsx&amp;sheet=U0&amp;row=1497&amp;col=6&amp;number=4.3&amp;sourceID=14","4.3")</f>
        <v>4.3</v>
      </c>
      <c r="G1497" s="4" t="str">
        <f>HYPERLINK("http://141.218.60.56/~jnz1568/getInfo.php?workbook=12_04.xlsx&amp;sheet=U0&amp;row=1497&amp;col=7&amp;number=0.000381&amp;sourceID=14","0.000381")</f>
        <v>0.000381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HYPERLINK("http://141.218.60.56/~jnz1568/getInfo.php?workbook=12_04.xlsx&amp;sheet=U0&amp;row=1498&amp;col=6&amp;number=4.4&amp;sourceID=14","4.4")</f>
        <v>4.4</v>
      </c>
      <c r="G1498" s="4" t="str">
        <f>HYPERLINK("http://141.218.60.56/~jnz1568/getInfo.php?workbook=12_04.xlsx&amp;sheet=U0&amp;row=1498&amp;col=7&amp;number=0.000368&amp;sourceID=14","0.000368")</f>
        <v>0.000368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HYPERLINK("http://141.218.60.56/~jnz1568/getInfo.php?workbook=12_04.xlsx&amp;sheet=U0&amp;row=1499&amp;col=6&amp;number=4.5&amp;sourceID=14","4.5")</f>
        <v>4.5</v>
      </c>
      <c r="G1499" s="4" t="str">
        <f>HYPERLINK("http://141.218.60.56/~jnz1568/getInfo.php?workbook=12_04.xlsx&amp;sheet=U0&amp;row=1499&amp;col=7&amp;number=0.000353&amp;sourceID=14","0.000353")</f>
        <v>0.000353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HYPERLINK("http://141.218.60.56/~jnz1568/getInfo.php?workbook=12_04.xlsx&amp;sheet=U0&amp;row=1500&amp;col=6&amp;number=4.6&amp;sourceID=14","4.6")</f>
        <v>4.6</v>
      </c>
      <c r="G1500" s="4" t="str">
        <f>HYPERLINK("http://141.218.60.56/~jnz1568/getInfo.php?workbook=12_04.xlsx&amp;sheet=U0&amp;row=1500&amp;col=7&amp;number=0.000335&amp;sourceID=14","0.000335")</f>
        <v>0.000335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HYPERLINK("http://141.218.60.56/~jnz1568/getInfo.php?workbook=12_04.xlsx&amp;sheet=U0&amp;row=1501&amp;col=6&amp;number=4.7&amp;sourceID=14","4.7")</f>
        <v>4.7</v>
      </c>
      <c r="G1501" s="4" t="str">
        <f>HYPERLINK("http://141.218.60.56/~jnz1568/getInfo.php?workbook=12_04.xlsx&amp;sheet=U0&amp;row=1501&amp;col=7&amp;number=0.000313&amp;sourceID=14","0.000313")</f>
        <v>0.000313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HYPERLINK("http://141.218.60.56/~jnz1568/getInfo.php?workbook=12_04.xlsx&amp;sheet=U0&amp;row=1502&amp;col=6&amp;number=4.8&amp;sourceID=14","4.8")</f>
        <v>4.8</v>
      </c>
      <c r="G1502" s="4" t="str">
        <f>HYPERLINK("http://141.218.60.56/~jnz1568/getInfo.php?workbook=12_04.xlsx&amp;sheet=U0&amp;row=1502&amp;col=7&amp;number=0.00029&amp;sourceID=14","0.00029")</f>
        <v>0.00029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HYPERLINK("http://141.218.60.56/~jnz1568/getInfo.php?workbook=12_04.xlsx&amp;sheet=U0&amp;row=1503&amp;col=6&amp;number=4.9&amp;sourceID=14","4.9")</f>
        <v>4.9</v>
      </c>
      <c r="G1503" s="4" t="str">
        <f>HYPERLINK("http://141.218.60.56/~jnz1568/getInfo.php?workbook=12_04.xlsx&amp;sheet=U0&amp;row=1503&amp;col=7&amp;number=0.000265&amp;sourceID=14","0.000265")</f>
        <v>0.000265</v>
      </c>
    </row>
    <row r="1504" spans="1:7">
      <c r="A1504" s="3">
        <v>12</v>
      </c>
      <c r="B1504" s="3">
        <v>4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HYPERLINK("http://141.218.60.56/~jnz1568/getInfo.php?workbook=12_04.xlsx&amp;sheet=U0&amp;row=1504&amp;col=6&amp;number=3&amp;sourceID=14","3")</f>
        <v>3</v>
      </c>
      <c r="G1504" s="4" t="str">
        <f>HYPERLINK("http://141.218.60.56/~jnz1568/getInfo.php?workbook=12_04.xlsx&amp;sheet=U0&amp;row=1504&amp;col=7&amp;number=0.000335&amp;sourceID=14","0.000335")</f>
        <v>0.000335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HYPERLINK("http://141.218.60.56/~jnz1568/getInfo.php?workbook=12_04.xlsx&amp;sheet=U0&amp;row=1505&amp;col=6&amp;number=3.1&amp;sourceID=14","3.1")</f>
        <v>3.1</v>
      </c>
      <c r="G1505" s="4" t="str">
        <f>HYPERLINK("http://141.218.60.56/~jnz1568/getInfo.php?workbook=12_04.xlsx&amp;sheet=U0&amp;row=1505&amp;col=7&amp;number=0.000335&amp;sourceID=14","0.000335")</f>
        <v>0.000335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HYPERLINK("http://141.218.60.56/~jnz1568/getInfo.php?workbook=12_04.xlsx&amp;sheet=U0&amp;row=1506&amp;col=6&amp;number=3.2&amp;sourceID=14","3.2")</f>
        <v>3.2</v>
      </c>
      <c r="G1506" s="4" t="str">
        <f>HYPERLINK("http://141.218.60.56/~jnz1568/getInfo.php?workbook=12_04.xlsx&amp;sheet=U0&amp;row=1506&amp;col=7&amp;number=0.000335&amp;sourceID=14","0.000335")</f>
        <v>0.000335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HYPERLINK("http://141.218.60.56/~jnz1568/getInfo.php?workbook=12_04.xlsx&amp;sheet=U0&amp;row=1507&amp;col=6&amp;number=3.3&amp;sourceID=14","3.3")</f>
        <v>3.3</v>
      </c>
      <c r="G1507" s="4" t="str">
        <f>HYPERLINK("http://141.218.60.56/~jnz1568/getInfo.php?workbook=12_04.xlsx&amp;sheet=U0&amp;row=1507&amp;col=7&amp;number=0.000334&amp;sourceID=14","0.000334")</f>
        <v>0.000334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HYPERLINK("http://141.218.60.56/~jnz1568/getInfo.php?workbook=12_04.xlsx&amp;sheet=U0&amp;row=1508&amp;col=6&amp;number=3.4&amp;sourceID=14","3.4")</f>
        <v>3.4</v>
      </c>
      <c r="G1508" s="4" t="str">
        <f>HYPERLINK("http://141.218.60.56/~jnz1568/getInfo.php?workbook=12_04.xlsx&amp;sheet=U0&amp;row=1508&amp;col=7&amp;number=0.000334&amp;sourceID=14","0.000334")</f>
        <v>0.000334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HYPERLINK("http://141.218.60.56/~jnz1568/getInfo.php?workbook=12_04.xlsx&amp;sheet=U0&amp;row=1509&amp;col=6&amp;number=3.5&amp;sourceID=14","3.5")</f>
        <v>3.5</v>
      </c>
      <c r="G1509" s="4" t="str">
        <f>HYPERLINK("http://141.218.60.56/~jnz1568/getInfo.php?workbook=12_04.xlsx&amp;sheet=U0&amp;row=1509&amp;col=7&amp;number=0.000333&amp;sourceID=14","0.000333")</f>
        <v>0.000333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HYPERLINK("http://141.218.60.56/~jnz1568/getInfo.php?workbook=12_04.xlsx&amp;sheet=U0&amp;row=1510&amp;col=6&amp;number=3.6&amp;sourceID=14","3.6")</f>
        <v>3.6</v>
      </c>
      <c r="G1510" s="4" t="str">
        <f>HYPERLINK("http://141.218.60.56/~jnz1568/getInfo.php?workbook=12_04.xlsx&amp;sheet=U0&amp;row=1510&amp;col=7&amp;number=0.000333&amp;sourceID=14","0.000333")</f>
        <v>0.000333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HYPERLINK("http://141.218.60.56/~jnz1568/getInfo.php?workbook=12_04.xlsx&amp;sheet=U0&amp;row=1511&amp;col=6&amp;number=3.7&amp;sourceID=14","3.7")</f>
        <v>3.7</v>
      </c>
      <c r="G1511" s="4" t="str">
        <f>HYPERLINK("http://141.218.60.56/~jnz1568/getInfo.php?workbook=12_04.xlsx&amp;sheet=U0&amp;row=1511&amp;col=7&amp;number=0.000332&amp;sourceID=14","0.000332")</f>
        <v>0.000332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HYPERLINK("http://141.218.60.56/~jnz1568/getInfo.php?workbook=12_04.xlsx&amp;sheet=U0&amp;row=1512&amp;col=6&amp;number=3.8&amp;sourceID=14","3.8")</f>
        <v>3.8</v>
      </c>
      <c r="G1512" s="4" t="str">
        <f>HYPERLINK("http://141.218.60.56/~jnz1568/getInfo.php?workbook=12_04.xlsx&amp;sheet=U0&amp;row=1512&amp;col=7&amp;number=0.00033&amp;sourceID=14","0.00033")</f>
        <v>0.00033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HYPERLINK("http://141.218.60.56/~jnz1568/getInfo.php?workbook=12_04.xlsx&amp;sheet=U0&amp;row=1513&amp;col=6&amp;number=3.9&amp;sourceID=14","3.9")</f>
        <v>3.9</v>
      </c>
      <c r="G1513" s="4" t="str">
        <f>HYPERLINK("http://141.218.60.56/~jnz1568/getInfo.php?workbook=12_04.xlsx&amp;sheet=U0&amp;row=1513&amp;col=7&amp;number=0.000329&amp;sourceID=14","0.000329")</f>
        <v>0.000329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HYPERLINK("http://141.218.60.56/~jnz1568/getInfo.php?workbook=12_04.xlsx&amp;sheet=U0&amp;row=1514&amp;col=6&amp;number=4&amp;sourceID=14","4")</f>
        <v>4</v>
      </c>
      <c r="G1514" s="4" t="str">
        <f>HYPERLINK("http://141.218.60.56/~jnz1568/getInfo.php?workbook=12_04.xlsx&amp;sheet=U0&amp;row=1514&amp;col=7&amp;number=0.000327&amp;sourceID=14","0.000327")</f>
        <v>0.000327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HYPERLINK("http://141.218.60.56/~jnz1568/getInfo.php?workbook=12_04.xlsx&amp;sheet=U0&amp;row=1515&amp;col=6&amp;number=4.1&amp;sourceID=14","4.1")</f>
        <v>4.1</v>
      </c>
      <c r="G1515" s="4" t="str">
        <f>HYPERLINK("http://141.218.60.56/~jnz1568/getInfo.php?workbook=12_04.xlsx&amp;sheet=U0&amp;row=1515&amp;col=7&amp;number=0.000325&amp;sourceID=14","0.000325")</f>
        <v>0.000325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HYPERLINK("http://141.218.60.56/~jnz1568/getInfo.php?workbook=12_04.xlsx&amp;sheet=U0&amp;row=1516&amp;col=6&amp;number=4.2&amp;sourceID=14","4.2")</f>
        <v>4.2</v>
      </c>
      <c r="G1516" s="4" t="str">
        <f>HYPERLINK("http://141.218.60.56/~jnz1568/getInfo.php?workbook=12_04.xlsx&amp;sheet=U0&amp;row=1516&amp;col=7&amp;number=0.000322&amp;sourceID=14","0.000322")</f>
        <v>0.000322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HYPERLINK("http://141.218.60.56/~jnz1568/getInfo.php?workbook=12_04.xlsx&amp;sheet=U0&amp;row=1517&amp;col=6&amp;number=4.3&amp;sourceID=14","4.3")</f>
        <v>4.3</v>
      </c>
      <c r="G1517" s="4" t="str">
        <f>HYPERLINK("http://141.218.60.56/~jnz1568/getInfo.php?workbook=12_04.xlsx&amp;sheet=U0&amp;row=1517&amp;col=7&amp;number=0.000318&amp;sourceID=14","0.000318")</f>
        <v>0.000318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HYPERLINK("http://141.218.60.56/~jnz1568/getInfo.php?workbook=12_04.xlsx&amp;sheet=U0&amp;row=1518&amp;col=6&amp;number=4.4&amp;sourceID=14","4.4")</f>
        <v>4.4</v>
      </c>
      <c r="G1518" s="4" t="str">
        <f>HYPERLINK("http://141.218.60.56/~jnz1568/getInfo.php?workbook=12_04.xlsx&amp;sheet=U0&amp;row=1518&amp;col=7&amp;number=0.000313&amp;sourceID=14","0.000313")</f>
        <v>0.000313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HYPERLINK("http://141.218.60.56/~jnz1568/getInfo.php?workbook=12_04.xlsx&amp;sheet=U0&amp;row=1519&amp;col=6&amp;number=4.5&amp;sourceID=14","4.5")</f>
        <v>4.5</v>
      </c>
      <c r="G1519" s="4" t="str">
        <f>HYPERLINK("http://141.218.60.56/~jnz1568/getInfo.php?workbook=12_04.xlsx&amp;sheet=U0&amp;row=1519&amp;col=7&amp;number=0.000307&amp;sourceID=14","0.000307")</f>
        <v>0.000307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HYPERLINK("http://141.218.60.56/~jnz1568/getInfo.php?workbook=12_04.xlsx&amp;sheet=U0&amp;row=1520&amp;col=6&amp;number=4.6&amp;sourceID=14","4.6")</f>
        <v>4.6</v>
      </c>
      <c r="G1520" s="4" t="str">
        <f>HYPERLINK("http://141.218.60.56/~jnz1568/getInfo.php?workbook=12_04.xlsx&amp;sheet=U0&amp;row=1520&amp;col=7&amp;number=0.0003&amp;sourceID=14","0.0003")</f>
        <v>0.0003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HYPERLINK("http://141.218.60.56/~jnz1568/getInfo.php?workbook=12_04.xlsx&amp;sheet=U0&amp;row=1521&amp;col=6&amp;number=4.7&amp;sourceID=14","4.7")</f>
        <v>4.7</v>
      </c>
      <c r="G1521" s="4" t="str">
        <f>HYPERLINK("http://141.218.60.56/~jnz1568/getInfo.php?workbook=12_04.xlsx&amp;sheet=U0&amp;row=1521&amp;col=7&amp;number=0.000292&amp;sourceID=14","0.000292")</f>
        <v>0.000292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HYPERLINK("http://141.218.60.56/~jnz1568/getInfo.php?workbook=12_04.xlsx&amp;sheet=U0&amp;row=1522&amp;col=6&amp;number=4.8&amp;sourceID=14","4.8")</f>
        <v>4.8</v>
      </c>
      <c r="G1522" s="4" t="str">
        <f>HYPERLINK("http://141.218.60.56/~jnz1568/getInfo.php?workbook=12_04.xlsx&amp;sheet=U0&amp;row=1522&amp;col=7&amp;number=0.000281&amp;sourceID=14","0.000281")</f>
        <v>0.000281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HYPERLINK("http://141.218.60.56/~jnz1568/getInfo.php?workbook=12_04.xlsx&amp;sheet=U0&amp;row=1523&amp;col=6&amp;number=4.9&amp;sourceID=14","4.9")</f>
        <v>4.9</v>
      </c>
      <c r="G1523" s="4" t="str">
        <f>HYPERLINK("http://141.218.60.56/~jnz1568/getInfo.php?workbook=12_04.xlsx&amp;sheet=U0&amp;row=1523&amp;col=7&amp;number=0.000269&amp;sourceID=14","0.000269")</f>
        <v>0.000269</v>
      </c>
    </row>
    <row r="1524" spans="1:7">
      <c r="A1524" s="3">
        <v>12</v>
      </c>
      <c r="B1524" s="3">
        <v>4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HYPERLINK("http://141.218.60.56/~jnz1568/getInfo.php?workbook=12_04.xlsx&amp;sheet=U0&amp;row=1524&amp;col=6&amp;number=3&amp;sourceID=14","3")</f>
        <v>3</v>
      </c>
      <c r="G1524" s="4" t="str">
        <f>HYPERLINK("http://141.218.60.56/~jnz1568/getInfo.php?workbook=12_04.xlsx&amp;sheet=U0&amp;row=1524&amp;col=7&amp;number=7.83e-05&amp;sourceID=14","7.83e-05")</f>
        <v>7.83e-05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HYPERLINK("http://141.218.60.56/~jnz1568/getInfo.php?workbook=12_04.xlsx&amp;sheet=U0&amp;row=1525&amp;col=6&amp;number=3.1&amp;sourceID=14","3.1")</f>
        <v>3.1</v>
      </c>
      <c r="G1525" s="4" t="str">
        <f>HYPERLINK("http://141.218.60.56/~jnz1568/getInfo.php?workbook=12_04.xlsx&amp;sheet=U0&amp;row=1525&amp;col=7&amp;number=7.82e-05&amp;sourceID=14","7.82e-05")</f>
        <v>7.82e-05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HYPERLINK("http://141.218.60.56/~jnz1568/getInfo.php?workbook=12_04.xlsx&amp;sheet=U0&amp;row=1526&amp;col=6&amp;number=3.2&amp;sourceID=14","3.2")</f>
        <v>3.2</v>
      </c>
      <c r="G1526" s="4" t="str">
        <f>HYPERLINK("http://141.218.60.56/~jnz1568/getInfo.php?workbook=12_04.xlsx&amp;sheet=U0&amp;row=1526&amp;col=7&amp;number=7.82e-05&amp;sourceID=14","7.82e-05")</f>
        <v>7.82e-05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HYPERLINK("http://141.218.60.56/~jnz1568/getInfo.php?workbook=12_04.xlsx&amp;sheet=U0&amp;row=1527&amp;col=6&amp;number=3.3&amp;sourceID=14","3.3")</f>
        <v>3.3</v>
      </c>
      <c r="G1527" s="4" t="str">
        <f>HYPERLINK("http://141.218.60.56/~jnz1568/getInfo.php?workbook=12_04.xlsx&amp;sheet=U0&amp;row=1527&amp;col=7&amp;number=7.81e-05&amp;sourceID=14","7.81e-05")</f>
        <v>7.81e-05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HYPERLINK("http://141.218.60.56/~jnz1568/getInfo.php?workbook=12_04.xlsx&amp;sheet=U0&amp;row=1528&amp;col=6&amp;number=3.4&amp;sourceID=14","3.4")</f>
        <v>3.4</v>
      </c>
      <c r="G1528" s="4" t="str">
        <f>HYPERLINK("http://141.218.60.56/~jnz1568/getInfo.php?workbook=12_04.xlsx&amp;sheet=U0&amp;row=1528&amp;col=7&amp;number=7.81e-05&amp;sourceID=14","7.81e-05")</f>
        <v>7.81e-05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HYPERLINK("http://141.218.60.56/~jnz1568/getInfo.php?workbook=12_04.xlsx&amp;sheet=U0&amp;row=1529&amp;col=6&amp;number=3.5&amp;sourceID=14","3.5")</f>
        <v>3.5</v>
      </c>
      <c r="G1529" s="4" t="str">
        <f>HYPERLINK("http://141.218.60.56/~jnz1568/getInfo.php?workbook=12_04.xlsx&amp;sheet=U0&amp;row=1529&amp;col=7&amp;number=7.8e-05&amp;sourceID=14","7.8e-05")</f>
        <v>7.8e-05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HYPERLINK("http://141.218.60.56/~jnz1568/getInfo.php?workbook=12_04.xlsx&amp;sheet=U0&amp;row=1530&amp;col=6&amp;number=3.6&amp;sourceID=14","3.6")</f>
        <v>3.6</v>
      </c>
      <c r="G1530" s="4" t="str">
        <f>HYPERLINK("http://141.218.60.56/~jnz1568/getInfo.php?workbook=12_04.xlsx&amp;sheet=U0&amp;row=1530&amp;col=7&amp;number=7.79e-05&amp;sourceID=14","7.79e-05")</f>
        <v>7.79e-05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HYPERLINK("http://141.218.60.56/~jnz1568/getInfo.php?workbook=12_04.xlsx&amp;sheet=U0&amp;row=1531&amp;col=6&amp;number=3.7&amp;sourceID=14","3.7")</f>
        <v>3.7</v>
      </c>
      <c r="G1531" s="4" t="str">
        <f>HYPERLINK("http://141.218.60.56/~jnz1568/getInfo.php?workbook=12_04.xlsx&amp;sheet=U0&amp;row=1531&amp;col=7&amp;number=7.77e-05&amp;sourceID=14","7.77e-05")</f>
        <v>7.77e-05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HYPERLINK("http://141.218.60.56/~jnz1568/getInfo.php?workbook=12_04.xlsx&amp;sheet=U0&amp;row=1532&amp;col=6&amp;number=3.8&amp;sourceID=14","3.8")</f>
        <v>3.8</v>
      </c>
      <c r="G1532" s="4" t="str">
        <f>HYPERLINK("http://141.218.60.56/~jnz1568/getInfo.php?workbook=12_04.xlsx&amp;sheet=U0&amp;row=1532&amp;col=7&amp;number=7.76e-05&amp;sourceID=14","7.76e-05")</f>
        <v>7.76e-05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HYPERLINK("http://141.218.60.56/~jnz1568/getInfo.php?workbook=12_04.xlsx&amp;sheet=U0&amp;row=1533&amp;col=6&amp;number=3.9&amp;sourceID=14","3.9")</f>
        <v>3.9</v>
      </c>
      <c r="G1533" s="4" t="str">
        <f>HYPERLINK("http://141.218.60.56/~jnz1568/getInfo.php?workbook=12_04.xlsx&amp;sheet=U0&amp;row=1533&amp;col=7&amp;number=7.74e-05&amp;sourceID=14","7.74e-05")</f>
        <v>7.74e-05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HYPERLINK("http://141.218.60.56/~jnz1568/getInfo.php?workbook=12_04.xlsx&amp;sheet=U0&amp;row=1534&amp;col=6&amp;number=4&amp;sourceID=14","4")</f>
        <v>4</v>
      </c>
      <c r="G1534" s="4" t="str">
        <f>HYPERLINK("http://141.218.60.56/~jnz1568/getInfo.php?workbook=12_04.xlsx&amp;sheet=U0&amp;row=1534&amp;col=7&amp;number=7.71e-05&amp;sourceID=14","7.71e-05")</f>
        <v>7.71e-05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HYPERLINK("http://141.218.60.56/~jnz1568/getInfo.php?workbook=12_04.xlsx&amp;sheet=U0&amp;row=1535&amp;col=6&amp;number=4.1&amp;sourceID=14","4.1")</f>
        <v>4.1</v>
      </c>
      <c r="G1535" s="4" t="str">
        <f>HYPERLINK("http://141.218.60.56/~jnz1568/getInfo.php?workbook=12_04.xlsx&amp;sheet=U0&amp;row=1535&amp;col=7&amp;number=7.67e-05&amp;sourceID=14","7.67e-05")</f>
        <v>7.67e-05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HYPERLINK("http://141.218.60.56/~jnz1568/getInfo.php?workbook=12_04.xlsx&amp;sheet=U0&amp;row=1536&amp;col=6&amp;number=4.2&amp;sourceID=14","4.2")</f>
        <v>4.2</v>
      </c>
      <c r="G1536" s="4" t="str">
        <f>HYPERLINK("http://141.218.60.56/~jnz1568/getInfo.php?workbook=12_04.xlsx&amp;sheet=U0&amp;row=1536&amp;col=7&amp;number=7.63e-05&amp;sourceID=14","7.63e-05")</f>
        <v>7.63e-05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HYPERLINK("http://141.218.60.56/~jnz1568/getInfo.php?workbook=12_04.xlsx&amp;sheet=U0&amp;row=1537&amp;col=6&amp;number=4.3&amp;sourceID=14","4.3")</f>
        <v>4.3</v>
      </c>
      <c r="G1537" s="4" t="str">
        <f>HYPERLINK("http://141.218.60.56/~jnz1568/getInfo.php?workbook=12_04.xlsx&amp;sheet=U0&amp;row=1537&amp;col=7&amp;number=7.58e-05&amp;sourceID=14","7.58e-05")</f>
        <v>7.58e-05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HYPERLINK("http://141.218.60.56/~jnz1568/getInfo.php?workbook=12_04.xlsx&amp;sheet=U0&amp;row=1538&amp;col=6&amp;number=4.4&amp;sourceID=14","4.4")</f>
        <v>4.4</v>
      </c>
      <c r="G1538" s="4" t="str">
        <f>HYPERLINK("http://141.218.60.56/~jnz1568/getInfo.php?workbook=12_04.xlsx&amp;sheet=U0&amp;row=1538&amp;col=7&amp;number=7.51e-05&amp;sourceID=14","7.51e-05")</f>
        <v>7.51e-05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HYPERLINK("http://141.218.60.56/~jnz1568/getInfo.php?workbook=12_04.xlsx&amp;sheet=U0&amp;row=1539&amp;col=6&amp;number=4.5&amp;sourceID=14","4.5")</f>
        <v>4.5</v>
      </c>
      <c r="G1539" s="4" t="str">
        <f>HYPERLINK("http://141.218.60.56/~jnz1568/getInfo.php?workbook=12_04.xlsx&amp;sheet=U0&amp;row=1539&amp;col=7&amp;number=7.43e-05&amp;sourceID=14","7.43e-05")</f>
        <v>7.43e-05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HYPERLINK("http://141.218.60.56/~jnz1568/getInfo.php?workbook=12_04.xlsx&amp;sheet=U0&amp;row=1540&amp;col=6&amp;number=4.6&amp;sourceID=14","4.6")</f>
        <v>4.6</v>
      </c>
      <c r="G1540" s="4" t="str">
        <f>HYPERLINK("http://141.218.60.56/~jnz1568/getInfo.php?workbook=12_04.xlsx&amp;sheet=U0&amp;row=1540&amp;col=7&amp;number=7.32e-05&amp;sourceID=14","7.32e-05")</f>
        <v>7.32e-05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HYPERLINK("http://141.218.60.56/~jnz1568/getInfo.php?workbook=12_04.xlsx&amp;sheet=U0&amp;row=1541&amp;col=6&amp;number=4.7&amp;sourceID=14","4.7")</f>
        <v>4.7</v>
      </c>
      <c r="G1541" s="4" t="str">
        <f>HYPERLINK("http://141.218.60.56/~jnz1568/getInfo.php?workbook=12_04.xlsx&amp;sheet=U0&amp;row=1541&amp;col=7&amp;number=7.19e-05&amp;sourceID=14","7.19e-05")</f>
        <v>7.19e-05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HYPERLINK("http://141.218.60.56/~jnz1568/getInfo.php?workbook=12_04.xlsx&amp;sheet=U0&amp;row=1542&amp;col=6&amp;number=4.8&amp;sourceID=14","4.8")</f>
        <v>4.8</v>
      </c>
      <c r="G1542" s="4" t="str">
        <f>HYPERLINK("http://141.218.60.56/~jnz1568/getInfo.php?workbook=12_04.xlsx&amp;sheet=U0&amp;row=1542&amp;col=7&amp;number=7.03e-05&amp;sourceID=14","7.03e-05")</f>
        <v>7.03e-05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HYPERLINK("http://141.218.60.56/~jnz1568/getInfo.php?workbook=12_04.xlsx&amp;sheet=U0&amp;row=1543&amp;col=6&amp;number=4.9&amp;sourceID=14","4.9")</f>
        <v>4.9</v>
      </c>
      <c r="G1543" s="4" t="str">
        <f>HYPERLINK("http://141.218.60.56/~jnz1568/getInfo.php?workbook=12_04.xlsx&amp;sheet=U0&amp;row=1543&amp;col=7&amp;number=6.84e-05&amp;sourceID=14","6.84e-05")</f>
        <v>6.84e-05</v>
      </c>
    </row>
    <row r="1544" spans="1:7">
      <c r="A1544" s="3">
        <v>12</v>
      </c>
      <c r="B1544" s="3">
        <v>4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HYPERLINK("http://141.218.60.56/~jnz1568/getInfo.php?workbook=12_04.xlsx&amp;sheet=U0&amp;row=1544&amp;col=6&amp;number=3&amp;sourceID=14","3")</f>
        <v>3</v>
      </c>
      <c r="G1544" s="4" t="str">
        <f>HYPERLINK("http://141.218.60.56/~jnz1568/getInfo.php?workbook=12_04.xlsx&amp;sheet=U0&amp;row=1544&amp;col=7&amp;number=0.000124&amp;sourceID=14","0.000124")</f>
        <v>0.000124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HYPERLINK("http://141.218.60.56/~jnz1568/getInfo.php?workbook=12_04.xlsx&amp;sheet=U0&amp;row=1545&amp;col=6&amp;number=3.1&amp;sourceID=14","3.1")</f>
        <v>3.1</v>
      </c>
      <c r="G1545" s="4" t="str">
        <f>HYPERLINK("http://141.218.60.56/~jnz1568/getInfo.php?workbook=12_04.xlsx&amp;sheet=U0&amp;row=1545&amp;col=7&amp;number=0.000124&amp;sourceID=14","0.000124")</f>
        <v>0.000124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HYPERLINK("http://141.218.60.56/~jnz1568/getInfo.php?workbook=12_04.xlsx&amp;sheet=U0&amp;row=1546&amp;col=6&amp;number=3.2&amp;sourceID=14","3.2")</f>
        <v>3.2</v>
      </c>
      <c r="G1546" s="4" t="str">
        <f>HYPERLINK("http://141.218.60.56/~jnz1568/getInfo.php?workbook=12_04.xlsx&amp;sheet=U0&amp;row=1546&amp;col=7&amp;number=0.000124&amp;sourceID=14","0.000124")</f>
        <v>0.000124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HYPERLINK("http://141.218.60.56/~jnz1568/getInfo.php?workbook=12_04.xlsx&amp;sheet=U0&amp;row=1547&amp;col=6&amp;number=3.3&amp;sourceID=14","3.3")</f>
        <v>3.3</v>
      </c>
      <c r="G1547" s="4" t="str">
        <f>HYPERLINK("http://141.218.60.56/~jnz1568/getInfo.php?workbook=12_04.xlsx&amp;sheet=U0&amp;row=1547&amp;col=7&amp;number=0.000124&amp;sourceID=14","0.000124")</f>
        <v>0.000124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HYPERLINK("http://141.218.60.56/~jnz1568/getInfo.php?workbook=12_04.xlsx&amp;sheet=U0&amp;row=1548&amp;col=6&amp;number=3.4&amp;sourceID=14","3.4")</f>
        <v>3.4</v>
      </c>
      <c r="G1548" s="4" t="str">
        <f>HYPERLINK("http://141.218.60.56/~jnz1568/getInfo.php?workbook=12_04.xlsx&amp;sheet=U0&amp;row=1548&amp;col=7&amp;number=0.000123&amp;sourceID=14","0.000123")</f>
        <v>0.000123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HYPERLINK("http://141.218.60.56/~jnz1568/getInfo.php?workbook=12_04.xlsx&amp;sheet=U0&amp;row=1549&amp;col=6&amp;number=3.5&amp;sourceID=14","3.5")</f>
        <v>3.5</v>
      </c>
      <c r="G1549" s="4" t="str">
        <f>HYPERLINK("http://141.218.60.56/~jnz1568/getInfo.php?workbook=12_04.xlsx&amp;sheet=U0&amp;row=1549&amp;col=7&amp;number=0.000123&amp;sourceID=14","0.000123")</f>
        <v>0.000123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HYPERLINK("http://141.218.60.56/~jnz1568/getInfo.php?workbook=12_04.xlsx&amp;sheet=U0&amp;row=1550&amp;col=6&amp;number=3.6&amp;sourceID=14","3.6")</f>
        <v>3.6</v>
      </c>
      <c r="G1550" s="4" t="str">
        <f>HYPERLINK("http://141.218.60.56/~jnz1568/getInfo.php?workbook=12_04.xlsx&amp;sheet=U0&amp;row=1550&amp;col=7&amp;number=0.000123&amp;sourceID=14","0.000123")</f>
        <v>0.000123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HYPERLINK("http://141.218.60.56/~jnz1568/getInfo.php?workbook=12_04.xlsx&amp;sheet=U0&amp;row=1551&amp;col=6&amp;number=3.7&amp;sourceID=14","3.7")</f>
        <v>3.7</v>
      </c>
      <c r="G1551" s="4" t="str">
        <f>HYPERLINK("http://141.218.60.56/~jnz1568/getInfo.php?workbook=12_04.xlsx&amp;sheet=U0&amp;row=1551&amp;col=7&amp;number=0.000122&amp;sourceID=14","0.000122")</f>
        <v>0.000122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HYPERLINK("http://141.218.60.56/~jnz1568/getInfo.php?workbook=12_04.xlsx&amp;sheet=U0&amp;row=1552&amp;col=6&amp;number=3.8&amp;sourceID=14","3.8")</f>
        <v>3.8</v>
      </c>
      <c r="G1552" s="4" t="str">
        <f>HYPERLINK("http://141.218.60.56/~jnz1568/getInfo.php?workbook=12_04.xlsx&amp;sheet=U0&amp;row=1552&amp;col=7&amp;number=0.000122&amp;sourceID=14","0.000122")</f>
        <v>0.000122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HYPERLINK("http://141.218.60.56/~jnz1568/getInfo.php?workbook=12_04.xlsx&amp;sheet=U0&amp;row=1553&amp;col=6&amp;number=3.9&amp;sourceID=14","3.9")</f>
        <v>3.9</v>
      </c>
      <c r="G1553" s="4" t="str">
        <f>HYPERLINK("http://141.218.60.56/~jnz1568/getInfo.php?workbook=12_04.xlsx&amp;sheet=U0&amp;row=1553&amp;col=7&amp;number=0.000121&amp;sourceID=14","0.000121")</f>
        <v>0.000121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HYPERLINK("http://141.218.60.56/~jnz1568/getInfo.php?workbook=12_04.xlsx&amp;sheet=U0&amp;row=1554&amp;col=6&amp;number=4&amp;sourceID=14","4")</f>
        <v>4</v>
      </c>
      <c r="G1554" s="4" t="str">
        <f>HYPERLINK("http://141.218.60.56/~jnz1568/getInfo.php?workbook=12_04.xlsx&amp;sheet=U0&amp;row=1554&amp;col=7&amp;number=0.00012&amp;sourceID=14","0.00012")</f>
        <v>0.00012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HYPERLINK("http://141.218.60.56/~jnz1568/getInfo.php?workbook=12_04.xlsx&amp;sheet=U0&amp;row=1555&amp;col=6&amp;number=4.1&amp;sourceID=14","4.1")</f>
        <v>4.1</v>
      </c>
      <c r="G1555" s="4" t="str">
        <f>HYPERLINK("http://141.218.60.56/~jnz1568/getInfo.php?workbook=12_04.xlsx&amp;sheet=U0&amp;row=1555&amp;col=7&amp;number=0.000119&amp;sourceID=14","0.000119")</f>
        <v>0.000119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HYPERLINK("http://141.218.60.56/~jnz1568/getInfo.php?workbook=12_04.xlsx&amp;sheet=U0&amp;row=1556&amp;col=6&amp;number=4.2&amp;sourceID=14","4.2")</f>
        <v>4.2</v>
      </c>
      <c r="G1556" s="4" t="str">
        <f>HYPERLINK("http://141.218.60.56/~jnz1568/getInfo.php?workbook=12_04.xlsx&amp;sheet=U0&amp;row=1556&amp;col=7&amp;number=0.000118&amp;sourceID=14","0.000118")</f>
        <v>0.000118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HYPERLINK("http://141.218.60.56/~jnz1568/getInfo.php?workbook=12_04.xlsx&amp;sheet=U0&amp;row=1557&amp;col=6&amp;number=4.3&amp;sourceID=14","4.3")</f>
        <v>4.3</v>
      </c>
      <c r="G1557" s="4" t="str">
        <f>HYPERLINK("http://141.218.60.56/~jnz1568/getInfo.php?workbook=12_04.xlsx&amp;sheet=U0&amp;row=1557&amp;col=7&amp;number=0.000116&amp;sourceID=14","0.000116")</f>
        <v>0.000116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HYPERLINK("http://141.218.60.56/~jnz1568/getInfo.php?workbook=12_04.xlsx&amp;sheet=U0&amp;row=1558&amp;col=6&amp;number=4.4&amp;sourceID=14","4.4")</f>
        <v>4.4</v>
      </c>
      <c r="G1558" s="4" t="str">
        <f>HYPERLINK("http://141.218.60.56/~jnz1568/getInfo.php?workbook=12_04.xlsx&amp;sheet=U0&amp;row=1558&amp;col=7&amp;number=0.000114&amp;sourceID=14","0.000114")</f>
        <v>0.000114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HYPERLINK("http://141.218.60.56/~jnz1568/getInfo.php?workbook=12_04.xlsx&amp;sheet=U0&amp;row=1559&amp;col=6&amp;number=4.5&amp;sourceID=14","4.5")</f>
        <v>4.5</v>
      </c>
      <c r="G1559" s="4" t="str">
        <f>HYPERLINK("http://141.218.60.56/~jnz1568/getInfo.php?workbook=12_04.xlsx&amp;sheet=U0&amp;row=1559&amp;col=7&amp;number=0.000111&amp;sourceID=14","0.000111")</f>
        <v>0.000111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HYPERLINK("http://141.218.60.56/~jnz1568/getInfo.php?workbook=12_04.xlsx&amp;sheet=U0&amp;row=1560&amp;col=6&amp;number=4.6&amp;sourceID=14","4.6")</f>
        <v>4.6</v>
      </c>
      <c r="G1560" s="4" t="str">
        <f>HYPERLINK("http://141.218.60.56/~jnz1568/getInfo.php?workbook=12_04.xlsx&amp;sheet=U0&amp;row=1560&amp;col=7&amp;number=0.000108&amp;sourceID=14","0.000108")</f>
        <v>0.000108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HYPERLINK("http://141.218.60.56/~jnz1568/getInfo.php?workbook=12_04.xlsx&amp;sheet=U0&amp;row=1561&amp;col=6&amp;number=4.7&amp;sourceID=14","4.7")</f>
        <v>4.7</v>
      </c>
      <c r="G1561" s="4" t="str">
        <f>HYPERLINK("http://141.218.60.56/~jnz1568/getInfo.php?workbook=12_04.xlsx&amp;sheet=U0&amp;row=1561&amp;col=7&amp;number=0.000104&amp;sourceID=14","0.000104")</f>
        <v>0.000104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HYPERLINK("http://141.218.60.56/~jnz1568/getInfo.php?workbook=12_04.xlsx&amp;sheet=U0&amp;row=1562&amp;col=6&amp;number=4.8&amp;sourceID=14","4.8")</f>
        <v>4.8</v>
      </c>
      <c r="G1562" s="4" t="str">
        <f>HYPERLINK("http://141.218.60.56/~jnz1568/getInfo.php?workbook=12_04.xlsx&amp;sheet=U0&amp;row=1562&amp;col=7&amp;number=9.94e-05&amp;sourceID=14","9.94e-05")</f>
        <v>9.94e-05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HYPERLINK("http://141.218.60.56/~jnz1568/getInfo.php?workbook=12_04.xlsx&amp;sheet=U0&amp;row=1563&amp;col=6&amp;number=4.9&amp;sourceID=14","4.9")</f>
        <v>4.9</v>
      </c>
      <c r="G1563" s="4" t="str">
        <f>HYPERLINK("http://141.218.60.56/~jnz1568/getInfo.php?workbook=12_04.xlsx&amp;sheet=U0&amp;row=1563&amp;col=7&amp;number=9.41e-05&amp;sourceID=14","9.41e-05")</f>
        <v>9.41e-05</v>
      </c>
    </row>
    <row r="1564" spans="1:7">
      <c r="A1564" s="3">
        <v>12</v>
      </c>
      <c r="B1564" s="3">
        <v>4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HYPERLINK("http://141.218.60.56/~jnz1568/getInfo.php?workbook=12_04.xlsx&amp;sheet=U0&amp;row=1564&amp;col=6&amp;number=3&amp;sourceID=14","3")</f>
        <v>3</v>
      </c>
      <c r="G1564" s="4" t="str">
        <f>HYPERLINK("http://141.218.60.56/~jnz1568/getInfo.php?workbook=12_04.xlsx&amp;sheet=U0&amp;row=1564&amp;col=7&amp;number=6.26e-05&amp;sourceID=14","6.26e-05")</f>
        <v>6.26e-05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HYPERLINK("http://141.218.60.56/~jnz1568/getInfo.php?workbook=12_04.xlsx&amp;sheet=U0&amp;row=1565&amp;col=6&amp;number=3.1&amp;sourceID=14","3.1")</f>
        <v>3.1</v>
      </c>
      <c r="G1565" s="4" t="str">
        <f>HYPERLINK("http://141.218.60.56/~jnz1568/getInfo.php?workbook=12_04.xlsx&amp;sheet=U0&amp;row=1565&amp;col=7&amp;number=6.26e-05&amp;sourceID=14","6.26e-05")</f>
        <v>6.26e-05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HYPERLINK("http://141.218.60.56/~jnz1568/getInfo.php?workbook=12_04.xlsx&amp;sheet=U0&amp;row=1566&amp;col=6&amp;number=3.2&amp;sourceID=14","3.2")</f>
        <v>3.2</v>
      </c>
      <c r="G1566" s="4" t="str">
        <f>HYPERLINK("http://141.218.60.56/~jnz1568/getInfo.php?workbook=12_04.xlsx&amp;sheet=U0&amp;row=1566&amp;col=7&amp;number=6.25e-05&amp;sourceID=14","6.25e-05")</f>
        <v>6.25e-05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HYPERLINK("http://141.218.60.56/~jnz1568/getInfo.php?workbook=12_04.xlsx&amp;sheet=U0&amp;row=1567&amp;col=6&amp;number=3.3&amp;sourceID=14","3.3")</f>
        <v>3.3</v>
      </c>
      <c r="G1567" s="4" t="str">
        <f>HYPERLINK("http://141.218.60.56/~jnz1568/getInfo.php?workbook=12_04.xlsx&amp;sheet=U0&amp;row=1567&amp;col=7&amp;number=6.24e-05&amp;sourceID=14","6.24e-05")</f>
        <v>6.24e-05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HYPERLINK("http://141.218.60.56/~jnz1568/getInfo.php?workbook=12_04.xlsx&amp;sheet=U0&amp;row=1568&amp;col=6&amp;number=3.4&amp;sourceID=14","3.4")</f>
        <v>3.4</v>
      </c>
      <c r="G1568" s="4" t="str">
        <f>HYPERLINK("http://141.218.60.56/~jnz1568/getInfo.php?workbook=12_04.xlsx&amp;sheet=U0&amp;row=1568&amp;col=7&amp;number=6.23e-05&amp;sourceID=14","6.23e-05")</f>
        <v>6.23e-05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HYPERLINK("http://141.218.60.56/~jnz1568/getInfo.php?workbook=12_04.xlsx&amp;sheet=U0&amp;row=1569&amp;col=6&amp;number=3.5&amp;sourceID=14","3.5")</f>
        <v>3.5</v>
      </c>
      <c r="G1569" s="4" t="str">
        <f>HYPERLINK("http://141.218.60.56/~jnz1568/getInfo.php?workbook=12_04.xlsx&amp;sheet=U0&amp;row=1569&amp;col=7&amp;number=6.22e-05&amp;sourceID=14","6.22e-05")</f>
        <v>6.22e-05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HYPERLINK("http://141.218.60.56/~jnz1568/getInfo.php?workbook=12_04.xlsx&amp;sheet=U0&amp;row=1570&amp;col=6&amp;number=3.6&amp;sourceID=14","3.6")</f>
        <v>3.6</v>
      </c>
      <c r="G1570" s="4" t="str">
        <f>HYPERLINK("http://141.218.60.56/~jnz1568/getInfo.php?workbook=12_04.xlsx&amp;sheet=U0&amp;row=1570&amp;col=7&amp;number=6.2e-05&amp;sourceID=14","6.2e-05")</f>
        <v>6.2e-05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HYPERLINK("http://141.218.60.56/~jnz1568/getInfo.php?workbook=12_04.xlsx&amp;sheet=U0&amp;row=1571&amp;col=6&amp;number=3.7&amp;sourceID=14","3.7")</f>
        <v>3.7</v>
      </c>
      <c r="G1571" s="4" t="str">
        <f>HYPERLINK("http://141.218.60.56/~jnz1568/getInfo.php?workbook=12_04.xlsx&amp;sheet=U0&amp;row=1571&amp;col=7&amp;number=6.18e-05&amp;sourceID=14","6.18e-05")</f>
        <v>6.18e-05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HYPERLINK("http://141.218.60.56/~jnz1568/getInfo.php?workbook=12_04.xlsx&amp;sheet=U0&amp;row=1572&amp;col=6&amp;number=3.8&amp;sourceID=14","3.8")</f>
        <v>3.8</v>
      </c>
      <c r="G1572" s="4" t="str">
        <f>HYPERLINK("http://141.218.60.56/~jnz1568/getInfo.php?workbook=12_04.xlsx&amp;sheet=U0&amp;row=1572&amp;col=7&amp;number=6.16e-05&amp;sourceID=14","6.16e-05")</f>
        <v>6.16e-05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HYPERLINK("http://141.218.60.56/~jnz1568/getInfo.php?workbook=12_04.xlsx&amp;sheet=U0&amp;row=1573&amp;col=6&amp;number=3.9&amp;sourceID=14","3.9")</f>
        <v>3.9</v>
      </c>
      <c r="G1573" s="4" t="str">
        <f>HYPERLINK("http://141.218.60.56/~jnz1568/getInfo.php?workbook=12_04.xlsx&amp;sheet=U0&amp;row=1573&amp;col=7&amp;number=6.13e-05&amp;sourceID=14","6.13e-05")</f>
        <v>6.13e-05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HYPERLINK("http://141.218.60.56/~jnz1568/getInfo.php?workbook=12_04.xlsx&amp;sheet=U0&amp;row=1574&amp;col=6&amp;number=4&amp;sourceID=14","4")</f>
        <v>4</v>
      </c>
      <c r="G1574" s="4" t="str">
        <f>HYPERLINK("http://141.218.60.56/~jnz1568/getInfo.php?workbook=12_04.xlsx&amp;sheet=U0&amp;row=1574&amp;col=7&amp;number=6.09e-05&amp;sourceID=14","6.09e-05")</f>
        <v>6.09e-05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HYPERLINK("http://141.218.60.56/~jnz1568/getInfo.php?workbook=12_04.xlsx&amp;sheet=U0&amp;row=1575&amp;col=6&amp;number=4.1&amp;sourceID=14","4.1")</f>
        <v>4.1</v>
      </c>
      <c r="G1575" s="4" t="str">
        <f>HYPERLINK("http://141.218.60.56/~jnz1568/getInfo.php?workbook=12_04.xlsx&amp;sheet=U0&amp;row=1575&amp;col=7&amp;number=6.04e-05&amp;sourceID=14","6.04e-05")</f>
        <v>6.04e-05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HYPERLINK("http://141.218.60.56/~jnz1568/getInfo.php?workbook=12_04.xlsx&amp;sheet=U0&amp;row=1576&amp;col=6&amp;number=4.2&amp;sourceID=14","4.2")</f>
        <v>4.2</v>
      </c>
      <c r="G1576" s="4" t="str">
        <f>HYPERLINK("http://141.218.60.56/~jnz1568/getInfo.php?workbook=12_04.xlsx&amp;sheet=U0&amp;row=1576&amp;col=7&amp;number=5.97e-05&amp;sourceID=14","5.97e-05")</f>
        <v>5.97e-05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HYPERLINK("http://141.218.60.56/~jnz1568/getInfo.php?workbook=12_04.xlsx&amp;sheet=U0&amp;row=1577&amp;col=6&amp;number=4.3&amp;sourceID=14","4.3")</f>
        <v>4.3</v>
      </c>
      <c r="G1577" s="4" t="str">
        <f>HYPERLINK("http://141.218.60.56/~jnz1568/getInfo.php?workbook=12_04.xlsx&amp;sheet=U0&amp;row=1577&amp;col=7&amp;number=5.9e-05&amp;sourceID=14","5.9e-05")</f>
        <v>5.9e-05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HYPERLINK("http://141.218.60.56/~jnz1568/getInfo.php?workbook=12_04.xlsx&amp;sheet=U0&amp;row=1578&amp;col=6&amp;number=4.4&amp;sourceID=14","4.4")</f>
        <v>4.4</v>
      </c>
      <c r="G1578" s="4" t="str">
        <f>HYPERLINK("http://141.218.60.56/~jnz1568/getInfo.php?workbook=12_04.xlsx&amp;sheet=U0&amp;row=1578&amp;col=7&amp;number=5.8e-05&amp;sourceID=14","5.8e-05")</f>
        <v>5.8e-05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HYPERLINK("http://141.218.60.56/~jnz1568/getInfo.php?workbook=12_04.xlsx&amp;sheet=U0&amp;row=1579&amp;col=6&amp;number=4.5&amp;sourceID=14","4.5")</f>
        <v>4.5</v>
      </c>
      <c r="G1579" s="4" t="str">
        <f>HYPERLINK("http://141.218.60.56/~jnz1568/getInfo.php?workbook=12_04.xlsx&amp;sheet=U0&amp;row=1579&amp;col=7&amp;number=5.68e-05&amp;sourceID=14","5.68e-05")</f>
        <v>5.68e-05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HYPERLINK("http://141.218.60.56/~jnz1568/getInfo.php?workbook=12_04.xlsx&amp;sheet=U0&amp;row=1580&amp;col=6&amp;number=4.6&amp;sourceID=14","4.6")</f>
        <v>4.6</v>
      </c>
      <c r="G1580" s="4" t="str">
        <f>HYPERLINK("http://141.218.60.56/~jnz1568/getInfo.php?workbook=12_04.xlsx&amp;sheet=U0&amp;row=1580&amp;col=7&amp;number=5.53e-05&amp;sourceID=14","5.53e-05")</f>
        <v>5.53e-05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HYPERLINK("http://141.218.60.56/~jnz1568/getInfo.php?workbook=12_04.xlsx&amp;sheet=U0&amp;row=1581&amp;col=6&amp;number=4.7&amp;sourceID=14","4.7")</f>
        <v>4.7</v>
      </c>
      <c r="G1581" s="4" t="str">
        <f>HYPERLINK("http://141.218.60.56/~jnz1568/getInfo.php?workbook=12_04.xlsx&amp;sheet=U0&amp;row=1581&amp;col=7&amp;number=5.35e-05&amp;sourceID=14","5.35e-05")</f>
        <v>5.35e-05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HYPERLINK("http://141.218.60.56/~jnz1568/getInfo.php?workbook=12_04.xlsx&amp;sheet=U0&amp;row=1582&amp;col=6&amp;number=4.8&amp;sourceID=14","4.8")</f>
        <v>4.8</v>
      </c>
      <c r="G1582" s="4" t="str">
        <f>HYPERLINK("http://141.218.60.56/~jnz1568/getInfo.php?workbook=12_04.xlsx&amp;sheet=U0&amp;row=1582&amp;col=7&amp;number=5.13e-05&amp;sourceID=14","5.13e-05")</f>
        <v>5.13e-05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HYPERLINK("http://141.218.60.56/~jnz1568/getInfo.php?workbook=12_04.xlsx&amp;sheet=U0&amp;row=1583&amp;col=6&amp;number=4.9&amp;sourceID=14","4.9")</f>
        <v>4.9</v>
      </c>
      <c r="G1583" s="4" t="str">
        <f>HYPERLINK("http://141.218.60.56/~jnz1568/getInfo.php?workbook=12_04.xlsx&amp;sheet=U0&amp;row=1583&amp;col=7&amp;number=4.87e-05&amp;sourceID=14","4.87e-05")</f>
        <v>4.87e-05</v>
      </c>
    </row>
    <row r="1584" spans="1:7">
      <c r="A1584" s="3">
        <v>12</v>
      </c>
      <c r="B1584" s="3">
        <v>4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HYPERLINK("http://141.218.60.56/~jnz1568/getInfo.php?workbook=12_04.xlsx&amp;sheet=U0&amp;row=1584&amp;col=6&amp;number=3&amp;sourceID=14","3")</f>
        <v>3</v>
      </c>
      <c r="G1584" s="4" t="str">
        <f>HYPERLINK("http://141.218.60.56/~jnz1568/getInfo.php?workbook=12_04.xlsx&amp;sheet=U0&amp;row=1584&amp;col=7&amp;number=0.000115&amp;sourceID=14","0.000115")</f>
        <v>0.000115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HYPERLINK("http://141.218.60.56/~jnz1568/getInfo.php?workbook=12_04.xlsx&amp;sheet=U0&amp;row=1585&amp;col=6&amp;number=3.1&amp;sourceID=14","3.1")</f>
        <v>3.1</v>
      </c>
      <c r="G1585" s="4" t="str">
        <f>HYPERLINK("http://141.218.60.56/~jnz1568/getInfo.php?workbook=12_04.xlsx&amp;sheet=U0&amp;row=1585&amp;col=7&amp;number=0.000115&amp;sourceID=14","0.000115")</f>
        <v>0.000115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HYPERLINK("http://141.218.60.56/~jnz1568/getInfo.php?workbook=12_04.xlsx&amp;sheet=U0&amp;row=1586&amp;col=6&amp;number=3.2&amp;sourceID=14","3.2")</f>
        <v>3.2</v>
      </c>
      <c r="G1586" s="4" t="str">
        <f>HYPERLINK("http://141.218.60.56/~jnz1568/getInfo.php?workbook=12_04.xlsx&amp;sheet=U0&amp;row=1586&amp;col=7&amp;number=0.000115&amp;sourceID=14","0.000115")</f>
        <v>0.000115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HYPERLINK("http://141.218.60.56/~jnz1568/getInfo.php?workbook=12_04.xlsx&amp;sheet=U0&amp;row=1587&amp;col=6&amp;number=3.3&amp;sourceID=14","3.3")</f>
        <v>3.3</v>
      </c>
      <c r="G1587" s="4" t="str">
        <f>HYPERLINK("http://141.218.60.56/~jnz1568/getInfo.php?workbook=12_04.xlsx&amp;sheet=U0&amp;row=1587&amp;col=7&amp;number=0.000115&amp;sourceID=14","0.000115")</f>
        <v>0.000115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HYPERLINK("http://141.218.60.56/~jnz1568/getInfo.php?workbook=12_04.xlsx&amp;sheet=U0&amp;row=1588&amp;col=6&amp;number=3.4&amp;sourceID=14","3.4")</f>
        <v>3.4</v>
      </c>
      <c r="G1588" s="4" t="str">
        <f>HYPERLINK("http://141.218.60.56/~jnz1568/getInfo.php?workbook=12_04.xlsx&amp;sheet=U0&amp;row=1588&amp;col=7&amp;number=0.000114&amp;sourceID=14","0.000114")</f>
        <v>0.000114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HYPERLINK("http://141.218.60.56/~jnz1568/getInfo.php?workbook=12_04.xlsx&amp;sheet=U0&amp;row=1589&amp;col=6&amp;number=3.5&amp;sourceID=14","3.5")</f>
        <v>3.5</v>
      </c>
      <c r="G1589" s="4" t="str">
        <f>HYPERLINK("http://141.218.60.56/~jnz1568/getInfo.php?workbook=12_04.xlsx&amp;sheet=U0&amp;row=1589&amp;col=7&amp;number=0.000114&amp;sourceID=14","0.000114")</f>
        <v>0.000114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HYPERLINK("http://141.218.60.56/~jnz1568/getInfo.php?workbook=12_04.xlsx&amp;sheet=U0&amp;row=1590&amp;col=6&amp;number=3.6&amp;sourceID=14","3.6")</f>
        <v>3.6</v>
      </c>
      <c r="G1590" s="4" t="str">
        <f>HYPERLINK("http://141.218.60.56/~jnz1568/getInfo.php?workbook=12_04.xlsx&amp;sheet=U0&amp;row=1590&amp;col=7&amp;number=0.000114&amp;sourceID=14","0.000114")</f>
        <v>0.000114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HYPERLINK("http://141.218.60.56/~jnz1568/getInfo.php?workbook=12_04.xlsx&amp;sheet=U0&amp;row=1591&amp;col=6&amp;number=3.7&amp;sourceID=14","3.7")</f>
        <v>3.7</v>
      </c>
      <c r="G1591" s="4" t="str">
        <f>HYPERLINK("http://141.218.60.56/~jnz1568/getInfo.php?workbook=12_04.xlsx&amp;sheet=U0&amp;row=1591&amp;col=7&amp;number=0.000113&amp;sourceID=14","0.000113")</f>
        <v>0.000113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HYPERLINK("http://141.218.60.56/~jnz1568/getInfo.php?workbook=12_04.xlsx&amp;sheet=U0&amp;row=1592&amp;col=6&amp;number=3.8&amp;sourceID=14","3.8")</f>
        <v>3.8</v>
      </c>
      <c r="G1592" s="4" t="str">
        <f>HYPERLINK("http://141.218.60.56/~jnz1568/getInfo.php?workbook=12_04.xlsx&amp;sheet=U0&amp;row=1592&amp;col=7&amp;number=0.000113&amp;sourceID=14","0.000113")</f>
        <v>0.000113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HYPERLINK("http://141.218.60.56/~jnz1568/getInfo.php?workbook=12_04.xlsx&amp;sheet=U0&amp;row=1593&amp;col=6&amp;number=3.9&amp;sourceID=14","3.9")</f>
        <v>3.9</v>
      </c>
      <c r="G1593" s="4" t="str">
        <f>HYPERLINK("http://141.218.60.56/~jnz1568/getInfo.php?workbook=12_04.xlsx&amp;sheet=U0&amp;row=1593&amp;col=7&amp;number=0.000112&amp;sourceID=14","0.000112")</f>
        <v>0.000112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HYPERLINK("http://141.218.60.56/~jnz1568/getInfo.php?workbook=12_04.xlsx&amp;sheet=U0&amp;row=1594&amp;col=6&amp;number=4&amp;sourceID=14","4")</f>
        <v>4</v>
      </c>
      <c r="G1594" s="4" t="str">
        <f>HYPERLINK("http://141.218.60.56/~jnz1568/getInfo.php?workbook=12_04.xlsx&amp;sheet=U0&amp;row=1594&amp;col=7&amp;number=0.000111&amp;sourceID=14","0.000111")</f>
        <v>0.000111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HYPERLINK("http://141.218.60.56/~jnz1568/getInfo.php?workbook=12_04.xlsx&amp;sheet=U0&amp;row=1595&amp;col=6&amp;number=4.1&amp;sourceID=14","4.1")</f>
        <v>4.1</v>
      </c>
      <c r="G1595" s="4" t="str">
        <f>HYPERLINK("http://141.218.60.56/~jnz1568/getInfo.php?workbook=12_04.xlsx&amp;sheet=U0&amp;row=1595&amp;col=7&amp;number=0.000109&amp;sourceID=14","0.000109")</f>
        <v>0.000109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HYPERLINK("http://141.218.60.56/~jnz1568/getInfo.php?workbook=12_04.xlsx&amp;sheet=U0&amp;row=1596&amp;col=6&amp;number=4.2&amp;sourceID=14","4.2")</f>
        <v>4.2</v>
      </c>
      <c r="G1596" s="4" t="str">
        <f>HYPERLINK("http://141.218.60.56/~jnz1568/getInfo.php?workbook=12_04.xlsx&amp;sheet=U0&amp;row=1596&amp;col=7&amp;number=0.000108&amp;sourceID=14","0.000108")</f>
        <v>0.000108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HYPERLINK("http://141.218.60.56/~jnz1568/getInfo.php?workbook=12_04.xlsx&amp;sheet=U0&amp;row=1597&amp;col=6&amp;number=4.3&amp;sourceID=14","4.3")</f>
        <v>4.3</v>
      </c>
      <c r="G1597" s="4" t="str">
        <f>HYPERLINK("http://141.218.60.56/~jnz1568/getInfo.php?workbook=12_04.xlsx&amp;sheet=U0&amp;row=1597&amp;col=7&amp;number=0.000106&amp;sourceID=14","0.000106")</f>
        <v>0.000106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HYPERLINK("http://141.218.60.56/~jnz1568/getInfo.php?workbook=12_04.xlsx&amp;sheet=U0&amp;row=1598&amp;col=6&amp;number=4.4&amp;sourceID=14","4.4")</f>
        <v>4.4</v>
      </c>
      <c r="G1598" s="4" t="str">
        <f>HYPERLINK("http://141.218.60.56/~jnz1568/getInfo.php?workbook=12_04.xlsx&amp;sheet=U0&amp;row=1598&amp;col=7&amp;number=0.000103&amp;sourceID=14","0.000103")</f>
        <v>0.000103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HYPERLINK("http://141.218.60.56/~jnz1568/getInfo.php?workbook=12_04.xlsx&amp;sheet=U0&amp;row=1599&amp;col=6&amp;number=4.5&amp;sourceID=14","4.5")</f>
        <v>4.5</v>
      </c>
      <c r="G1599" s="4" t="str">
        <f>HYPERLINK("http://141.218.60.56/~jnz1568/getInfo.php?workbook=12_04.xlsx&amp;sheet=U0&amp;row=1599&amp;col=7&amp;number=0.0001&amp;sourceID=14","0.0001")</f>
        <v>0.0001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HYPERLINK("http://141.218.60.56/~jnz1568/getInfo.php?workbook=12_04.xlsx&amp;sheet=U0&amp;row=1600&amp;col=6&amp;number=4.6&amp;sourceID=14","4.6")</f>
        <v>4.6</v>
      </c>
      <c r="G1600" s="4" t="str">
        <f>HYPERLINK("http://141.218.60.56/~jnz1568/getInfo.php?workbook=12_04.xlsx&amp;sheet=U0&amp;row=1600&amp;col=7&amp;number=9.62e-05&amp;sourceID=14","9.62e-05")</f>
        <v>9.62e-05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HYPERLINK("http://141.218.60.56/~jnz1568/getInfo.php?workbook=12_04.xlsx&amp;sheet=U0&amp;row=1601&amp;col=6&amp;number=4.7&amp;sourceID=14","4.7")</f>
        <v>4.7</v>
      </c>
      <c r="G1601" s="4" t="str">
        <f>HYPERLINK("http://141.218.60.56/~jnz1568/getInfo.php?workbook=12_04.xlsx&amp;sheet=U0&amp;row=1601&amp;col=7&amp;number=9.16e-05&amp;sourceID=14","9.16e-05")</f>
        <v>9.16e-05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HYPERLINK("http://141.218.60.56/~jnz1568/getInfo.php?workbook=12_04.xlsx&amp;sheet=U0&amp;row=1602&amp;col=6&amp;number=4.8&amp;sourceID=14","4.8")</f>
        <v>4.8</v>
      </c>
      <c r="G1602" s="4" t="str">
        <f>HYPERLINK("http://141.218.60.56/~jnz1568/getInfo.php?workbook=12_04.xlsx&amp;sheet=U0&amp;row=1602&amp;col=7&amp;number=8.62e-05&amp;sourceID=14","8.62e-05")</f>
        <v>8.62e-05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HYPERLINK("http://141.218.60.56/~jnz1568/getInfo.php?workbook=12_04.xlsx&amp;sheet=U0&amp;row=1603&amp;col=6&amp;number=4.9&amp;sourceID=14","4.9")</f>
        <v>4.9</v>
      </c>
      <c r="G1603" s="4" t="str">
        <f>HYPERLINK("http://141.218.60.56/~jnz1568/getInfo.php?workbook=12_04.xlsx&amp;sheet=U0&amp;row=1603&amp;col=7&amp;number=8.01e-05&amp;sourceID=14","8.01e-05")</f>
        <v>8.01e-05</v>
      </c>
    </row>
    <row r="1604" spans="1:7">
      <c r="A1604" s="3">
        <v>12</v>
      </c>
      <c r="B1604" s="3">
        <v>4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HYPERLINK("http://141.218.60.56/~jnz1568/getInfo.php?workbook=12_04.xlsx&amp;sheet=U0&amp;row=1604&amp;col=6&amp;number=3&amp;sourceID=14","3")</f>
        <v>3</v>
      </c>
      <c r="G1604" s="4" t="str">
        <f>HYPERLINK("http://141.218.60.56/~jnz1568/getInfo.php?workbook=12_04.xlsx&amp;sheet=U0&amp;row=1604&amp;col=7&amp;number=2.61e-05&amp;sourceID=14","2.61e-05")</f>
        <v>2.61e-05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HYPERLINK("http://141.218.60.56/~jnz1568/getInfo.php?workbook=12_04.xlsx&amp;sheet=U0&amp;row=1605&amp;col=6&amp;number=3.1&amp;sourceID=14","3.1")</f>
        <v>3.1</v>
      </c>
      <c r="G1605" s="4" t="str">
        <f>HYPERLINK("http://141.218.60.56/~jnz1568/getInfo.php?workbook=12_04.xlsx&amp;sheet=U0&amp;row=1605&amp;col=7&amp;number=2.6e-05&amp;sourceID=14","2.6e-05")</f>
        <v>2.6e-05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HYPERLINK("http://141.218.60.56/~jnz1568/getInfo.php?workbook=12_04.xlsx&amp;sheet=U0&amp;row=1606&amp;col=6&amp;number=3.2&amp;sourceID=14","3.2")</f>
        <v>3.2</v>
      </c>
      <c r="G1606" s="4" t="str">
        <f>HYPERLINK("http://141.218.60.56/~jnz1568/getInfo.php?workbook=12_04.xlsx&amp;sheet=U0&amp;row=1606&amp;col=7&amp;number=2.6e-05&amp;sourceID=14","2.6e-05")</f>
        <v>2.6e-05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HYPERLINK("http://141.218.60.56/~jnz1568/getInfo.php?workbook=12_04.xlsx&amp;sheet=U0&amp;row=1607&amp;col=6&amp;number=3.3&amp;sourceID=14","3.3")</f>
        <v>3.3</v>
      </c>
      <c r="G1607" s="4" t="str">
        <f>HYPERLINK("http://141.218.60.56/~jnz1568/getInfo.php?workbook=12_04.xlsx&amp;sheet=U0&amp;row=1607&amp;col=7&amp;number=2.59e-05&amp;sourceID=14","2.59e-05")</f>
        <v>2.59e-05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HYPERLINK("http://141.218.60.56/~jnz1568/getInfo.php?workbook=12_04.xlsx&amp;sheet=U0&amp;row=1608&amp;col=6&amp;number=3.4&amp;sourceID=14","3.4")</f>
        <v>3.4</v>
      </c>
      <c r="G1608" s="4" t="str">
        <f>HYPERLINK("http://141.218.60.56/~jnz1568/getInfo.php?workbook=12_04.xlsx&amp;sheet=U0&amp;row=1608&amp;col=7&amp;number=2.58e-05&amp;sourceID=14","2.58e-05")</f>
        <v>2.58e-05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HYPERLINK("http://141.218.60.56/~jnz1568/getInfo.php?workbook=12_04.xlsx&amp;sheet=U0&amp;row=1609&amp;col=6&amp;number=3.5&amp;sourceID=14","3.5")</f>
        <v>3.5</v>
      </c>
      <c r="G1609" s="4" t="str">
        <f>HYPERLINK("http://141.218.60.56/~jnz1568/getInfo.php?workbook=12_04.xlsx&amp;sheet=U0&amp;row=1609&amp;col=7&amp;number=2.57e-05&amp;sourceID=14","2.57e-05")</f>
        <v>2.57e-05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HYPERLINK("http://141.218.60.56/~jnz1568/getInfo.php?workbook=12_04.xlsx&amp;sheet=U0&amp;row=1610&amp;col=6&amp;number=3.6&amp;sourceID=14","3.6")</f>
        <v>3.6</v>
      </c>
      <c r="G1610" s="4" t="str">
        <f>HYPERLINK("http://141.218.60.56/~jnz1568/getInfo.php?workbook=12_04.xlsx&amp;sheet=U0&amp;row=1610&amp;col=7&amp;number=2.56e-05&amp;sourceID=14","2.56e-05")</f>
        <v>2.56e-05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HYPERLINK("http://141.218.60.56/~jnz1568/getInfo.php?workbook=12_04.xlsx&amp;sheet=U0&amp;row=1611&amp;col=6&amp;number=3.7&amp;sourceID=14","3.7")</f>
        <v>3.7</v>
      </c>
      <c r="G1611" s="4" t="str">
        <f>HYPERLINK("http://141.218.60.56/~jnz1568/getInfo.php?workbook=12_04.xlsx&amp;sheet=U0&amp;row=1611&amp;col=7&amp;number=2.54e-05&amp;sourceID=14","2.54e-05")</f>
        <v>2.54e-05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HYPERLINK("http://141.218.60.56/~jnz1568/getInfo.php?workbook=12_04.xlsx&amp;sheet=U0&amp;row=1612&amp;col=6&amp;number=3.8&amp;sourceID=14","3.8")</f>
        <v>3.8</v>
      </c>
      <c r="G1612" s="4" t="str">
        <f>HYPERLINK("http://141.218.60.56/~jnz1568/getInfo.php?workbook=12_04.xlsx&amp;sheet=U0&amp;row=1612&amp;col=7&amp;number=2.52e-05&amp;sourceID=14","2.52e-05")</f>
        <v>2.52e-05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HYPERLINK("http://141.218.60.56/~jnz1568/getInfo.php?workbook=12_04.xlsx&amp;sheet=U0&amp;row=1613&amp;col=6&amp;number=3.9&amp;sourceID=14","3.9")</f>
        <v>3.9</v>
      </c>
      <c r="G1613" s="4" t="str">
        <f>HYPERLINK("http://141.218.60.56/~jnz1568/getInfo.php?workbook=12_04.xlsx&amp;sheet=U0&amp;row=1613&amp;col=7&amp;number=2.49e-05&amp;sourceID=14","2.49e-05")</f>
        <v>2.49e-05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HYPERLINK("http://141.218.60.56/~jnz1568/getInfo.php?workbook=12_04.xlsx&amp;sheet=U0&amp;row=1614&amp;col=6&amp;number=4&amp;sourceID=14","4")</f>
        <v>4</v>
      </c>
      <c r="G1614" s="4" t="str">
        <f>HYPERLINK("http://141.218.60.56/~jnz1568/getInfo.php?workbook=12_04.xlsx&amp;sheet=U0&amp;row=1614&amp;col=7&amp;number=2.46e-05&amp;sourceID=14","2.46e-05")</f>
        <v>2.46e-05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HYPERLINK("http://141.218.60.56/~jnz1568/getInfo.php?workbook=12_04.xlsx&amp;sheet=U0&amp;row=1615&amp;col=6&amp;number=4.1&amp;sourceID=14","4.1")</f>
        <v>4.1</v>
      </c>
      <c r="G1615" s="4" t="str">
        <f>HYPERLINK("http://141.218.60.56/~jnz1568/getInfo.php?workbook=12_04.xlsx&amp;sheet=U0&amp;row=1615&amp;col=7&amp;number=2.42e-05&amp;sourceID=14","2.42e-05")</f>
        <v>2.42e-05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HYPERLINK("http://141.218.60.56/~jnz1568/getInfo.php?workbook=12_04.xlsx&amp;sheet=U0&amp;row=1616&amp;col=6&amp;number=4.2&amp;sourceID=14","4.2")</f>
        <v>4.2</v>
      </c>
      <c r="G1616" s="4" t="str">
        <f>HYPERLINK("http://141.218.60.56/~jnz1568/getInfo.php?workbook=12_04.xlsx&amp;sheet=U0&amp;row=1616&amp;col=7&amp;number=2.36e-05&amp;sourceID=14","2.36e-05")</f>
        <v>2.36e-05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HYPERLINK("http://141.218.60.56/~jnz1568/getInfo.php?workbook=12_04.xlsx&amp;sheet=U0&amp;row=1617&amp;col=6&amp;number=4.3&amp;sourceID=14","4.3")</f>
        <v>4.3</v>
      </c>
      <c r="G1617" s="4" t="str">
        <f>HYPERLINK("http://141.218.60.56/~jnz1568/getInfo.php?workbook=12_04.xlsx&amp;sheet=U0&amp;row=1617&amp;col=7&amp;number=2.3e-05&amp;sourceID=14","2.3e-05")</f>
        <v>2.3e-05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HYPERLINK("http://141.218.60.56/~jnz1568/getInfo.php?workbook=12_04.xlsx&amp;sheet=U0&amp;row=1618&amp;col=6&amp;number=4.4&amp;sourceID=14","4.4")</f>
        <v>4.4</v>
      </c>
      <c r="G1618" s="4" t="str">
        <f>HYPERLINK("http://141.218.60.56/~jnz1568/getInfo.php?workbook=12_04.xlsx&amp;sheet=U0&amp;row=1618&amp;col=7&amp;number=2.22e-05&amp;sourceID=14","2.22e-05")</f>
        <v>2.22e-05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HYPERLINK("http://141.218.60.56/~jnz1568/getInfo.php?workbook=12_04.xlsx&amp;sheet=U0&amp;row=1619&amp;col=6&amp;number=4.5&amp;sourceID=14","4.5")</f>
        <v>4.5</v>
      </c>
      <c r="G1619" s="4" t="str">
        <f>HYPERLINK("http://141.218.60.56/~jnz1568/getInfo.php?workbook=12_04.xlsx&amp;sheet=U0&amp;row=1619&amp;col=7&amp;number=2.12e-05&amp;sourceID=14","2.12e-05")</f>
        <v>2.12e-05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HYPERLINK("http://141.218.60.56/~jnz1568/getInfo.php?workbook=12_04.xlsx&amp;sheet=U0&amp;row=1620&amp;col=6&amp;number=4.6&amp;sourceID=14","4.6")</f>
        <v>4.6</v>
      </c>
      <c r="G1620" s="4" t="str">
        <f>HYPERLINK("http://141.218.60.56/~jnz1568/getInfo.php?workbook=12_04.xlsx&amp;sheet=U0&amp;row=1620&amp;col=7&amp;number=2.01e-05&amp;sourceID=14","2.01e-05")</f>
        <v>2.01e-05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HYPERLINK("http://141.218.60.56/~jnz1568/getInfo.php?workbook=12_04.xlsx&amp;sheet=U0&amp;row=1621&amp;col=6&amp;number=4.7&amp;sourceID=14","4.7")</f>
        <v>4.7</v>
      </c>
      <c r="G1621" s="4" t="str">
        <f>HYPERLINK("http://141.218.60.56/~jnz1568/getInfo.php?workbook=12_04.xlsx&amp;sheet=U0&amp;row=1621&amp;col=7&amp;number=1.88e-05&amp;sourceID=14","1.88e-05")</f>
        <v>1.88e-05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HYPERLINK("http://141.218.60.56/~jnz1568/getInfo.php?workbook=12_04.xlsx&amp;sheet=U0&amp;row=1622&amp;col=6&amp;number=4.8&amp;sourceID=14","4.8")</f>
        <v>4.8</v>
      </c>
      <c r="G1622" s="4" t="str">
        <f>HYPERLINK("http://141.218.60.56/~jnz1568/getInfo.php?workbook=12_04.xlsx&amp;sheet=U0&amp;row=1622&amp;col=7&amp;number=1.73e-05&amp;sourceID=14","1.73e-05")</f>
        <v>1.73e-05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HYPERLINK("http://141.218.60.56/~jnz1568/getInfo.php?workbook=12_04.xlsx&amp;sheet=U0&amp;row=1623&amp;col=6&amp;number=4.9&amp;sourceID=14","4.9")</f>
        <v>4.9</v>
      </c>
      <c r="G1623" s="4" t="str">
        <f>HYPERLINK("http://141.218.60.56/~jnz1568/getInfo.php?workbook=12_04.xlsx&amp;sheet=U0&amp;row=1623&amp;col=7&amp;number=1.57e-05&amp;sourceID=14","1.57e-05")</f>
        <v>1.57e-05</v>
      </c>
    </row>
    <row r="1624" spans="1:7">
      <c r="A1624" s="3">
        <v>12</v>
      </c>
      <c r="B1624" s="3">
        <v>4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HYPERLINK("http://141.218.60.56/~jnz1568/getInfo.php?workbook=12_04.xlsx&amp;sheet=U0&amp;row=1624&amp;col=6&amp;number=3&amp;sourceID=14","3")</f>
        <v>3</v>
      </c>
      <c r="G1624" s="4" t="str">
        <f>HYPERLINK("http://141.218.60.56/~jnz1568/getInfo.php?workbook=12_04.xlsx&amp;sheet=U0&amp;row=1624&amp;col=7&amp;number=3.27e-05&amp;sourceID=14","3.27e-05")</f>
        <v>3.27e-05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HYPERLINK("http://141.218.60.56/~jnz1568/getInfo.php?workbook=12_04.xlsx&amp;sheet=U0&amp;row=1625&amp;col=6&amp;number=3.1&amp;sourceID=14","3.1")</f>
        <v>3.1</v>
      </c>
      <c r="G1625" s="4" t="str">
        <f>HYPERLINK("http://141.218.60.56/~jnz1568/getInfo.php?workbook=12_04.xlsx&amp;sheet=U0&amp;row=1625&amp;col=7&amp;number=3.27e-05&amp;sourceID=14","3.27e-05")</f>
        <v>3.27e-05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HYPERLINK("http://141.218.60.56/~jnz1568/getInfo.php?workbook=12_04.xlsx&amp;sheet=U0&amp;row=1626&amp;col=6&amp;number=3.2&amp;sourceID=14","3.2")</f>
        <v>3.2</v>
      </c>
      <c r="G1626" s="4" t="str">
        <f>HYPERLINK("http://141.218.60.56/~jnz1568/getInfo.php?workbook=12_04.xlsx&amp;sheet=U0&amp;row=1626&amp;col=7&amp;number=3.26e-05&amp;sourceID=14","3.26e-05")</f>
        <v>3.26e-05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HYPERLINK("http://141.218.60.56/~jnz1568/getInfo.php?workbook=12_04.xlsx&amp;sheet=U0&amp;row=1627&amp;col=6&amp;number=3.3&amp;sourceID=14","3.3")</f>
        <v>3.3</v>
      </c>
      <c r="G1627" s="4" t="str">
        <f>HYPERLINK("http://141.218.60.56/~jnz1568/getInfo.php?workbook=12_04.xlsx&amp;sheet=U0&amp;row=1627&amp;col=7&amp;number=3.26e-05&amp;sourceID=14","3.26e-05")</f>
        <v>3.26e-05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HYPERLINK("http://141.218.60.56/~jnz1568/getInfo.php?workbook=12_04.xlsx&amp;sheet=U0&amp;row=1628&amp;col=6&amp;number=3.4&amp;sourceID=14","3.4")</f>
        <v>3.4</v>
      </c>
      <c r="G1628" s="4" t="str">
        <f>HYPERLINK("http://141.218.60.56/~jnz1568/getInfo.php?workbook=12_04.xlsx&amp;sheet=U0&amp;row=1628&amp;col=7&amp;number=3.25e-05&amp;sourceID=14","3.25e-05")</f>
        <v>3.25e-05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HYPERLINK("http://141.218.60.56/~jnz1568/getInfo.php?workbook=12_04.xlsx&amp;sheet=U0&amp;row=1629&amp;col=6&amp;number=3.5&amp;sourceID=14","3.5")</f>
        <v>3.5</v>
      </c>
      <c r="G1629" s="4" t="str">
        <f>HYPERLINK("http://141.218.60.56/~jnz1568/getInfo.php?workbook=12_04.xlsx&amp;sheet=U0&amp;row=1629&amp;col=7&amp;number=3.25e-05&amp;sourceID=14","3.25e-05")</f>
        <v>3.25e-05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HYPERLINK("http://141.218.60.56/~jnz1568/getInfo.php?workbook=12_04.xlsx&amp;sheet=U0&amp;row=1630&amp;col=6&amp;number=3.6&amp;sourceID=14","3.6")</f>
        <v>3.6</v>
      </c>
      <c r="G1630" s="4" t="str">
        <f>HYPERLINK("http://141.218.60.56/~jnz1568/getInfo.php?workbook=12_04.xlsx&amp;sheet=U0&amp;row=1630&amp;col=7&amp;number=3.24e-05&amp;sourceID=14","3.24e-05")</f>
        <v>3.24e-05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HYPERLINK("http://141.218.60.56/~jnz1568/getInfo.php?workbook=12_04.xlsx&amp;sheet=U0&amp;row=1631&amp;col=6&amp;number=3.7&amp;sourceID=14","3.7")</f>
        <v>3.7</v>
      </c>
      <c r="G1631" s="4" t="str">
        <f>HYPERLINK("http://141.218.60.56/~jnz1568/getInfo.php?workbook=12_04.xlsx&amp;sheet=U0&amp;row=1631&amp;col=7&amp;number=3.23e-05&amp;sourceID=14","3.23e-05")</f>
        <v>3.23e-05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HYPERLINK("http://141.218.60.56/~jnz1568/getInfo.php?workbook=12_04.xlsx&amp;sheet=U0&amp;row=1632&amp;col=6&amp;number=3.8&amp;sourceID=14","3.8")</f>
        <v>3.8</v>
      </c>
      <c r="G1632" s="4" t="str">
        <f>HYPERLINK("http://141.218.60.56/~jnz1568/getInfo.php?workbook=12_04.xlsx&amp;sheet=U0&amp;row=1632&amp;col=7&amp;number=3.21e-05&amp;sourceID=14","3.21e-05")</f>
        <v>3.21e-05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HYPERLINK("http://141.218.60.56/~jnz1568/getInfo.php?workbook=12_04.xlsx&amp;sheet=U0&amp;row=1633&amp;col=6&amp;number=3.9&amp;sourceID=14","3.9")</f>
        <v>3.9</v>
      </c>
      <c r="G1633" s="4" t="str">
        <f>HYPERLINK("http://141.218.60.56/~jnz1568/getInfo.php?workbook=12_04.xlsx&amp;sheet=U0&amp;row=1633&amp;col=7&amp;number=3.2e-05&amp;sourceID=14","3.2e-05")</f>
        <v>3.2e-05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HYPERLINK("http://141.218.60.56/~jnz1568/getInfo.php?workbook=12_04.xlsx&amp;sheet=U0&amp;row=1634&amp;col=6&amp;number=4&amp;sourceID=14","4")</f>
        <v>4</v>
      </c>
      <c r="G1634" s="4" t="str">
        <f>HYPERLINK("http://141.218.60.56/~jnz1568/getInfo.php?workbook=12_04.xlsx&amp;sheet=U0&amp;row=1634&amp;col=7&amp;number=3.18e-05&amp;sourceID=14","3.18e-05")</f>
        <v>3.18e-05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HYPERLINK("http://141.218.60.56/~jnz1568/getInfo.php?workbook=12_04.xlsx&amp;sheet=U0&amp;row=1635&amp;col=6&amp;number=4.1&amp;sourceID=14","4.1")</f>
        <v>4.1</v>
      </c>
      <c r="G1635" s="4" t="str">
        <f>HYPERLINK("http://141.218.60.56/~jnz1568/getInfo.php?workbook=12_04.xlsx&amp;sheet=U0&amp;row=1635&amp;col=7&amp;number=3.15e-05&amp;sourceID=14","3.15e-05")</f>
        <v>3.15e-05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HYPERLINK("http://141.218.60.56/~jnz1568/getInfo.php?workbook=12_04.xlsx&amp;sheet=U0&amp;row=1636&amp;col=6&amp;number=4.2&amp;sourceID=14","4.2")</f>
        <v>4.2</v>
      </c>
      <c r="G1636" s="4" t="str">
        <f>HYPERLINK("http://141.218.60.56/~jnz1568/getInfo.php?workbook=12_04.xlsx&amp;sheet=U0&amp;row=1636&amp;col=7&amp;number=3.12e-05&amp;sourceID=14","3.12e-05")</f>
        <v>3.12e-05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HYPERLINK("http://141.218.60.56/~jnz1568/getInfo.php?workbook=12_04.xlsx&amp;sheet=U0&amp;row=1637&amp;col=6&amp;number=4.3&amp;sourceID=14","4.3")</f>
        <v>4.3</v>
      </c>
      <c r="G1637" s="4" t="str">
        <f>HYPERLINK("http://141.218.60.56/~jnz1568/getInfo.php?workbook=12_04.xlsx&amp;sheet=U0&amp;row=1637&amp;col=7&amp;number=3.07e-05&amp;sourceID=14","3.07e-05")</f>
        <v>3.07e-05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HYPERLINK("http://141.218.60.56/~jnz1568/getInfo.php?workbook=12_04.xlsx&amp;sheet=U0&amp;row=1638&amp;col=6&amp;number=4.4&amp;sourceID=14","4.4")</f>
        <v>4.4</v>
      </c>
      <c r="G1638" s="4" t="str">
        <f>HYPERLINK("http://141.218.60.56/~jnz1568/getInfo.php?workbook=12_04.xlsx&amp;sheet=U0&amp;row=1638&amp;col=7&amp;number=3.02e-05&amp;sourceID=14","3.02e-05")</f>
        <v>3.02e-05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HYPERLINK("http://141.218.60.56/~jnz1568/getInfo.php?workbook=12_04.xlsx&amp;sheet=U0&amp;row=1639&amp;col=6&amp;number=4.5&amp;sourceID=14","4.5")</f>
        <v>4.5</v>
      </c>
      <c r="G1639" s="4" t="str">
        <f>HYPERLINK("http://141.218.60.56/~jnz1568/getInfo.php?workbook=12_04.xlsx&amp;sheet=U0&amp;row=1639&amp;col=7&amp;number=2.96e-05&amp;sourceID=14","2.96e-05")</f>
        <v>2.96e-05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HYPERLINK("http://141.218.60.56/~jnz1568/getInfo.php?workbook=12_04.xlsx&amp;sheet=U0&amp;row=1640&amp;col=6&amp;number=4.6&amp;sourceID=14","4.6")</f>
        <v>4.6</v>
      </c>
      <c r="G1640" s="4" t="str">
        <f>HYPERLINK("http://141.218.60.56/~jnz1568/getInfo.php?workbook=12_04.xlsx&amp;sheet=U0&amp;row=1640&amp;col=7&amp;number=2.88e-05&amp;sourceID=14","2.88e-05")</f>
        <v>2.88e-05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HYPERLINK("http://141.218.60.56/~jnz1568/getInfo.php?workbook=12_04.xlsx&amp;sheet=U0&amp;row=1641&amp;col=6&amp;number=4.7&amp;sourceID=14","4.7")</f>
        <v>4.7</v>
      </c>
      <c r="G1641" s="4" t="str">
        <f>HYPERLINK("http://141.218.60.56/~jnz1568/getInfo.php?workbook=12_04.xlsx&amp;sheet=U0&amp;row=1641&amp;col=7&amp;number=2.78e-05&amp;sourceID=14","2.78e-05")</f>
        <v>2.78e-05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HYPERLINK("http://141.218.60.56/~jnz1568/getInfo.php?workbook=12_04.xlsx&amp;sheet=U0&amp;row=1642&amp;col=6&amp;number=4.8&amp;sourceID=14","4.8")</f>
        <v>4.8</v>
      </c>
      <c r="G1642" s="4" t="str">
        <f>HYPERLINK("http://141.218.60.56/~jnz1568/getInfo.php?workbook=12_04.xlsx&amp;sheet=U0&amp;row=1642&amp;col=7&amp;number=2.66e-05&amp;sourceID=14","2.66e-05")</f>
        <v>2.66e-05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HYPERLINK("http://141.218.60.56/~jnz1568/getInfo.php?workbook=12_04.xlsx&amp;sheet=U0&amp;row=1643&amp;col=6&amp;number=4.9&amp;sourceID=14","4.9")</f>
        <v>4.9</v>
      </c>
      <c r="G1643" s="4" t="str">
        <f>HYPERLINK("http://141.218.60.56/~jnz1568/getInfo.php?workbook=12_04.xlsx&amp;sheet=U0&amp;row=1643&amp;col=7&amp;number=2.52e-05&amp;sourceID=14","2.52e-05")</f>
        <v>2.52e-05</v>
      </c>
    </row>
    <row r="1644" spans="1:7">
      <c r="A1644" s="3">
        <v>12</v>
      </c>
      <c r="B1644" s="3">
        <v>4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HYPERLINK("http://141.218.60.56/~jnz1568/getInfo.php?workbook=12_04.xlsx&amp;sheet=U0&amp;row=1644&amp;col=6&amp;number=3&amp;sourceID=14","3")</f>
        <v>3</v>
      </c>
      <c r="G1644" s="4" t="str">
        <f>HYPERLINK("http://141.218.60.56/~jnz1568/getInfo.php?workbook=12_04.xlsx&amp;sheet=U0&amp;row=1644&amp;col=7&amp;number=5e-05&amp;sourceID=14","5e-05")</f>
        <v>5e-05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HYPERLINK("http://141.218.60.56/~jnz1568/getInfo.php?workbook=12_04.xlsx&amp;sheet=U0&amp;row=1645&amp;col=6&amp;number=3.1&amp;sourceID=14","3.1")</f>
        <v>3.1</v>
      </c>
      <c r="G1645" s="4" t="str">
        <f>HYPERLINK("http://141.218.60.56/~jnz1568/getInfo.php?workbook=12_04.xlsx&amp;sheet=U0&amp;row=1645&amp;col=7&amp;number=4.99e-05&amp;sourceID=14","4.99e-05")</f>
        <v>4.99e-05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HYPERLINK("http://141.218.60.56/~jnz1568/getInfo.php?workbook=12_04.xlsx&amp;sheet=U0&amp;row=1646&amp;col=6&amp;number=3.2&amp;sourceID=14","3.2")</f>
        <v>3.2</v>
      </c>
      <c r="G1646" s="4" t="str">
        <f>HYPERLINK("http://141.218.60.56/~jnz1568/getInfo.php?workbook=12_04.xlsx&amp;sheet=U0&amp;row=1646&amp;col=7&amp;number=4.99e-05&amp;sourceID=14","4.99e-05")</f>
        <v>4.99e-05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HYPERLINK("http://141.218.60.56/~jnz1568/getInfo.php?workbook=12_04.xlsx&amp;sheet=U0&amp;row=1647&amp;col=6&amp;number=3.3&amp;sourceID=14","3.3")</f>
        <v>3.3</v>
      </c>
      <c r="G1647" s="4" t="str">
        <f>HYPERLINK("http://141.218.60.56/~jnz1568/getInfo.php?workbook=12_04.xlsx&amp;sheet=U0&amp;row=1647&amp;col=7&amp;number=4.97e-05&amp;sourceID=14","4.97e-05")</f>
        <v>4.97e-05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HYPERLINK("http://141.218.60.56/~jnz1568/getInfo.php?workbook=12_04.xlsx&amp;sheet=U0&amp;row=1648&amp;col=6&amp;number=3.4&amp;sourceID=14","3.4")</f>
        <v>3.4</v>
      </c>
      <c r="G1648" s="4" t="str">
        <f>HYPERLINK("http://141.218.60.56/~jnz1568/getInfo.php?workbook=12_04.xlsx&amp;sheet=U0&amp;row=1648&amp;col=7&amp;number=4.96e-05&amp;sourceID=14","4.96e-05")</f>
        <v>4.96e-05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HYPERLINK("http://141.218.60.56/~jnz1568/getInfo.php?workbook=12_04.xlsx&amp;sheet=U0&amp;row=1649&amp;col=6&amp;number=3.5&amp;sourceID=14","3.5")</f>
        <v>3.5</v>
      </c>
      <c r="G1649" s="4" t="str">
        <f>HYPERLINK("http://141.218.60.56/~jnz1568/getInfo.php?workbook=12_04.xlsx&amp;sheet=U0&amp;row=1649&amp;col=7&amp;number=4.94e-05&amp;sourceID=14","4.94e-05")</f>
        <v>4.94e-05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HYPERLINK("http://141.218.60.56/~jnz1568/getInfo.php?workbook=12_04.xlsx&amp;sheet=U0&amp;row=1650&amp;col=6&amp;number=3.6&amp;sourceID=14","3.6")</f>
        <v>3.6</v>
      </c>
      <c r="G1650" s="4" t="str">
        <f>HYPERLINK("http://141.218.60.56/~jnz1568/getInfo.php?workbook=12_04.xlsx&amp;sheet=U0&amp;row=1650&amp;col=7&amp;number=4.92e-05&amp;sourceID=14","4.92e-05")</f>
        <v>4.92e-05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HYPERLINK("http://141.218.60.56/~jnz1568/getInfo.php?workbook=12_04.xlsx&amp;sheet=U0&amp;row=1651&amp;col=6&amp;number=3.7&amp;sourceID=14","3.7")</f>
        <v>3.7</v>
      </c>
      <c r="G1651" s="4" t="str">
        <f>HYPERLINK("http://141.218.60.56/~jnz1568/getInfo.php?workbook=12_04.xlsx&amp;sheet=U0&amp;row=1651&amp;col=7&amp;number=4.89e-05&amp;sourceID=14","4.89e-05")</f>
        <v>4.89e-05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HYPERLINK("http://141.218.60.56/~jnz1568/getInfo.php?workbook=12_04.xlsx&amp;sheet=U0&amp;row=1652&amp;col=6&amp;number=3.8&amp;sourceID=14","3.8")</f>
        <v>3.8</v>
      </c>
      <c r="G1652" s="4" t="str">
        <f>HYPERLINK("http://141.218.60.56/~jnz1568/getInfo.php?workbook=12_04.xlsx&amp;sheet=U0&amp;row=1652&amp;col=7&amp;number=4.85e-05&amp;sourceID=14","4.85e-05")</f>
        <v>4.85e-05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HYPERLINK("http://141.218.60.56/~jnz1568/getInfo.php?workbook=12_04.xlsx&amp;sheet=U0&amp;row=1653&amp;col=6&amp;number=3.9&amp;sourceID=14","3.9")</f>
        <v>3.9</v>
      </c>
      <c r="G1653" s="4" t="str">
        <f>HYPERLINK("http://141.218.60.56/~jnz1568/getInfo.php?workbook=12_04.xlsx&amp;sheet=U0&amp;row=1653&amp;col=7&amp;number=4.81e-05&amp;sourceID=14","4.81e-05")</f>
        <v>4.81e-05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HYPERLINK("http://141.218.60.56/~jnz1568/getInfo.php?workbook=12_04.xlsx&amp;sheet=U0&amp;row=1654&amp;col=6&amp;number=4&amp;sourceID=14","4")</f>
        <v>4</v>
      </c>
      <c r="G1654" s="4" t="str">
        <f>HYPERLINK("http://141.218.60.56/~jnz1568/getInfo.php?workbook=12_04.xlsx&amp;sheet=U0&amp;row=1654&amp;col=7&amp;number=4.75e-05&amp;sourceID=14","4.75e-05")</f>
        <v>4.75e-05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HYPERLINK("http://141.218.60.56/~jnz1568/getInfo.php?workbook=12_04.xlsx&amp;sheet=U0&amp;row=1655&amp;col=6&amp;number=4.1&amp;sourceID=14","4.1")</f>
        <v>4.1</v>
      </c>
      <c r="G1655" s="4" t="str">
        <f>HYPERLINK("http://141.218.60.56/~jnz1568/getInfo.php?workbook=12_04.xlsx&amp;sheet=U0&amp;row=1655&amp;col=7&amp;number=4.68e-05&amp;sourceID=14","4.68e-05")</f>
        <v>4.68e-05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HYPERLINK("http://141.218.60.56/~jnz1568/getInfo.php?workbook=12_04.xlsx&amp;sheet=U0&amp;row=1656&amp;col=6&amp;number=4.2&amp;sourceID=14","4.2")</f>
        <v>4.2</v>
      </c>
      <c r="G1656" s="4" t="str">
        <f>HYPERLINK("http://141.218.60.56/~jnz1568/getInfo.php?workbook=12_04.xlsx&amp;sheet=U0&amp;row=1656&amp;col=7&amp;number=4.59e-05&amp;sourceID=14","4.59e-05")</f>
        <v>4.59e-05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HYPERLINK("http://141.218.60.56/~jnz1568/getInfo.php?workbook=12_04.xlsx&amp;sheet=U0&amp;row=1657&amp;col=6&amp;number=4.3&amp;sourceID=14","4.3")</f>
        <v>4.3</v>
      </c>
      <c r="G1657" s="4" t="str">
        <f>HYPERLINK("http://141.218.60.56/~jnz1568/getInfo.php?workbook=12_04.xlsx&amp;sheet=U0&amp;row=1657&amp;col=7&amp;number=4.48e-05&amp;sourceID=14","4.48e-05")</f>
        <v>4.48e-05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HYPERLINK("http://141.218.60.56/~jnz1568/getInfo.php?workbook=12_04.xlsx&amp;sheet=U0&amp;row=1658&amp;col=6&amp;number=4.4&amp;sourceID=14","4.4")</f>
        <v>4.4</v>
      </c>
      <c r="G1658" s="4" t="str">
        <f>HYPERLINK("http://141.218.60.56/~jnz1568/getInfo.php?workbook=12_04.xlsx&amp;sheet=U0&amp;row=1658&amp;col=7&amp;number=4.34e-05&amp;sourceID=14","4.34e-05")</f>
        <v>4.34e-05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HYPERLINK("http://141.218.60.56/~jnz1568/getInfo.php?workbook=12_04.xlsx&amp;sheet=U0&amp;row=1659&amp;col=6&amp;number=4.5&amp;sourceID=14","4.5")</f>
        <v>4.5</v>
      </c>
      <c r="G1659" s="4" t="str">
        <f>HYPERLINK("http://141.218.60.56/~jnz1568/getInfo.php?workbook=12_04.xlsx&amp;sheet=U0&amp;row=1659&amp;col=7&amp;number=4.18e-05&amp;sourceID=14","4.18e-05")</f>
        <v>4.18e-05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HYPERLINK("http://141.218.60.56/~jnz1568/getInfo.php?workbook=12_04.xlsx&amp;sheet=U0&amp;row=1660&amp;col=6&amp;number=4.6&amp;sourceID=14","4.6")</f>
        <v>4.6</v>
      </c>
      <c r="G1660" s="4" t="str">
        <f>HYPERLINK("http://141.218.60.56/~jnz1568/getInfo.php?workbook=12_04.xlsx&amp;sheet=U0&amp;row=1660&amp;col=7&amp;number=3.99e-05&amp;sourceID=14","3.99e-05")</f>
        <v>3.99e-05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HYPERLINK("http://141.218.60.56/~jnz1568/getInfo.php?workbook=12_04.xlsx&amp;sheet=U0&amp;row=1661&amp;col=6&amp;number=4.7&amp;sourceID=14","4.7")</f>
        <v>4.7</v>
      </c>
      <c r="G1661" s="4" t="str">
        <f>HYPERLINK("http://141.218.60.56/~jnz1568/getInfo.php?workbook=12_04.xlsx&amp;sheet=U0&amp;row=1661&amp;col=7&amp;number=3.76e-05&amp;sourceID=14","3.76e-05")</f>
        <v>3.76e-05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HYPERLINK("http://141.218.60.56/~jnz1568/getInfo.php?workbook=12_04.xlsx&amp;sheet=U0&amp;row=1662&amp;col=6&amp;number=4.8&amp;sourceID=14","4.8")</f>
        <v>4.8</v>
      </c>
      <c r="G1662" s="4" t="str">
        <f>HYPERLINK("http://141.218.60.56/~jnz1568/getInfo.php?workbook=12_04.xlsx&amp;sheet=U0&amp;row=1662&amp;col=7&amp;number=3.51e-05&amp;sourceID=14","3.51e-05")</f>
        <v>3.51e-05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HYPERLINK("http://141.218.60.56/~jnz1568/getInfo.php?workbook=12_04.xlsx&amp;sheet=U0&amp;row=1663&amp;col=6&amp;number=4.9&amp;sourceID=14","4.9")</f>
        <v>4.9</v>
      </c>
      <c r="G1663" s="4" t="str">
        <f>HYPERLINK("http://141.218.60.56/~jnz1568/getInfo.php?workbook=12_04.xlsx&amp;sheet=U0&amp;row=1663&amp;col=7&amp;number=3.24e-05&amp;sourceID=14","3.24e-05")</f>
        <v>3.24e-05</v>
      </c>
    </row>
    <row r="1664" spans="1:7">
      <c r="A1664" s="3">
        <v>12</v>
      </c>
      <c r="B1664" s="3">
        <v>4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HYPERLINK("http://141.218.60.56/~jnz1568/getInfo.php?workbook=12_04.xlsx&amp;sheet=U0&amp;row=1664&amp;col=6&amp;number=3&amp;sourceID=14","3")</f>
        <v>3</v>
      </c>
      <c r="G1664" s="4" t="str">
        <f>HYPERLINK("http://141.218.60.56/~jnz1568/getInfo.php?workbook=12_04.xlsx&amp;sheet=U0&amp;row=1664&amp;col=7&amp;number=0.00022&amp;sourceID=14","0.00022")</f>
        <v>0.00022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HYPERLINK("http://141.218.60.56/~jnz1568/getInfo.php?workbook=12_04.xlsx&amp;sheet=U0&amp;row=1665&amp;col=6&amp;number=3.1&amp;sourceID=14","3.1")</f>
        <v>3.1</v>
      </c>
      <c r="G1665" s="4" t="str">
        <f>HYPERLINK("http://141.218.60.56/~jnz1568/getInfo.php?workbook=12_04.xlsx&amp;sheet=U0&amp;row=1665&amp;col=7&amp;number=0.00022&amp;sourceID=14","0.00022")</f>
        <v>0.00022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HYPERLINK("http://141.218.60.56/~jnz1568/getInfo.php?workbook=12_04.xlsx&amp;sheet=U0&amp;row=1666&amp;col=6&amp;number=3.2&amp;sourceID=14","3.2")</f>
        <v>3.2</v>
      </c>
      <c r="G1666" s="4" t="str">
        <f>HYPERLINK("http://141.218.60.56/~jnz1568/getInfo.php?workbook=12_04.xlsx&amp;sheet=U0&amp;row=1666&amp;col=7&amp;number=0.00022&amp;sourceID=14","0.00022")</f>
        <v>0.00022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HYPERLINK("http://141.218.60.56/~jnz1568/getInfo.php?workbook=12_04.xlsx&amp;sheet=U0&amp;row=1667&amp;col=6&amp;number=3.3&amp;sourceID=14","3.3")</f>
        <v>3.3</v>
      </c>
      <c r="G1667" s="4" t="str">
        <f>HYPERLINK("http://141.218.60.56/~jnz1568/getInfo.php?workbook=12_04.xlsx&amp;sheet=U0&amp;row=1667&amp;col=7&amp;number=0.00022&amp;sourceID=14","0.00022")</f>
        <v>0.00022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HYPERLINK("http://141.218.60.56/~jnz1568/getInfo.php?workbook=12_04.xlsx&amp;sheet=U0&amp;row=1668&amp;col=6&amp;number=3.4&amp;sourceID=14","3.4")</f>
        <v>3.4</v>
      </c>
      <c r="G1668" s="4" t="str">
        <f>HYPERLINK("http://141.218.60.56/~jnz1568/getInfo.php?workbook=12_04.xlsx&amp;sheet=U0&amp;row=1668&amp;col=7&amp;number=0.00022&amp;sourceID=14","0.00022")</f>
        <v>0.00022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HYPERLINK("http://141.218.60.56/~jnz1568/getInfo.php?workbook=12_04.xlsx&amp;sheet=U0&amp;row=1669&amp;col=6&amp;number=3.5&amp;sourceID=14","3.5")</f>
        <v>3.5</v>
      </c>
      <c r="G1669" s="4" t="str">
        <f>HYPERLINK("http://141.218.60.56/~jnz1568/getInfo.php?workbook=12_04.xlsx&amp;sheet=U0&amp;row=1669&amp;col=7&amp;number=0.00022&amp;sourceID=14","0.00022")</f>
        <v>0.00022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HYPERLINK("http://141.218.60.56/~jnz1568/getInfo.php?workbook=12_04.xlsx&amp;sheet=U0&amp;row=1670&amp;col=6&amp;number=3.6&amp;sourceID=14","3.6")</f>
        <v>3.6</v>
      </c>
      <c r="G1670" s="4" t="str">
        <f>HYPERLINK("http://141.218.60.56/~jnz1568/getInfo.php?workbook=12_04.xlsx&amp;sheet=U0&amp;row=1670&amp;col=7&amp;number=0.000219&amp;sourceID=14","0.000219")</f>
        <v>0.000219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HYPERLINK("http://141.218.60.56/~jnz1568/getInfo.php?workbook=12_04.xlsx&amp;sheet=U0&amp;row=1671&amp;col=6&amp;number=3.7&amp;sourceID=14","3.7")</f>
        <v>3.7</v>
      </c>
      <c r="G1671" s="4" t="str">
        <f>HYPERLINK("http://141.218.60.56/~jnz1568/getInfo.php?workbook=12_04.xlsx&amp;sheet=U0&amp;row=1671&amp;col=7&amp;number=0.000219&amp;sourceID=14","0.000219")</f>
        <v>0.000219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HYPERLINK("http://141.218.60.56/~jnz1568/getInfo.php?workbook=12_04.xlsx&amp;sheet=U0&amp;row=1672&amp;col=6&amp;number=3.8&amp;sourceID=14","3.8")</f>
        <v>3.8</v>
      </c>
      <c r="G1672" s="4" t="str">
        <f>HYPERLINK("http://141.218.60.56/~jnz1568/getInfo.php?workbook=12_04.xlsx&amp;sheet=U0&amp;row=1672&amp;col=7&amp;number=0.000219&amp;sourceID=14","0.000219")</f>
        <v>0.000219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HYPERLINK("http://141.218.60.56/~jnz1568/getInfo.php?workbook=12_04.xlsx&amp;sheet=U0&amp;row=1673&amp;col=6&amp;number=3.9&amp;sourceID=14","3.9")</f>
        <v>3.9</v>
      </c>
      <c r="G1673" s="4" t="str">
        <f>HYPERLINK("http://141.218.60.56/~jnz1568/getInfo.php?workbook=12_04.xlsx&amp;sheet=U0&amp;row=1673&amp;col=7&amp;number=0.000218&amp;sourceID=14","0.000218")</f>
        <v>0.000218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HYPERLINK("http://141.218.60.56/~jnz1568/getInfo.php?workbook=12_04.xlsx&amp;sheet=U0&amp;row=1674&amp;col=6&amp;number=4&amp;sourceID=14","4")</f>
        <v>4</v>
      </c>
      <c r="G1674" s="4" t="str">
        <f>HYPERLINK("http://141.218.60.56/~jnz1568/getInfo.php?workbook=12_04.xlsx&amp;sheet=U0&amp;row=1674&amp;col=7&amp;number=0.000218&amp;sourceID=14","0.000218")</f>
        <v>0.000218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HYPERLINK("http://141.218.60.56/~jnz1568/getInfo.php?workbook=12_04.xlsx&amp;sheet=U0&amp;row=1675&amp;col=6&amp;number=4.1&amp;sourceID=14","4.1")</f>
        <v>4.1</v>
      </c>
      <c r="G1675" s="4" t="str">
        <f>HYPERLINK("http://141.218.60.56/~jnz1568/getInfo.php?workbook=12_04.xlsx&amp;sheet=U0&amp;row=1675&amp;col=7&amp;number=0.000217&amp;sourceID=14","0.000217")</f>
        <v>0.000217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HYPERLINK("http://141.218.60.56/~jnz1568/getInfo.php?workbook=12_04.xlsx&amp;sheet=U0&amp;row=1676&amp;col=6&amp;number=4.2&amp;sourceID=14","4.2")</f>
        <v>4.2</v>
      </c>
      <c r="G1676" s="4" t="str">
        <f>HYPERLINK("http://141.218.60.56/~jnz1568/getInfo.php?workbook=12_04.xlsx&amp;sheet=U0&amp;row=1676&amp;col=7&amp;number=0.000216&amp;sourceID=14","0.000216")</f>
        <v>0.000216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HYPERLINK("http://141.218.60.56/~jnz1568/getInfo.php?workbook=12_04.xlsx&amp;sheet=U0&amp;row=1677&amp;col=6&amp;number=4.3&amp;sourceID=14","4.3")</f>
        <v>4.3</v>
      </c>
      <c r="G1677" s="4" t="str">
        <f>HYPERLINK("http://141.218.60.56/~jnz1568/getInfo.php?workbook=12_04.xlsx&amp;sheet=U0&amp;row=1677&amp;col=7&amp;number=0.000215&amp;sourceID=14","0.000215")</f>
        <v>0.000215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HYPERLINK("http://141.218.60.56/~jnz1568/getInfo.php?workbook=12_04.xlsx&amp;sheet=U0&amp;row=1678&amp;col=6&amp;number=4.4&amp;sourceID=14","4.4")</f>
        <v>4.4</v>
      </c>
      <c r="G1678" s="4" t="str">
        <f>HYPERLINK("http://141.218.60.56/~jnz1568/getInfo.php?workbook=12_04.xlsx&amp;sheet=U0&amp;row=1678&amp;col=7&amp;number=0.000213&amp;sourceID=14","0.000213")</f>
        <v>0.000213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HYPERLINK("http://141.218.60.56/~jnz1568/getInfo.php?workbook=12_04.xlsx&amp;sheet=U0&amp;row=1679&amp;col=6&amp;number=4.5&amp;sourceID=14","4.5")</f>
        <v>4.5</v>
      </c>
      <c r="G1679" s="4" t="str">
        <f>HYPERLINK("http://141.218.60.56/~jnz1568/getInfo.php?workbook=12_04.xlsx&amp;sheet=U0&amp;row=1679&amp;col=7&amp;number=0.000211&amp;sourceID=14","0.000211")</f>
        <v>0.000211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HYPERLINK("http://141.218.60.56/~jnz1568/getInfo.php?workbook=12_04.xlsx&amp;sheet=U0&amp;row=1680&amp;col=6&amp;number=4.6&amp;sourceID=14","4.6")</f>
        <v>4.6</v>
      </c>
      <c r="G1680" s="4" t="str">
        <f>HYPERLINK("http://141.218.60.56/~jnz1568/getInfo.php?workbook=12_04.xlsx&amp;sheet=U0&amp;row=1680&amp;col=7&amp;number=0.000209&amp;sourceID=14","0.000209")</f>
        <v>0.000209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HYPERLINK("http://141.218.60.56/~jnz1568/getInfo.php?workbook=12_04.xlsx&amp;sheet=U0&amp;row=1681&amp;col=6&amp;number=4.7&amp;sourceID=14","4.7")</f>
        <v>4.7</v>
      </c>
      <c r="G1681" s="4" t="str">
        <f>HYPERLINK("http://141.218.60.56/~jnz1568/getInfo.php?workbook=12_04.xlsx&amp;sheet=U0&amp;row=1681&amp;col=7&amp;number=0.000206&amp;sourceID=14","0.000206")</f>
        <v>0.000206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HYPERLINK("http://141.218.60.56/~jnz1568/getInfo.php?workbook=12_04.xlsx&amp;sheet=U0&amp;row=1682&amp;col=6&amp;number=4.8&amp;sourceID=14","4.8")</f>
        <v>4.8</v>
      </c>
      <c r="G1682" s="4" t="str">
        <f>HYPERLINK("http://141.218.60.56/~jnz1568/getInfo.php?workbook=12_04.xlsx&amp;sheet=U0&amp;row=1682&amp;col=7&amp;number=0.000203&amp;sourceID=14","0.000203")</f>
        <v>0.000203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HYPERLINK("http://141.218.60.56/~jnz1568/getInfo.php?workbook=12_04.xlsx&amp;sheet=U0&amp;row=1683&amp;col=6&amp;number=4.9&amp;sourceID=14","4.9")</f>
        <v>4.9</v>
      </c>
      <c r="G1683" s="4" t="str">
        <f>HYPERLINK("http://141.218.60.56/~jnz1568/getInfo.php?workbook=12_04.xlsx&amp;sheet=U0&amp;row=1683&amp;col=7&amp;number=0.000199&amp;sourceID=14","0.000199")</f>
        <v>0.000199</v>
      </c>
    </row>
    <row r="1684" spans="1:7">
      <c r="A1684" s="3">
        <v>12</v>
      </c>
      <c r="B1684" s="3">
        <v>4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HYPERLINK("http://141.218.60.56/~jnz1568/getInfo.php?workbook=12_04.xlsx&amp;sheet=U0&amp;row=1684&amp;col=6&amp;number=3&amp;sourceID=14","3")</f>
        <v>3</v>
      </c>
      <c r="G1684" s="4" t="str">
        <f>HYPERLINK("http://141.218.60.56/~jnz1568/getInfo.php?workbook=12_04.xlsx&amp;sheet=U0&amp;row=1684&amp;col=7&amp;number=0.00016&amp;sourceID=14","0.00016")</f>
        <v>0.00016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HYPERLINK("http://141.218.60.56/~jnz1568/getInfo.php?workbook=12_04.xlsx&amp;sheet=U0&amp;row=1685&amp;col=6&amp;number=3.1&amp;sourceID=14","3.1")</f>
        <v>3.1</v>
      </c>
      <c r="G1685" s="4" t="str">
        <f>HYPERLINK("http://141.218.60.56/~jnz1568/getInfo.php?workbook=12_04.xlsx&amp;sheet=U0&amp;row=1685&amp;col=7&amp;number=0.000159&amp;sourceID=14","0.000159")</f>
        <v>0.000159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HYPERLINK("http://141.218.60.56/~jnz1568/getInfo.php?workbook=12_04.xlsx&amp;sheet=U0&amp;row=1686&amp;col=6&amp;number=3.2&amp;sourceID=14","3.2")</f>
        <v>3.2</v>
      </c>
      <c r="G1686" s="4" t="str">
        <f>HYPERLINK("http://141.218.60.56/~jnz1568/getInfo.php?workbook=12_04.xlsx&amp;sheet=U0&amp;row=1686&amp;col=7&amp;number=0.000159&amp;sourceID=14","0.000159")</f>
        <v>0.000159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HYPERLINK("http://141.218.60.56/~jnz1568/getInfo.php?workbook=12_04.xlsx&amp;sheet=U0&amp;row=1687&amp;col=6&amp;number=3.3&amp;sourceID=14","3.3")</f>
        <v>3.3</v>
      </c>
      <c r="G1687" s="4" t="str">
        <f>HYPERLINK("http://141.218.60.56/~jnz1568/getInfo.php?workbook=12_04.xlsx&amp;sheet=U0&amp;row=1687&amp;col=7&amp;number=0.000159&amp;sourceID=14","0.000159")</f>
        <v>0.000159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HYPERLINK("http://141.218.60.56/~jnz1568/getInfo.php?workbook=12_04.xlsx&amp;sheet=U0&amp;row=1688&amp;col=6&amp;number=3.4&amp;sourceID=14","3.4")</f>
        <v>3.4</v>
      </c>
      <c r="G1688" s="4" t="str">
        <f>HYPERLINK("http://141.218.60.56/~jnz1568/getInfo.php?workbook=12_04.xlsx&amp;sheet=U0&amp;row=1688&amp;col=7&amp;number=0.000159&amp;sourceID=14","0.000159")</f>
        <v>0.000159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HYPERLINK("http://141.218.60.56/~jnz1568/getInfo.php?workbook=12_04.xlsx&amp;sheet=U0&amp;row=1689&amp;col=6&amp;number=3.5&amp;sourceID=14","3.5")</f>
        <v>3.5</v>
      </c>
      <c r="G1689" s="4" t="str">
        <f>HYPERLINK("http://141.218.60.56/~jnz1568/getInfo.php?workbook=12_04.xlsx&amp;sheet=U0&amp;row=1689&amp;col=7&amp;number=0.000159&amp;sourceID=14","0.000159")</f>
        <v>0.000159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HYPERLINK("http://141.218.60.56/~jnz1568/getInfo.php?workbook=12_04.xlsx&amp;sheet=U0&amp;row=1690&amp;col=6&amp;number=3.6&amp;sourceID=14","3.6")</f>
        <v>3.6</v>
      </c>
      <c r="G1690" s="4" t="str">
        <f>HYPERLINK("http://141.218.60.56/~jnz1568/getInfo.php?workbook=12_04.xlsx&amp;sheet=U0&amp;row=1690&amp;col=7&amp;number=0.000159&amp;sourceID=14","0.000159")</f>
        <v>0.000159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HYPERLINK("http://141.218.60.56/~jnz1568/getInfo.php?workbook=12_04.xlsx&amp;sheet=U0&amp;row=1691&amp;col=6&amp;number=3.7&amp;sourceID=14","3.7")</f>
        <v>3.7</v>
      </c>
      <c r="G1691" s="4" t="str">
        <f>HYPERLINK("http://141.218.60.56/~jnz1568/getInfo.php?workbook=12_04.xlsx&amp;sheet=U0&amp;row=1691&amp;col=7&amp;number=0.000159&amp;sourceID=14","0.000159")</f>
        <v>0.000159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HYPERLINK("http://141.218.60.56/~jnz1568/getInfo.php?workbook=12_04.xlsx&amp;sheet=U0&amp;row=1692&amp;col=6&amp;number=3.8&amp;sourceID=14","3.8")</f>
        <v>3.8</v>
      </c>
      <c r="G1692" s="4" t="str">
        <f>HYPERLINK("http://141.218.60.56/~jnz1568/getInfo.php?workbook=12_04.xlsx&amp;sheet=U0&amp;row=1692&amp;col=7&amp;number=0.000158&amp;sourceID=14","0.000158")</f>
        <v>0.000158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HYPERLINK("http://141.218.60.56/~jnz1568/getInfo.php?workbook=12_04.xlsx&amp;sheet=U0&amp;row=1693&amp;col=6&amp;number=3.9&amp;sourceID=14","3.9")</f>
        <v>3.9</v>
      </c>
      <c r="G1693" s="4" t="str">
        <f>HYPERLINK("http://141.218.60.56/~jnz1568/getInfo.php?workbook=12_04.xlsx&amp;sheet=U0&amp;row=1693&amp;col=7&amp;number=0.000158&amp;sourceID=14","0.000158")</f>
        <v>0.000158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HYPERLINK("http://141.218.60.56/~jnz1568/getInfo.php?workbook=12_04.xlsx&amp;sheet=U0&amp;row=1694&amp;col=6&amp;number=4&amp;sourceID=14","4")</f>
        <v>4</v>
      </c>
      <c r="G1694" s="4" t="str">
        <f>HYPERLINK("http://141.218.60.56/~jnz1568/getInfo.php?workbook=12_04.xlsx&amp;sheet=U0&amp;row=1694&amp;col=7&amp;number=0.000158&amp;sourceID=14","0.000158")</f>
        <v>0.000158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HYPERLINK("http://141.218.60.56/~jnz1568/getInfo.php?workbook=12_04.xlsx&amp;sheet=U0&amp;row=1695&amp;col=6&amp;number=4.1&amp;sourceID=14","4.1")</f>
        <v>4.1</v>
      </c>
      <c r="G1695" s="4" t="str">
        <f>HYPERLINK("http://141.218.60.56/~jnz1568/getInfo.php?workbook=12_04.xlsx&amp;sheet=U0&amp;row=1695&amp;col=7&amp;number=0.000157&amp;sourceID=14","0.000157")</f>
        <v>0.000157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HYPERLINK("http://141.218.60.56/~jnz1568/getInfo.php?workbook=12_04.xlsx&amp;sheet=U0&amp;row=1696&amp;col=6&amp;number=4.2&amp;sourceID=14","4.2")</f>
        <v>4.2</v>
      </c>
      <c r="G1696" s="4" t="str">
        <f>HYPERLINK("http://141.218.60.56/~jnz1568/getInfo.php?workbook=12_04.xlsx&amp;sheet=U0&amp;row=1696&amp;col=7&amp;number=0.000157&amp;sourceID=14","0.000157")</f>
        <v>0.000157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HYPERLINK("http://141.218.60.56/~jnz1568/getInfo.php?workbook=12_04.xlsx&amp;sheet=U0&amp;row=1697&amp;col=6&amp;number=4.3&amp;sourceID=14","4.3")</f>
        <v>4.3</v>
      </c>
      <c r="G1697" s="4" t="str">
        <f>HYPERLINK("http://141.218.60.56/~jnz1568/getInfo.php?workbook=12_04.xlsx&amp;sheet=U0&amp;row=1697&amp;col=7&amp;number=0.000156&amp;sourceID=14","0.000156")</f>
        <v>0.000156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HYPERLINK("http://141.218.60.56/~jnz1568/getInfo.php?workbook=12_04.xlsx&amp;sheet=U0&amp;row=1698&amp;col=6&amp;number=4.4&amp;sourceID=14","4.4")</f>
        <v>4.4</v>
      </c>
      <c r="G1698" s="4" t="str">
        <f>HYPERLINK("http://141.218.60.56/~jnz1568/getInfo.php?workbook=12_04.xlsx&amp;sheet=U0&amp;row=1698&amp;col=7&amp;number=0.000155&amp;sourceID=14","0.000155")</f>
        <v>0.000155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HYPERLINK("http://141.218.60.56/~jnz1568/getInfo.php?workbook=12_04.xlsx&amp;sheet=U0&amp;row=1699&amp;col=6&amp;number=4.5&amp;sourceID=14","4.5")</f>
        <v>4.5</v>
      </c>
      <c r="G1699" s="4" t="str">
        <f>HYPERLINK("http://141.218.60.56/~jnz1568/getInfo.php?workbook=12_04.xlsx&amp;sheet=U0&amp;row=1699&amp;col=7&amp;number=0.000153&amp;sourceID=14","0.000153")</f>
        <v>0.000153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HYPERLINK("http://141.218.60.56/~jnz1568/getInfo.php?workbook=12_04.xlsx&amp;sheet=U0&amp;row=1700&amp;col=6&amp;number=4.6&amp;sourceID=14","4.6")</f>
        <v>4.6</v>
      </c>
      <c r="G1700" s="4" t="str">
        <f>HYPERLINK("http://141.218.60.56/~jnz1568/getInfo.php?workbook=12_04.xlsx&amp;sheet=U0&amp;row=1700&amp;col=7&amp;number=0.000152&amp;sourceID=14","0.000152")</f>
        <v>0.000152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HYPERLINK("http://141.218.60.56/~jnz1568/getInfo.php?workbook=12_04.xlsx&amp;sheet=U0&amp;row=1701&amp;col=6&amp;number=4.7&amp;sourceID=14","4.7")</f>
        <v>4.7</v>
      </c>
      <c r="G1701" s="4" t="str">
        <f>HYPERLINK("http://141.218.60.56/~jnz1568/getInfo.php?workbook=12_04.xlsx&amp;sheet=U0&amp;row=1701&amp;col=7&amp;number=0.00015&amp;sourceID=14","0.00015")</f>
        <v>0.00015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HYPERLINK("http://141.218.60.56/~jnz1568/getInfo.php?workbook=12_04.xlsx&amp;sheet=U0&amp;row=1702&amp;col=6&amp;number=4.8&amp;sourceID=14","4.8")</f>
        <v>4.8</v>
      </c>
      <c r="G1702" s="4" t="str">
        <f>HYPERLINK("http://141.218.60.56/~jnz1568/getInfo.php?workbook=12_04.xlsx&amp;sheet=U0&amp;row=1702&amp;col=7&amp;number=0.000147&amp;sourceID=14","0.000147")</f>
        <v>0.000147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HYPERLINK("http://141.218.60.56/~jnz1568/getInfo.php?workbook=12_04.xlsx&amp;sheet=U0&amp;row=1703&amp;col=6&amp;number=4.9&amp;sourceID=14","4.9")</f>
        <v>4.9</v>
      </c>
      <c r="G1703" s="4" t="str">
        <f>HYPERLINK("http://141.218.60.56/~jnz1568/getInfo.php?workbook=12_04.xlsx&amp;sheet=U0&amp;row=1703&amp;col=7&amp;number=0.000144&amp;sourceID=14","0.000144")</f>
        <v>0.000144</v>
      </c>
    </row>
    <row r="1704" spans="1:7">
      <c r="A1704" s="3">
        <v>12</v>
      </c>
      <c r="B1704" s="3">
        <v>4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HYPERLINK("http://141.218.60.56/~jnz1568/getInfo.php?workbook=12_04.xlsx&amp;sheet=U0&amp;row=1704&amp;col=6&amp;number=3&amp;sourceID=14","3")</f>
        <v>3</v>
      </c>
      <c r="G1704" s="4" t="str">
        <f>HYPERLINK("http://141.218.60.56/~jnz1568/getInfo.php?workbook=12_04.xlsx&amp;sheet=U0&amp;row=1704&amp;col=7&amp;number=5.01e-05&amp;sourceID=14","5.01e-05")</f>
        <v>5.01e-05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HYPERLINK("http://141.218.60.56/~jnz1568/getInfo.php?workbook=12_04.xlsx&amp;sheet=U0&amp;row=1705&amp;col=6&amp;number=3.1&amp;sourceID=14","3.1")</f>
        <v>3.1</v>
      </c>
      <c r="G1705" s="4" t="str">
        <f>HYPERLINK("http://141.218.60.56/~jnz1568/getInfo.php?workbook=12_04.xlsx&amp;sheet=U0&amp;row=1705&amp;col=7&amp;number=5.01e-05&amp;sourceID=14","5.01e-05")</f>
        <v>5.01e-05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HYPERLINK("http://141.218.60.56/~jnz1568/getInfo.php?workbook=12_04.xlsx&amp;sheet=U0&amp;row=1706&amp;col=6&amp;number=3.2&amp;sourceID=14","3.2")</f>
        <v>3.2</v>
      </c>
      <c r="G1706" s="4" t="str">
        <f>HYPERLINK("http://141.218.60.56/~jnz1568/getInfo.php?workbook=12_04.xlsx&amp;sheet=U0&amp;row=1706&amp;col=7&amp;number=5e-05&amp;sourceID=14","5e-05")</f>
        <v>5e-05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HYPERLINK("http://141.218.60.56/~jnz1568/getInfo.php?workbook=12_04.xlsx&amp;sheet=U0&amp;row=1707&amp;col=6&amp;number=3.3&amp;sourceID=14","3.3")</f>
        <v>3.3</v>
      </c>
      <c r="G1707" s="4" t="str">
        <f>HYPERLINK("http://141.218.60.56/~jnz1568/getInfo.php?workbook=12_04.xlsx&amp;sheet=U0&amp;row=1707&amp;col=7&amp;number=5e-05&amp;sourceID=14","5e-05")</f>
        <v>5e-05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HYPERLINK("http://141.218.60.56/~jnz1568/getInfo.php?workbook=12_04.xlsx&amp;sheet=U0&amp;row=1708&amp;col=6&amp;number=3.4&amp;sourceID=14","3.4")</f>
        <v>3.4</v>
      </c>
      <c r="G1708" s="4" t="str">
        <f>HYPERLINK("http://141.218.60.56/~jnz1568/getInfo.php?workbook=12_04.xlsx&amp;sheet=U0&amp;row=1708&amp;col=7&amp;number=5e-05&amp;sourceID=14","5e-05")</f>
        <v>5e-05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HYPERLINK("http://141.218.60.56/~jnz1568/getInfo.php?workbook=12_04.xlsx&amp;sheet=U0&amp;row=1709&amp;col=6&amp;number=3.5&amp;sourceID=14","3.5")</f>
        <v>3.5</v>
      </c>
      <c r="G1709" s="4" t="str">
        <f>HYPERLINK("http://141.218.60.56/~jnz1568/getInfo.php?workbook=12_04.xlsx&amp;sheet=U0&amp;row=1709&amp;col=7&amp;number=5e-05&amp;sourceID=14","5e-05")</f>
        <v>5e-05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HYPERLINK("http://141.218.60.56/~jnz1568/getInfo.php?workbook=12_04.xlsx&amp;sheet=U0&amp;row=1710&amp;col=6&amp;number=3.6&amp;sourceID=14","3.6")</f>
        <v>3.6</v>
      </c>
      <c r="G1710" s="4" t="str">
        <f>HYPERLINK("http://141.218.60.56/~jnz1568/getInfo.php?workbook=12_04.xlsx&amp;sheet=U0&amp;row=1710&amp;col=7&amp;number=4.99e-05&amp;sourceID=14","4.99e-05")</f>
        <v>4.99e-05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HYPERLINK("http://141.218.60.56/~jnz1568/getInfo.php?workbook=12_04.xlsx&amp;sheet=U0&amp;row=1711&amp;col=6&amp;number=3.7&amp;sourceID=14","3.7")</f>
        <v>3.7</v>
      </c>
      <c r="G1711" s="4" t="str">
        <f>HYPERLINK("http://141.218.60.56/~jnz1568/getInfo.php?workbook=12_04.xlsx&amp;sheet=U0&amp;row=1711&amp;col=7&amp;number=4.99e-05&amp;sourceID=14","4.99e-05")</f>
        <v>4.99e-05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HYPERLINK("http://141.218.60.56/~jnz1568/getInfo.php?workbook=12_04.xlsx&amp;sheet=U0&amp;row=1712&amp;col=6&amp;number=3.8&amp;sourceID=14","3.8")</f>
        <v>3.8</v>
      </c>
      <c r="G1712" s="4" t="str">
        <f>HYPERLINK("http://141.218.60.56/~jnz1568/getInfo.php?workbook=12_04.xlsx&amp;sheet=U0&amp;row=1712&amp;col=7&amp;number=4.98e-05&amp;sourceID=14","4.98e-05")</f>
        <v>4.98e-05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HYPERLINK("http://141.218.60.56/~jnz1568/getInfo.php?workbook=12_04.xlsx&amp;sheet=U0&amp;row=1713&amp;col=6&amp;number=3.9&amp;sourceID=14","3.9")</f>
        <v>3.9</v>
      </c>
      <c r="G1713" s="4" t="str">
        <f>HYPERLINK("http://141.218.60.56/~jnz1568/getInfo.php?workbook=12_04.xlsx&amp;sheet=U0&amp;row=1713&amp;col=7&amp;number=4.97e-05&amp;sourceID=14","4.97e-05")</f>
        <v>4.97e-05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HYPERLINK("http://141.218.60.56/~jnz1568/getInfo.php?workbook=12_04.xlsx&amp;sheet=U0&amp;row=1714&amp;col=6&amp;number=4&amp;sourceID=14","4")</f>
        <v>4</v>
      </c>
      <c r="G1714" s="4" t="str">
        <f>HYPERLINK("http://141.218.60.56/~jnz1568/getInfo.php?workbook=12_04.xlsx&amp;sheet=U0&amp;row=1714&amp;col=7&amp;number=4.96e-05&amp;sourceID=14","4.96e-05")</f>
        <v>4.96e-05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HYPERLINK("http://141.218.60.56/~jnz1568/getInfo.php?workbook=12_04.xlsx&amp;sheet=U0&amp;row=1715&amp;col=6&amp;number=4.1&amp;sourceID=14","4.1")</f>
        <v>4.1</v>
      </c>
      <c r="G1715" s="4" t="str">
        <f>HYPERLINK("http://141.218.60.56/~jnz1568/getInfo.php?workbook=12_04.xlsx&amp;sheet=U0&amp;row=1715&amp;col=7&amp;number=4.94e-05&amp;sourceID=14","4.94e-05")</f>
        <v>4.94e-05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HYPERLINK("http://141.218.60.56/~jnz1568/getInfo.php?workbook=12_04.xlsx&amp;sheet=U0&amp;row=1716&amp;col=6&amp;number=4.2&amp;sourceID=14","4.2")</f>
        <v>4.2</v>
      </c>
      <c r="G1716" s="4" t="str">
        <f>HYPERLINK("http://141.218.60.56/~jnz1568/getInfo.php?workbook=12_04.xlsx&amp;sheet=U0&amp;row=1716&amp;col=7&amp;number=4.92e-05&amp;sourceID=14","4.92e-05")</f>
        <v>4.92e-05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HYPERLINK("http://141.218.60.56/~jnz1568/getInfo.php?workbook=12_04.xlsx&amp;sheet=U0&amp;row=1717&amp;col=6&amp;number=4.3&amp;sourceID=14","4.3")</f>
        <v>4.3</v>
      </c>
      <c r="G1717" s="4" t="str">
        <f>HYPERLINK("http://141.218.60.56/~jnz1568/getInfo.php?workbook=12_04.xlsx&amp;sheet=U0&amp;row=1717&amp;col=7&amp;number=4.9e-05&amp;sourceID=14","4.9e-05")</f>
        <v>4.9e-05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HYPERLINK("http://141.218.60.56/~jnz1568/getInfo.php?workbook=12_04.xlsx&amp;sheet=U0&amp;row=1718&amp;col=6&amp;number=4.4&amp;sourceID=14","4.4")</f>
        <v>4.4</v>
      </c>
      <c r="G1718" s="4" t="str">
        <f>HYPERLINK("http://141.218.60.56/~jnz1568/getInfo.php?workbook=12_04.xlsx&amp;sheet=U0&amp;row=1718&amp;col=7&amp;number=4.87e-05&amp;sourceID=14","4.87e-05")</f>
        <v>4.87e-05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HYPERLINK("http://141.218.60.56/~jnz1568/getInfo.php?workbook=12_04.xlsx&amp;sheet=U0&amp;row=1719&amp;col=6&amp;number=4.5&amp;sourceID=14","4.5")</f>
        <v>4.5</v>
      </c>
      <c r="G1719" s="4" t="str">
        <f>HYPERLINK("http://141.218.60.56/~jnz1568/getInfo.php?workbook=12_04.xlsx&amp;sheet=U0&amp;row=1719&amp;col=7&amp;number=4.84e-05&amp;sourceID=14","4.84e-05")</f>
        <v>4.84e-05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HYPERLINK("http://141.218.60.56/~jnz1568/getInfo.php?workbook=12_04.xlsx&amp;sheet=U0&amp;row=1720&amp;col=6&amp;number=4.6&amp;sourceID=14","4.6")</f>
        <v>4.6</v>
      </c>
      <c r="G1720" s="4" t="str">
        <f>HYPERLINK("http://141.218.60.56/~jnz1568/getInfo.php?workbook=12_04.xlsx&amp;sheet=U0&amp;row=1720&amp;col=7&amp;number=4.79e-05&amp;sourceID=14","4.79e-05")</f>
        <v>4.79e-05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HYPERLINK("http://141.218.60.56/~jnz1568/getInfo.php?workbook=12_04.xlsx&amp;sheet=U0&amp;row=1721&amp;col=6&amp;number=4.7&amp;sourceID=14","4.7")</f>
        <v>4.7</v>
      </c>
      <c r="G1721" s="4" t="str">
        <f>HYPERLINK("http://141.218.60.56/~jnz1568/getInfo.php?workbook=12_04.xlsx&amp;sheet=U0&amp;row=1721&amp;col=7&amp;number=4.74e-05&amp;sourceID=14","4.74e-05")</f>
        <v>4.74e-05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HYPERLINK("http://141.218.60.56/~jnz1568/getInfo.php?workbook=12_04.xlsx&amp;sheet=U0&amp;row=1722&amp;col=6&amp;number=4.8&amp;sourceID=14","4.8")</f>
        <v>4.8</v>
      </c>
      <c r="G1722" s="4" t="str">
        <f>HYPERLINK("http://141.218.60.56/~jnz1568/getInfo.php?workbook=12_04.xlsx&amp;sheet=U0&amp;row=1722&amp;col=7&amp;number=4.67e-05&amp;sourceID=14","4.67e-05")</f>
        <v>4.67e-05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HYPERLINK("http://141.218.60.56/~jnz1568/getInfo.php?workbook=12_04.xlsx&amp;sheet=U0&amp;row=1723&amp;col=6&amp;number=4.9&amp;sourceID=14","4.9")</f>
        <v>4.9</v>
      </c>
      <c r="G1723" s="4" t="str">
        <f>HYPERLINK("http://141.218.60.56/~jnz1568/getInfo.php?workbook=12_04.xlsx&amp;sheet=U0&amp;row=1723&amp;col=7&amp;number=4.6e-05&amp;sourceID=14","4.6e-05")</f>
        <v>4.6e-05</v>
      </c>
    </row>
    <row r="1724" spans="1:7">
      <c r="A1724" s="3">
        <v>12</v>
      </c>
      <c r="B1724" s="3">
        <v>4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HYPERLINK("http://141.218.60.56/~jnz1568/getInfo.php?workbook=12_04.xlsx&amp;sheet=U0&amp;row=1724&amp;col=6&amp;number=3&amp;sourceID=14","3")</f>
        <v>3</v>
      </c>
      <c r="G1724" s="4" t="str">
        <f>HYPERLINK("http://141.218.60.56/~jnz1568/getInfo.php?workbook=12_04.xlsx&amp;sheet=U0&amp;row=1724&amp;col=7&amp;number=5.23e-05&amp;sourceID=14","5.23e-05")</f>
        <v>5.23e-05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HYPERLINK("http://141.218.60.56/~jnz1568/getInfo.php?workbook=12_04.xlsx&amp;sheet=U0&amp;row=1725&amp;col=6&amp;number=3.1&amp;sourceID=14","3.1")</f>
        <v>3.1</v>
      </c>
      <c r="G1725" s="4" t="str">
        <f>HYPERLINK("http://141.218.60.56/~jnz1568/getInfo.php?workbook=12_04.xlsx&amp;sheet=U0&amp;row=1725&amp;col=7&amp;number=5.23e-05&amp;sourceID=14","5.23e-05")</f>
        <v>5.23e-05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HYPERLINK("http://141.218.60.56/~jnz1568/getInfo.php?workbook=12_04.xlsx&amp;sheet=U0&amp;row=1726&amp;col=6&amp;number=3.2&amp;sourceID=14","3.2")</f>
        <v>3.2</v>
      </c>
      <c r="G1726" s="4" t="str">
        <f>HYPERLINK("http://141.218.60.56/~jnz1568/getInfo.php?workbook=12_04.xlsx&amp;sheet=U0&amp;row=1726&amp;col=7&amp;number=5.22e-05&amp;sourceID=14","5.22e-05")</f>
        <v>5.22e-05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HYPERLINK("http://141.218.60.56/~jnz1568/getInfo.php?workbook=12_04.xlsx&amp;sheet=U0&amp;row=1727&amp;col=6&amp;number=3.3&amp;sourceID=14","3.3")</f>
        <v>3.3</v>
      </c>
      <c r="G1727" s="4" t="str">
        <f>HYPERLINK("http://141.218.60.56/~jnz1568/getInfo.php?workbook=12_04.xlsx&amp;sheet=U0&amp;row=1727&amp;col=7&amp;number=5.22e-05&amp;sourceID=14","5.22e-05")</f>
        <v>5.22e-05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HYPERLINK("http://141.218.60.56/~jnz1568/getInfo.php?workbook=12_04.xlsx&amp;sheet=U0&amp;row=1728&amp;col=6&amp;number=3.4&amp;sourceID=14","3.4")</f>
        <v>3.4</v>
      </c>
      <c r="G1728" s="4" t="str">
        <f>HYPERLINK("http://141.218.60.56/~jnz1568/getInfo.php?workbook=12_04.xlsx&amp;sheet=U0&amp;row=1728&amp;col=7&amp;number=5.21e-05&amp;sourceID=14","5.21e-05")</f>
        <v>5.21e-05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HYPERLINK("http://141.218.60.56/~jnz1568/getInfo.php?workbook=12_04.xlsx&amp;sheet=U0&amp;row=1729&amp;col=6&amp;number=3.5&amp;sourceID=14","3.5")</f>
        <v>3.5</v>
      </c>
      <c r="G1729" s="4" t="str">
        <f>HYPERLINK("http://141.218.60.56/~jnz1568/getInfo.php?workbook=12_04.xlsx&amp;sheet=U0&amp;row=1729&amp;col=7&amp;number=5.21e-05&amp;sourceID=14","5.21e-05")</f>
        <v>5.21e-05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HYPERLINK("http://141.218.60.56/~jnz1568/getInfo.php?workbook=12_04.xlsx&amp;sheet=U0&amp;row=1730&amp;col=6&amp;number=3.6&amp;sourceID=14","3.6")</f>
        <v>3.6</v>
      </c>
      <c r="G1730" s="4" t="str">
        <f>HYPERLINK("http://141.218.60.56/~jnz1568/getInfo.php?workbook=12_04.xlsx&amp;sheet=U0&amp;row=1730&amp;col=7&amp;number=5.2e-05&amp;sourceID=14","5.2e-05")</f>
        <v>5.2e-05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HYPERLINK("http://141.218.60.56/~jnz1568/getInfo.php?workbook=12_04.xlsx&amp;sheet=U0&amp;row=1731&amp;col=6&amp;number=3.7&amp;sourceID=14","3.7")</f>
        <v>3.7</v>
      </c>
      <c r="G1731" s="4" t="str">
        <f>HYPERLINK("http://141.218.60.56/~jnz1568/getInfo.php?workbook=12_04.xlsx&amp;sheet=U0&amp;row=1731&amp;col=7&amp;number=5.19e-05&amp;sourceID=14","5.19e-05")</f>
        <v>5.19e-05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HYPERLINK("http://141.218.60.56/~jnz1568/getInfo.php?workbook=12_04.xlsx&amp;sheet=U0&amp;row=1732&amp;col=6&amp;number=3.8&amp;sourceID=14","3.8")</f>
        <v>3.8</v>
      </c>
      <c r="G1732" s="4" t="str">
        <f>HYPERLINK("http://141.218.60.56/~jnz1568/getInfo.php?workbook=12_04.xlsx&amp;sheet=U0&amp;row=1732&amp;col=7&amp;number=5.17e-05&amp;sourceID=14","5.17e-05")</f>
        <v>5.17e-05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HYPERLINK("http://141.218.60.56/~jnz1568/getInfo.php?workbook=12_04.xlsx&amp;sheet=U0&amp;row=1733&amp;col=6&amp;number=3.9&amp;sourceID=14","3.9")</f>
        <v>3.9</v>
      </c>
      <c r="G1733" s="4" t="str">
        <f>HYPERLINK("http://141.218.60.56/~jnz1568/getInfo.php?workbook=12_04.xlsx&amp;sheet=U0&amp;row=1733&amp;col=7&amp;number=5.15e-05&amp;sourceID=14","5.15e-05")</f>
        <v>5.15e-05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HYPERLINK("http://141.218.60.56/~jnz1568/getInfo.php?workbook=12_04.xlsx&amp;sheet=U0&amp;row=1734&amp;col=6&amp;number=4&amp;sourceID=14","4")</f>
        <v>4</v>
      </c>
      <c r="G1734" s="4" t="str">
        <f>HYPERLINK("http://141.218.60.56/~jnz1568/getInfo.php?workbook=12_04.xlsx&amp;sheet=U0&amp;row=1734&amp;col=7&amp;number=5.13e-05&amp;sourceID=14","5.13e-05")</f>
        <v>5.13e-05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HYPERLINK("http://141.218.60.56/~jnz1568/getInfo.php?workbook=12_04.xlsx&amp;sheet=U0&amp;row=1735&amp;col=6&amp;number=4.1&amp;sourceID=14","4.1")</f>
        <v>4.1</v>
      </c>
      <c r="G1735" s="4" t="str">
        <f>HYPERLINK("http://141.218.60.56/~jnz1568/getInfo.php?workbook=12_04.xlsx&amp;sheet=U0&amp;row=1735&amp;col=7&amp;number=5.1e-05&amp;sourceID=14","5.1e-05")</f>
        <v>5.1e-05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HYPERLINK("http://141.218.60.56/~jnz1568/getInfo.php?workbook=12_04.xlsx&amp;sheet=U0&amp;row=1736&amp;col=6&amp;number=4.2&amp;sourceID=14","4.2")</f>
        <v>4.2</v>
      </c>
      <c r="G1736" s="4" t="str">
        <f>HYPERLINK("http://141.218.60.56/~jnz1568/getInfo.php?workbook=12_04.xlsx&amp;sheet=U0&amp;row=1736&amp;col=7&amp;number=5.07e-05&amp;sourceID=14","5.07e-05")</f>
        <v>5.07e-05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HYPERLINK("http://141.218.60.56/~jnz1568/getInfo.php?workbook=12_04.xlsx&amp;sheet=U0&amp;row=1737&amp;col=6&amp;number=4.3&amp;sourceID=14","4.3")</f>
        <v>4.3</v>
      </c>
      <c r="G1737" s="4" t="str">
        <f>HYPERLINK("http://141.218.60.56/~jnz1568/getInfo.php?workbook=12_04.xlsx&amp;sheet=U0&amp;row=1737&amp;col=7&amp;number=5.03e-05&amp;sourceID=14","5.03e-05")</f>
        <v>5.03e-05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HYPERLINK("http://141.218.60.56/~jnz1568/getInfo.php?workbook=12_04.xlsx&amp;sheet=U0&amp;row=1738&amp;col=6&amp;number=4.4&amp;sourceID=14","4.4")</f>
        <v>4.4</v>
      </c>
      <c r="G1738" s="4" t="str">
        <f>HYPERLINK("http://141.218.60.56/~jnz1568/getInfo.php?workbook=12_04.xlsx&amp;sheet=U0&amp;row=1738&amp;col=7&amp;number=4.97e-05&amp;sourceID=14","4.97e-05")</f>
        <v>4.97e-05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HYPERLINK("http://141.218.60.56/~jnz1568/getInfo.php?workbook=12_04.xlsx&amp;sheet=U0&amp;row=1739&amp;col=6&amp;number=4.5&amp;sourceID=14","4.5")</f>
        <v>4.5</v>
      </c>
      <c r="G1739" s="4" t="str">
        <f>HYPERLINK("http://141.218.60.56/~jnz1568/getInfo.php?workbook=12_04.xlsx&amp;sheet=U0&amp;row=1739&amp;col=7&amp;number=4.91e-05&amp;sourceID=14","4.91e-05")</f>
        <v>4.91e-05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HYPERLINK("http://141.218.60.56/~jnz1568/getInfo.php?workbook=12_04.xlsx&amp;sheet=U0&amp;row=1740&amp;col=6&amp;number=4.6&amp;sourceID=14","4.6")</f>
        <v>4.6</v>
      </c>
      <c r="G1740" s="4" t="str">
        <f>HYPERLINK("http://141.218.60.56/~jnz1568/getInfo.php?workbook=12_04.xlsx&amp;sheet=U0&amp;row=1740&amp;col=7&amp;number=4.82e-05&amp;sourceID=14","4.82e-05")</f>
        <v>4.82e-05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HYPERLINK("http://141.218.60.56/~jnz1568/getInfo.php?workbook=12_04.xlsx&amp;sheet=U0&amp;row=1741&amp;col=6&amp;number=4.7&amp;sourceID=14","4.7")</f>
        <v>4.7</v>
      </c>
      <c r="G1741" s="4" t="str">
        <f>HYPERLINK("http://141.218.60.56/~jnz1568/getInfo.php?workbook=12_04.xlsx&amp;sheet=U0&amp;row=1741&amp;col=7&amp;number=4.72e-05&amp;sourceID=14","4.72e-05")</f>
        <v>4.72e-05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HYPERLINK("http://141.218.60.56/~jnz1568/getInfo.php?workbook=12_04.xlsx&amp;sheet=U0&amp;row=1742&amp;col=6&amp;number=4.8&amp;sourceID=14","4.8")</f>
        <v>4.8</v>
      </c>
      <c r="G1742" s="4" t="str">
        <f>HYPERLINK("http://141.218.60.56/~jnz1568/getInfo.php?workbook=12_04.xlsx&amp;sheet=U0&amp;row=1742&amp;col=7&amp;number=4.6e-05&amp;sourceID=14","4.6e-05")</f>
        <v>4.6e-05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HYPERLINK("http://141.218.60.56/~jnz1568/getInfo.php?workbook=12_04.xlsx&amp;sheet=U0&amp;row=1743&amp;col=6&amp;number=4.9&amp;sourceID=14","4.9")</f>
        <v>4.9</v>
      </c>
      <c r="G1743" s="4" t="str">
        <f>HYPERLINK("http://141.218.60.56/~jnz1568/getInfo.php?workbook=12_04.xlsx&amp;sheet=U0&amp;row=1743&amp;col=7&amp;number=4.45e-05&amp;sourceID=14","4.45e-05")</f>
        <v>4.45e-05</v>
      </c>
    </row>
    <row r="1744" spans="1:7">
      <c r="A1744" s="3">
        <v>12</v>
      </c>
      <c r="B1744" s="3">
        <v>4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HYPERLINK("http://141.218.60.56/~jnz1568/getInfo.php?workbook=12_04.xlsx&amp;sheet=U0&amp;row=1744&amp;col=6&amp;number=3&amp;sourceID=14","3")</f>
        <v>3</v>
      </c>
      <c r="G1744" s="4" t="str">
        <f>HYPERLINK("http://141.218.60.56/~jnz1568/getInfo.php?workbook=12_04.xlsx&amp;sheet=U0&amp;row=1744&amp;col=7&amp;number=7.56e-05&amp;sourceID=14","7.56e-05")</f>
        <v>7.56e-05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HYPERLINK("http://141.218.60.56/~jnz1568/getInfo.php?workbook=12_04.xlsx&amp;sheet=U0&amp;row=1745&amp;col=6&amp;number=3.1&amp;sourceID=14","3.1")</f>
        <v>3.1</v>
      </c>
      <c r="G1745" s="4" t="str">
        <f>HYPERLINK("http://141.218.60.56/~jnz1568/getInfo.php?workbook=12_04.xlsx&amp;sheet=U0&amp;row=1745&amp;col=7&amp;number=7.55e-05&amp;sourceID=14","7.55e-05")</f>
        <v>7.55e-05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HYPERLINK("http://141.218.60.56/~jnz1568/getInfo.php?workbook=12_04.xlsx&amp;sheet=U0&amp;row=1746&amp;col=6&amp;number=3.2&amp;sourceID=14","3.2")</f>
        <v>3.2</v>
      </c>
      <c r="G1746" s="4" t="str">
        <f>HYPERLINK("http://141.218.60.56/~jnz1568/getInfo.php?workbook=12_04.xlsx&amp;sheet=U0&amp;row=1746&amp;col=7&amp;number=7.54e-05&amp;sourceID=14","7.54e-05")</f>
        <v>7.54e-05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HYPERLINK("http://141.218.60.56/~jnz1568/getInfo.php?workbook=12_04.xlsx&amp;sheet=U0&amp;row=1747&amp;col=6&amp;number=3.3&amp;sourceID=14","3.3")</f>
        <v>3.3</v>
      </c>
      <c r="G1747" s="4" t="str">
        <f>HYPERLINK("http://141.218.60.56/~jnz1568/getInfo.php?workbook=12_04.xlsx&amp;sheet=U0&amp;row=1747&amp;col=7&amp;number=7.53e-05&amp;sourceID=14","7.53e-05")</f>
        <v>7.53e-05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HYPERLINK("http://141.218.60.56/~jnz1568/getInfo.php?workbook=12_04.xlsx&amp;sheet=U0&amp;row=1748&amp;col=6&amp;number=3.4&amp;sourceID=14","3.4")</f>
        <v>3.4</v>
      </c>
      <c r="G1748" s="4" t="str">
        <f>HYPERLINK("http://141.218.60.56/~jnz1568/getInfo.php?workbook=12_04.xlsx&amp;sheet=U0&amp;row=1748&amp;col=7&amp;number=7.51e-05&amp;sourceID=14","7.51e-05")</f>
        <v>7.51e-05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HYPERLINK("http://141.218.60.56/~jnz1568/getInfo.php?workbook=12_04.xlsx&amp;sheet=U0&amp;row=1749&amp;col=6&amp;number=3.5&amp;sourceID=14","3.5")</f>
        <v>3.5</v>
      </c>
      <c r="G1749" s="4" t="str">
        <f>HYPERLINK("http://141.218.60.56/~jnz1568/getInfo.php?workbook=12_04.xlsx&amp;sheet=U0&amp;row=1749&amp;col=7&amp;number=7.49e-05&amp;sourceID=14","7.49e-05")</f>
        <v>7.49e-05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HYPERLINK("http://141.218.60.56/~jnz1568/getInfo.php?workbook=12_04.xlsx&amp;sheet=U0&amp;row=1750&amp;col=6&amp;number=3.6&amp;sourceID=14","3.6")</f>
        <v>3.6</v>
      </c>
      <c r="G1750" s="4" t="str">
        <f>HYPERLINK("http://141.218.60.56/~jnz1568/getInfo.php?workbook=12_04.xlsx&amp;sheet=U0&amp;row=1750&amp;col=7&amp;number=7.46e-05&amp;sourceID=14","7.46e-05")</f>
        <v>7.46e-05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HYPERLINK("http://141.218.60.56/~jnz1568/getInfo.php?workbook=12_04.xlsx&amp;sheet=U0&amp;row=1751&amp;col=6&amp;number=3.7&amp;sourceID=14","3.7")</f>
        <v>3.7</v>
      </c>
      <c r="G1751" s="4" t="str">
        <f>HYPERLINK("http://141.218.60.56/~jnz1568/getInfo.php?workbook=12_04.xlsx&amp;sheet=U0&amp;row=1751&amp;col=7&amp;number=7.43e-05&amp;sourceID=14","7.43e-05")</f>
        <v>7.43e-05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HYPERLINK("http://141.218.60.56/~jnz1568/getInfo.php?workbook=12_04.xlsx&amp;sheet=U0&amp;row=1752&amp;col=6&amp;number=3.8&amp;sourceID=14","3.8")</f>
        <v>3.8</v>
      </c>
      <c r="G1752" s="4" t="str">
        <f>HYPERLINK("http://141.218.60.56/~jnz1568/getInfo.php?workbook=12_04.xlsx&amp;sheet=U0&amp;row=1752&amp;col=7&amp;number=7.39e-05&amp;sourceID=14","7.39e-05")</f>
        <v>7.39e-05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HYPERLINK("http://141.218.60.56/~jnz1568/getInfo.php?workbook=12_04.xlsx&amp;sheet=U0&amp;row=1753&amp;col=6&amp;number=3.9&amp;sourceID=14","3.9")</f>
        <v>3.9</v>
      </c>
      <c r="G1753" s="4" t="str">
        <f>HYPERLINK("http://141.218.60.56/~jnz1568/getInfo.php?workbook=12_04.xlsx&amp;sheet=U0&amp;row=1753&amp;col=7&amp;number=7.34e-05&amp;sourceID=14","7.34e-05")</f>
        <v>7.34e-05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HYPERLINK("http://141.218.60.56/~jnz1568/getInfo.php?workbook=12_04.xlsx&amp;sheet=U0&amp;row=1754&amp;col=6&amp;number=4&amp;sourceID=14","4")</f>
        <v>4</v>
      </c>
      <c r="G1754" s="4" t="str">
        <f>HYPERLINK("http://141.218.60.56/~jnz1568/getInfo.php?workbook=12_04.xlsx&amp;sheet=U0&amp;row=1754&amp;col=7&amp;number=7.28e-05&amp;sourceID=14","7.28e-05")</f>
        <v>7.28e-05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HYPERLINK("http://141.218.60.56/~jnz1568/getInfo.php?workbook=12_04.xlsx&amp;sheet=U0&amp;row=1755&amp;col=6&amp;number=4.1&amp;sourceID=14","4.1")</f>
        <v>4.1</v>
      </c>
      <c r="G1755" s="4" t="str">
        <f>HYPERLINK("http://141.218.60.56/~jnz1568/getInfo.php?workbook=12_04.xlsx&amp;sheet=U0&amp;row=1755&amp;col=7&amp;number=7.2e-05&amp;sourceID=14","7.2e-05")</f>
        <v>7.2e-05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HYPERLINK("http://141.218.60.56/~jnz1568/getInfo.php?workbook=12_04.xlsx&amp;sheet=U0&amp;row=1756&amp;col=6&amp;number=4.2&amp;sourceID=14","4.2")</f>
        <v>4.2</v>
      </c>
      <c r="G1756" s="4" t="str">
        <f>HYPERLINK("http://141.218.60.56/~jnz1568/getInfo.php?workbook=12_04.xlsx&amp;sheet=U0&amp;row=1756&amp;col=7&amp;number=7.1e-05&amp;sourceID=14","7.1e-05")</f>
        <v>7.1e-05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HYPERLINK("http://141.218.60.56/~jnz1568/getInfo.php?workbook=12_04.xlsx&amp;sheet=U0&amp;row=1757&amp;col=6&amp;number=4.3&amp;sourceID=14","4.3")</f>
        <v>4.3</v>
      </c>
      <c r="G1757" s="4" t="str">
        <f>HYPERLINK("http://141.218.60.56/~jnz1568/getInfo.php?workbook=12_04.xlsx&amp;sheet=U0&amp;row=1757&amp;col=7&amp;number=6.98e-05&amp;sourceID=14","6.98e-05")</f>
        <v>6.98e-05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HYPERLINK("http://141.218.60.56/~jnz1568/getInfo.php?workbook=12_04.xlsx&amp;sheet=U0&amp;row=1758&amp;col=6&amp;number=4.4&amp;sourceID=14","4.4")</f>
        <v>4.4</v>
      </c>
      <c r="G1758" s="4" t="str">
        <f>HYPERLINK("http://141.218.60.56/~jnz1568/getInfo.php?workbook=12_04.xlsx&amp;sheet=U0&amp;row=1758&amp;col=7&amp;number=6.83e-05&amp;sourceID=14","6.83e-05")</f>
        <v>6.83e-05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HYPERLINK("http://141.218.60.56/~jnz1568/getInfo.php?workbook=12_04.xlsx&amp;sheet=U0&amp;row=1759&amp;col=6&amp;number=4.5&amp;sourceID=14","4.5")</f>
        <v>4.5</v>
      </c>
      <c r="G1759" s="4" t="str">
        <f>HYPERLINK("http://141.218.60.56/~jnz1568/getInfo.php?workbook=12_04.xlsx&amp;sheet=U0&amp;row=1759&amp;col=7&amp;number=6.64e-05&amp;sourceID=14","6.64e-05")</f>
        <v>6.64e-05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HYPERLINK("http://141.218.60.56/~jnz1568/getInfo.php?workbook=12_04.xlsx&amp;sheet=U0&amp;row=1760&amp;col=6&amp;number=4.6&amp;sourceID=14","4.6")</f>
        <v>4.6</v>
      </c>
      <c r="G1760" s="4" t="str">
        <f>HYPERLINK("http://141.218.60.56/~jnz1568/getInfo.php?workbook=12_04.xlsx&amp;sheet=U0&amp;row=1760&amp;col=7&amp;number=6.42e-05&amp;sourceID=14","6.42e-05")</f>
        <v>6.42e-05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HYPERLINK("http://141.218.60.56/~jnz1568/getInfo.php?workbook=12_04.xlsx&amp;sheet=U0&amp;row=1761&amp;col=6&amp;number=4.7&amp;sourceID=14","4.7")</f>
        <v>4.7</v>
      </c>
      <c r="G1761" s="4" t="str">
        <f>HYPERLINK("http://141.218.60.56/~jnz1568/getInfo.php?workbook=12_04.xlsx&amp;sheet=U0&amp;row=1761&amp;col=7&amp;number=6.17e-05&amp;sourceID=14","6.17e-05")</f>
        <v>6.17e-05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HYPERLINK("http://141.218.60.56/~jnz1568/getInfo.php?workbook=12_04.xlsx&amp;sheet=U0&amp;row=1762&amp;col=6&amp;number=4.8&amp;sourceID=14","4.8")</f>
        <v>4.8</v>
      </c>
      <c r="G1762" s="4" t="str">
        <f>HYPERLINK("http://141.218.60.56/~jnz1568/getInfo.php?workbook=12_04.xlsx&amp;sheet=U0&amp;row=1762&amp;col=7&amp;number=5.88e-05&amp;sourceID=14","5.88e-05")</f>
        <v>5.88e-05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HYPERLINK("http://141.218.60.56/~jnz1568/getInfo.php?workbook=12_04.xlsx&amp;sheet=U0&amp;row=1763&amp;col=6&amp;number=4.9&amp;sourceID=14","4.9")</f>
        <v>4.9</v>
      </c>
      <c r="G1763" s="4" t="str">
        <f>HYPERLINK("http://141.218.60.56/~jnz1568/getInfo.php?workbook=12_04.xlsx&amp;sheet=U0&amp;row=1763&amp;col=7&amp;number=5.57e-05&amp;sourceID=14","5.57e-05")</f>
        <v>5.57e-05</v>
      </c>
    </row>
    <row r="1764" spans="1:7">
      <c r="A1764" s="3">
        <v>12</v>
      </c>
      <c r="B1764" s="3">
        <v>4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HYPERLINK("http://141.218.60.56/~jnz1568/getInfo.php?workbook=12_04.xlsx&amp;sheet=U0&amp;row=1764&amp;col=6&amp;number=3&amp;sourceID=14","3")</f>
        <v>3</v>
      </c>
      <c r="G1764" s="4" t="str">
        <f>HYPERLINK("http://141.218.60.56/~jnz1568/getInfo.php?workbook=12_04.xlsx&amp;sheet=U0&amp;row=1764&amp;col=7&amp;number=9.02e-05&amp;sourceID=14","9.02e-05")</f>
        <v>9.02e-05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HYPERLINK("http://141.218.60.56/~jnz1568/getInfo.php?workbook=12_04.xlsx&amp;sheet=U0&amp;row=1765&amp;col=6&amp;number=3.1&amp;sourceID=14","3.1")</f>
        <v>3.1</v>
      </c>
      <c r="G1765" s="4" t="str">
        <f>HYPERLINK("http://141.218.60.56/~jnz1568/getInfo.php?workbook=12_04.xlsx&amp;sheet=U0&amp;row=1765&amp;col=7&amp;number=9.02e-05&amp;sourceID=14","9.02e-05")</f>
        <v>9.02e-05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HYPERLINK("http://141.218.60.56/~jnz1568/getInfo.php?workbook=12_04.xlsx&amp;sheet=U0&amp;row=1766&amp;col=6&amp;number=3.2&amp;sourceID=14","3.2")</f>
        <v>3.2</v>
      </c>
      <c r="G1766" s="4" t="str">
        <f>HYPERLINK("http://141.218.60.56/~jnz1568/getInfo.php?workbook=12_04.xlsx&amp;sheet=U0&amp;row=1766&amp;col=7&amp;number=9.01e-05&amp;sourceID=14","9.01e-05")</f>
        <v>9.01e-05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HYPERLINK("http://141.218.60.56/~jnz1568/getInfo.php?workbook=12_04.xlsx&amp;sheet=U0&amp;row=1767&amp;col=6&amp;number=3.3&amp;sourceID=14","3.3")</f>
        <v>3.3</v>
      </c>
      <c r="G1767" s="4" t="str">
        <f>HYPERLINK("http://141.218.60.56/~jnz1568/getInfo.php?workbook=12_04.xlsx&amp;sheet=U0&amp;row=1767&amp;col=7&amp;number=9.01e-05&amp;sourceID=14","9.01e-05")</f>
        <v>9.01e-05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HYPERLINK("http://141.218.60.56/~jnz1568/getInfo.php?workbook=12_04.xlsx&amp;sheet=U0&amp;row=1768&amp;col=6&amp;number=3.4&amp;sourceID=14","3.4")</f>
        <v>3.4</v>
      </c>
      <c r="G1768" s="4" t="str">
        <f>HYPERLINK("http://141.218.60.56/~jnz1568/getInfo.php?workbook=12_04.xlsx&amp;sheet=U0&amp;row=1768&amp;col=7&amp;number=9e-05&amp;sourceID=14","9e-05")</f>
        <v>9e-05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HYPERLINK("http://141.218.60.56/~jnz1568/getInfo.php?workbook=12_04.xlsx&amp;sheet=U0&amp;row=1769&amp;col=6&amp;number=3.5&amp;sourceID=14","3.5")</f>
        <v>3.5</v>
      </c>
      <c r="G1769" s="4" t="str">
        <f>HYPERLINK("http://141.218.60.56/~jnz1568/getInfo.php?workbook=12_04.xlsx&amp;sheet=U0&amp;row=1769&amp;col=7&amp;number=8.99e-05&amp;sourceID=14","8.99e-05")</f>
        <v>8.99e-05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HYPERLINK("http://141.218.60.56/~jnz1568/getInfo.php?workbook=12_04.xlsx&amp;sheet=U0&amp;row=1770&amp;col=6&amp;number=3.6&amp;sourceID=14","3.6")</f>
        <v>3.6</v>
      </c>
      <c r="G1770" s="4" t="str">
        <f>HYPERLINK("http://141.218.60.56/~jnz1568/getInfo.php?workbook=12_04.xlsx&amp;sheet=U0&amp;row=1770&amp;col=7&amp;number=8.98e-05&amp;sourceID=14","8.98e-05")</f>
        <v>8.98e-05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HYPERLINK("http://141.218.60.56/~jnz1568/getInfo.php?workbook=12_04.xlsx&amp;sheet=U0&amp;row=1771&amp;col=6&amp;number=3.7&amp;sourceID=14","3.7")</f>
        <v>3.7</v>
      </c>
      <c r="G1771" s="4" t="str">
        <f>HYPERLINK("http://141.218.60.56/~jnz1568/getInfo.php?workbook=12_04.xlsx&amp;sheet=U0&amp;row=1771&amp;col=7&amp;number=8.96e-05&amp;sourceID=14","8.96e-05")</f>
        <v>8.96e-05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HYPERLINK("http://141.218.60.56/~jnz1568/getInfo.php?workbook=12_04.xlsx&amp;sheet=U0&amp;row=1772&amp;col=6&amp;number=3.8&amp;sourceID=14","3.8")</f>
        <v>3.8</v>
      </c>
      <c r="G1772" s="4" t="str">
        <f>HYPERLINK("http://141.218.60.56/~jnz1568/getInfo.php?workbook=12_04.xlsx&amp;sheet=U0&amp;row=1772&amp;col=7&amp;number=8.95e-05&amp;sourceID=14","8.95e-05")</f>
        <v>8.95e-05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HYPERLINK("http://141.218.60.56/~jnz1568/getInfo.php?workbook=12_04.xlsx&amp;sheet=U0&amp;row=1773&amp;col=6&amp;number=3.9&amp;sourceID=14","3.9")</f>
        <v>3.9</v>
      </c>
      <c r="G1773" s="4" t="str">
        <f>HYPERLINK("http://141.218.60.56/~jnz1568/getInfo.php?workbook=12_04.xlsx&amp;sheet=U0&amp;row=1773&amp;col=7&amp;number=8.92e-05&amp;sourceID=14","8.92e-05")</f>
        <v>8.92e-05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HYPERLINK("http://141.218.60.56/~jnz1568/getInfo.php?workbook=12_04.xlsx&amp;sheet=U0&amp;row=1774&amp;col=6&amp;number=4&amp;sourceID=14","4")</f>
        <v>4</v>
      </c>
      <c r="G1774" s="4" t="str">
        <f>HYPERLINK("http://141.218.60.56/~jnz1568/getInfo.php?workbook=12_04.xlsx&amp;sheet=U0&amp;row=1774&amp;col=7&amp;number=8.89e-05&amp;sourceID=14","8.89e-05")</f>
        <v>8.89e-05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HYPERLINK("http://141.218.60.56/~jnz1568/getInfo.php?workbook=12_04.xlsx&amp;sheet=U0&amp;row=1775&amp;col=6&amp;number=4.1&amp;sourceID=14","4.1")</f>
        <v>4.1</v>
      </c>
      <c r="G1775" s="4" t="str">
        <f>HYPERLINK("http://141.218.60.56/~jnz1568/getInfo.php?workbook=12_04.xlsx&amp;sheet=U0&amp;row=1775&amp;col=7&amp;number=8.86e-05&amp;sourceID=14","8.86e-05")</f>
        <v>8.86e-05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HYPERLINK("http://141.218.60.56/~jnz1568/getInfo.php?workbook=12_04.xlsx&amp;sheet=U0&amp;row=1776&amp;col=6&amp;number=4.2&amp;sourceID=14","4.2")</f>
        <v>4.2</v>
      </c>
      <c r="G1776" s="4" t="str">
        <f>HYPERLINK("http://141.218.60.56/~jnz1568/getInfo.php?workbook=12_04.xlsx&amp;sheet=U0&amp;row=1776&amp;col=7&amp;number=8.81e-05&amp;sourceID=14","8.81e-05")</f>
        <v>8.81e-05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HYPERLINK("http://141.218.60.56/~jnz1568/getInfo.php?workbook=12_04.xlsx&amp;sheet=U0&amp;row=1777&amp;col=6&amp;number=4.3&amp;sourceID=14","4.3")</f>
        <v>4.3</v>
      </c>
      <c r="G1777" s="4" t="str">
        <f>HYPERLINK("http://141.218.60.56/~jnz1568/getInfo.php?workbook=12_04.xlsx&amp;sheet=U0&amp;row=1777&amp;col=7&amp;number=8.75e-05&amp;sourceID=14","8.75e-05")</f>
        <v>8.75e-05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HYPERLINK("http://141.218.60.56/~jnz1568/getInfo.php?workbook=12_04.xlsx&amp;sheet=U0&amp;row=1778&amp;col=6&amp;number=4.4&amp;sourceID=14","4.4")</f>
        <v>4.4</v>
      </c>
      <c r="G1778" s="4" t="str">
        <f>HYPERLINK("http://141.218.60.56/~jnz1568/getInfo.php?workbook=12_04.xlsx&amp;sheet=U0&amp;row=1778&amp;col=7&amp;number=8.68e-05&amp;sourceID=14","8.68e-05")</f>
        <v>8.68e-05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HYPERLINK("http://141.218.60.56/~jnz1568/getInfo.php?workbook=12_04.xlsx&amp;sheet=U0&amp;row=1779&amp;col=6&amp;number=4.5&amp;sourceID=14","4.5")</f>
        <v>4.5</v>
      </c>
      <c r="G1779" s="4" t="str">
        <f>HYPERLINK("http://141.218.60.56/~jnz1568/getInfo.php?workbook=12_04.xlsx&amp;sheet=U0&amp;row=1779&amp;col=7&amp;number=8.59e-05&amp;sourceID=14","8.59e-05")</f>
        <v>8.59e-05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HYPERLINK("http://141.218.60.56/~jnz1568/getInfo.php?workbook=12_04.xlsx&amp;sheet=U0&amp;row=1780&amp;col=6&amp;number=4.6&amp;sourceID=14","4.6")</f>
        <v>4.6</v>
      </c>
      <c r="G1780" s="4" t="str">
        <f>HYPERLINK("http://141.218.60.56/~jnz1568/getInfo.php?workbook=12_04.xlsx&amp;sheet=U0&amp;row=1780&amp;col=7&amp;number=8.48e-05&amp;sourceID=14","8.48e-05")</f>
        <v>8.48e-05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HYPERLINK("http://141.218.60.56/~jnz1568/getInfo.php?workbook=12_04.xlsx&amp;sheet=U0&amp;row=1781&amp;col=6&amp;number=4.7&amp;sourceID=14","4.7")</f>
        <v>4.7</v>
      </c>
      <c r="G1781" s="4" t="str">
        <f>HYPERLINK("http://141.218.60.56/~jnz1568/getInfo.php?workbook=12_04.xlsx&amp;sheet=U0&amp;row=1781&amp;col=7&amp;number=8.34e-05&amp;sourceID=14","8.34e-05")</f>
        <v>8.34e-05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HYPERLINK("http://141.218.60.56/~jnz1568/getInfo.php?workbook=12_04.xlsx&amp;sheet=U0&amp;row=1782&amp;col=6&amp;number=4.8&amp;sourceID=14","4.8")</f>
        <v>4.8</v>
      </c>
      <c r="G1782" s="4" t="str">
        <f>HYPERLINK("http://141.218.60.56/~jnz1568/getInfo.php?workbook=12_04.xlsx&amp;sheet=U0&amp;row=1782&amp;col=7&amp;number=8.18e-05&amp;sourceID=14","8.18e-05")</f>
        <v>8.18e-05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HYPERLINK("http://141.218.60.56/~jnz1568/getInfo.php?workbook=12_04.xlsx&amp;sheet=U0&amp;row=1783&amp;col=6&amp;number=4.9&amp;sourceID=14","4.9")</f>
        <v>4.9</v>
      </c>
      <c r="G1783" s="4" t="str">
        <f>HYPERLINK("http://141.218.60.56/~jnz1568/getInfo.php?workbook=12_04.xlsx&amp;sheet=U0&amp;row=1783&amp;col=7&amp;number=7.98e-05&amp;sourceID=14","7.98e-05")</f>
        <v>7.98e-05</v>
      </c>
    </row>
    <row r="1784" spans="1:7">
      <c r="A1784" s="3">
        <v>12</v>
      </c>
      <c r="B1784" s="3">
        <v>4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HYPERLINK("http://141.218.60.56/~jnz1568/getInfo.php?workbook=12_04.xlsx&amp;sheet=U0&amp;row=1784&amp;col=6&amp;number=3&amp;sourceID=14","3")</f>
        <v>3</v>
      </c>
      <c r="G1784" s="4" t="str">
        <f>HYPERLINK("http://141.218.60.56/~jnz1568/getInfo.php?workbook=12_04.xlsx&amp;sheet=U0&amp;row=1784&amp;col=7&amp;number=6.32e-05&amp;sourceID=14","6.32e-05")</f>
        <v>6.32e-05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HYPERLINK("http://141.218.60.56/~jnz1568/getInfo.php?workbook=12_04.xlsx&amp;sheet=U0&amp;row=1785&amp;col=6&amp;number=3.1&amp;sourceID=14","3.1")</f>
        <v>3.1</v>
      </c>
      <c r="G1785" s="4" t="str">
        <f>HYPERLINK("http://141.218.60.56/~jnz1568/getInfo.php?workbook=12_04.xlsx&amp;sheet=U0&amp;row=1785&amp;col=7&amp;number=6.32e-05&amp;sourceID=14","6.32e-05")</f>
        <v>6.32e-05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HYPERLINK("http://141.218.60.56/~jnz1568/getInfo.php?workbook=12_04.xlsx&amp;sheet=U0&amp;row=1786&amp;col=6&amp;number=3.2&amp;sourceID=14","3.2")</f>
        <v>3.2</v>
      </c>
      <c r="G1786" s="4" t="str">
        <f>HYPERLINK("http://141.218.60.56/~jnz1568/getInfo.php?workbook=12_04.xlsx&amp;sheet=U0&amp;row=1786&amp;col=7&amp;number=6.32e-05&amp;sourceID=14","6.32e-05")</f>
        <v>6.32e-05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HYPERLINK("http://141.218.60.56/~jnz1568/getInfo.php?workbook=12_04.xlsx&amp;sheet=U0&amp;row=1787&amp;col=6&amp;number=3.3&amp;sourceID=14","3.3")</f>
        <v>3.3</v>
      </c>
      <c r="G1787" s="4" t="str">
        <f>HYPERLINK("http://141.218.60.56/~jnz1568/getInfo.php?workbook=12_04.xlsx&amp;sheet=U0&amp;row=1787&amp;col=7&amp;number=6.31e-05&amp;sourceID=14","6.31e-05")</f>
        <v>6.31e-05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HYPERLINK("http://141.218.60.56/~jnz1568/getInfo.php?workbook=12_04.xlsx&amp;sheet=U0&amp;row=1788&amp;col=6&amp;number=3.4&amp;sourceID=14","3.4")</f>
        <v>3.4</v>
      </c>
      <c r="G1788" s="4" t="str">
        <f>HYPERLINK("http://141.218.60.56/~jnz1568/getInfo.php?workbook=12_04.xlsx&amp;sheet=U0&amp;row=1788&amp;col=7&amp;number=6.31e-05&amp;sourceID=14","6.31e-05")</f>
        <v>6.31e-05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HYPERLINK("http://141.218.60.56/~jnz1568/getInfo.php?workbook=12_04.xlsx&amp;sheet=U0&amp;row=1789&amp;col=6&amp;number=3.5&amp;sourceID=14","3.5")</f>
        <v>3.5</v>
      </c>
      <c r="G1789" s="4" t="str">
        <f>HYPERLINK("http://141.218.60.56/~jnz1568/getInfo.php?workbook=12_04.xlsx&amp;sheet=U0&amp;row=1789&amp;col=7&amp;number=6.3e-05&amp;sourceID=14","6.3e-05")</f>
        <v>6.3e-05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HYPERLINK("http://141.218.60.56/~jnz1568/getInfo.php?workbook=12_04.xlsx&amp;sheet=U0&amp;row=1790&amp;col=6&amp;number=3.6&amp;sourceID=14","3.6")</f>
        <v>3.6</v>
      </c>
      <c r="G1790" s="4" t="str">
        <f>HYPERLINK("http://141.218.60.56/~jnz1568/getInfo.php?workbook=12_04.xlsx&amp;sheet=U0&amp;row=1790&amp;col=7&amp;number=6.29e-05&amp;sourceID=14","6.29e-05")</f>
        <v>6.29e-05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HYPERLINK("http://141.218.60.56/~jnz1568/getInfo.php?workbook=12_04.xlsx&amp;sheet=U0&amp;row=1791&amp;col=6&amp;number=3.7&amp;sourceID=14","3.7")</f>
        <v>3.7</v>
      </c>
      <c r="G1791" s="4" t="str">
        <f>HYPERLINK("http://141.218.60.56/~jnz1568/getInfo.php?workbook=12_04.xlsx&amp;sheet=U0&amp;row=1791&amp;col=7&amp;number=6.28e-05&amp;sourceID=14","6.28e-05")</f>
        <v>6.28e-05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HYPERLINK("http://141.218.60.56/~jnz1568/getInfo.php?workbook=12_04.xlsx&amp;sheet=U0&amp;row=1792&amp;col=6&amp;number=3.8&amp;sourceID=14","3.8")</f>
        <v>3.8</v>
      </c>
      <c r="G1792" s="4" t="str">
        <f>HYPERLINK("http://141.218.60.56/~jnz1568/getInfo.php?workbook=12_04.xlsx&amp;sheet=U0&amp;row=1792&amp;col=7&amp;number=6.26e-05&amp;sourceID=14","6.26e-05")</f>
        <v>6.26e-05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HYPERLINK("http://141.218.60.56/~jnz1568/getInfo.php?workbook=12_04.xlsx&amp;sheet=U0&amp;row=1793&amp;col=6&amp;number=3.9&amp;sourceID=14","3.9")</f>
        <v>3.9</v>
      </c>
      <c r="G1793" s="4" t="str">
        <f>HYPERLINK("http://141.218.60.56/~jnz1568/getInfo.php?workbook=12_04.xlsx&amp;sheet=U0&amp;row=1793&amp;col=7&amp;number=6.24e-05&amp;sourceID=14","6.24e-05")</f>
        <v>6.24e-05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HYPERLINK("http://141.218.60.56/~jnz1568/getInfo.php?workbook=12_04.xlsx&amp;sheet=U0&amp;row=1794&amp;col=6&amp;number=4&amp;sourceID=14","4")</f>
        <v>4</v>
      </c>
      <c r="G1794" s="4" t="str">
        <f>HYPERLINK("http://141.218.60.56/~jnz1568/getInfo.php?workbook=12_04.xlsx&amp;sheet=U0&amp;row=1794&amp;col=7&amp;number=6.22e-05&amp;sourceID=14","6.22e-05")</f>
        <v>6.22e-05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HYPERLINK("http://141.218.60.56/~jnz1568/getInfo.php?workbook=12_04.xlsx&amp;sheet=U0&amp;row=1795&amp;col=6&amp;number=4.1&amp;sourceID=14","4.1")</f>
        <v>4.1</v>
      </c>
      <c r="G1795" s="4" t="str">
        <f>HYPERLINK("http://141.218.60.56/~jnz1568/getInfo.php?workbook=12_04.xlsx&amp;sheet=U0&amp;row=1795&amp;col=7&amp;number=6.19e-05&amp;sourceID=14","6.19e-05")</f>
        <v>6.19e-05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HYPERLINK("http://141.218.60.56/~jnz1568/getInfo.php?workbook=12_04.xlsx&amp;sheet=U0&amp;row=1796&amp;col=6&amp;number=4.2&amp;sourceID=14","4.2")</f>
        <v>4.2</v>
      </c>
      <c r="G1796" s="4" t="str">
        <f>HYPERLINK("http://141.218.60.56/~jnz1568/getInfo.php?workbook=12_04.xlsx&amp;sheet=U0&amp;row=1796&amp;col=7&amp;number=6.15e-05&amp;sourceID=14","6.15e-05")</f>
        <v>6.15e-05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HYPERLINK("http://141.218.60.56/~jnz1568/getInfo.php?workbook=12_04.xlsx&amp;sheet=U0&amp;row=1797&amp;col=6&amp;number=4.3&amp;sourceID=14","4.3")</f>
        <v>4.3</v>
      </c>
      <c r="G1797" s="4" t="str">
        <f>HYPERLINK("http://141.218.60.56/~jnz1568/getInfo.php?workbook=12_04.xlsx&amp;sheet=U0&amp;row=1797&amp;col=7&amp;number=6.11e-05&amp;sourceID=14","6.11e-05")</f>
        <v>6.11e-05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HYPERLINK("http://141.218.60.56/~jnz1568/getInfo.php?workbook=12_04.xlsx&amp;sheet=U0&amp;row=1798&amp;col=6&amp;number=4.4&amp;sourceID=14","4.4")</f>
        <v>4.4</v>
      </c>
      <c r="G1798" s="4" t="str">
        <f>HYPERLINK("http://141.218.60.56/~jnz1568/getInfo.php?workbook=12_04.xlsx&amp;sheet=U0&amp;row=1798&amp;col=7&amp;number=6.05e-05&amp;sourceID=14","6.05e-05")</f>
        <v>6.05e-05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HYPERLINK("http://141.218.60.56/~jnz1568/getInfo.php?workbook=12_04.xlsx&amp;sheet=U0&amp;row=1799&amp;col=6&amp;number=4.5&amp;sourceID=14","4.5")</f>
        <v>4.5</v>
      </c>
      <c r="G1799" s="4" t="str">
        <f>HYPERLINK("http://141.218.60.56/~jnz1568/getInfo.php?workbook=12_04.xlsx&amp;sheet=U0&amp;row=1799&amp;col=7&amp;number=5.98e-05&amp;sourceID=14","5.98e-05")</f>
        <v>5.98e-05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HYPERLINK("http://141.218.60.56/~jnz1568/getInfo.php?workbook=12_04.xlsx&amp;sheet=U0&amp;row=1800&amp;col=6&amp;number=4.6&amp;sourceID=14","4.6")</f>
        <v>4.6</v>
      </c>
      <c r="G1800" s="4" t="str">
        <f>HYPERLINK("http://141.218.60.56/~jnz1568/getInfo.php?workbook=12_04.xlsx&amp;sheet=U0&amp;row=1800&amp;col=7&amp;number=5.89e-05&amp;sourceID=14","5.89e-05")</f>
        <v>5.89e-05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HYPERLINK("http://141.218.60.56/~jnz1568/getInfo.php?workbook=12_04.xlsx&amp;sheet=U0&amp;row=1801&amp;col=6&amp;number=4.7&amp;sourceID=14","4.7")</f>
        <v>4.7</v>
      </c>
      <c r="G1801" s="4" t="str">
        <f>HYPERLINK("http://141.218.60.56/~jnz1568/getInfo.php?workbook=12_04.xlsx&amp;sheet=U0&amp;row=1801&amp;col=7&amp;number=5.78e-05&amp;sourceID=14","5.78e-05")</f>
        <v>5.78e-05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HYPERLINK("http://141.218.60.56/~jnz1568/getInfo.php?workbook=12_04.xlsx&amp;sheet=U0&amp;row=1802&amp;col=6&amp;number=4.8&amp;sourceID=14","4.8")</f>
        <v>4.8</v>
      </c>
      <c r="G1802" s="4" t="str">
        <f>HYPERLINK("http://141.218.60.56/~jnz1568/getInfo.php?workbook=12_04.xlsx&amp;sheet=U0&amp;row=1802&amp;col=7&amp;number=5.65e-05&amp;sourceID=14","5.65e-05")</f>
        <v>5.65e-05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HYPERLINK("http://141.218.60.56/~jnz1568/getInfo.php?workbook=12_04.xlsx&amp;sheet=U0&amp;row=1803&amp;col=6&amp;number=4.9&amp;sourceID=14","4.9")</f>
        <v>4.9</v>
      </c>
      <c r="G1803" s="4" t="str">
        <f>HYPERLINK("http://141.218.60.56/~jnz1568/getInfo.php?workbook=12_04.xlsx&amp;sheet=U0&amp;row=1803&amp;col=7&amp;number=5.5e-05&amp;sourceID=14","5.5e-05")</f>
        <v>5.5e-05</v>
      </c>
    </row>
    <row r="1804" spans="1:7">
      <c r="A1804" s="3">
        <v>12</v>
      </c>
      <c r="B1804" s="3">
        <v>4</v>
      </c>
      <c r="C1804" s="3">
        <v>1</v>
      </c>
      <c r="D1804" s="3">
        <v>92</v>
      </c>
      <c r="E1804" s="3">
        <v>1</v>
      </c>
      <c r="F1804" s="4" t="str">
        <f>HYPERLINK("http://141.218.60.56/~jnz1568/getInfo.php?workbook=12_04.xlsx&amp;sheet=U0&amp;row=1804&amp;col=6&amp;number=3&amp;sourceID=14","3")</f>
        <v>3</v>
      </c>
      <c r="G1804" s="4" t="str">
        <f>HYPERLINK("http://141.218.60.56/~jnz1568/getInfo.php?workbook=12_04.xlsx&amp;sheet=U0&amp;row=1804&amp;col=7&amp;number=0.000166&amp;sourceID=14","0.000166")</f>
        <v>0.000166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HYPERLINK("http://141.218.60.56/~jnz1568/getInfo.php?workbook=12_04.xlsx&amp;sheet=U0&amp;row=1805&amp;col=6&amp;number=3.1&amp;sourceID=14","3.1")</f>
        <v>3.1</v>
      </c>
      <c r="G1805" s="4" t="str">
        <f>HYPERLINK("http://141.218.60.56/~jnz1568/getInfo.php?workbook=12_04.xlsx&amp;sheet=U0&amp;row=1805&amp;col=7&amp;number=0.000166&amp;sourceID=14","0.000166")</f>
        <v>0.000166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HYPERLINK("http://141.218.60.56/~jnz1568/getInfo.php?workbook=12_04.xlsx&amp;sheet=U0&amp;row=1806&amp;col=6&amp;number=3.2&amp;sourceID=14","3.2")</f>
        <v>3.2</v>
      </c>
      <c r="G1806" s="4" t="str">
        <f>HYPERLINK("http://141.218.60.56/~jnz1568/getInfo.php?workbook=12_04.xlsx&amp;sheet=U0&amp;row=1806&amp;col=7&amp;number=0.000165&amp;sourceID=14","0.000165")</f>
        <v>0.000165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HYPERLINK("http://141.218.60.56/~jnz1568/getInfo.php?workbook=12_04.xlsx&amp;sheet=U0&amp;row=1807&amp;col=6&amp;number=3.3&amp;sourceID=14","3.3")</f>
        <v>3.3</v>
      </c>
      <c r="G1807" s="4" t="str">
        <f>HYPERLINK("http://141.218.60.56/~jnz1568/getInfo.php?workbook=12_04.xlsx&amp;sheet=U0&amp;row=1807&amp;col=7&amp;number=0.000165&amp;sourceID=14","0.000165")</f>
        <v>0.000165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HYPERLINK("http://141.218.60.56/~jnz1568/getInfo.php?workbook=12_04.xlsx&amp;sheet=U0&amp;row=1808&amp;col=6&amp;number=3.4&amp;sourceID=14","3.4")</f>
        <v>3.4</v>
      </c>
      <c r="G1808" s="4" t="str">
        <f>HYPERLINK("http://141.218.60.56/~jnz1568/getInfo.php?workbook=12_04.xlsx&amp;sheet=U0&amp;row=1808&amp;col=7&amp;number=0.000164&amp;sourceID=14","0.000164")</f>
        <v>0.000164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HYPERLINK("http://141.218.60.56/~jnz1568/getInfo.php?workbook=12_04.xlsx&amp;sheet=U0&amp;row=1809&amp;col=6&amp;number=3.5&amp;sourceID=14","3.5")</f>
        <v>3.5</v>
      </c>
      <c r="G1809" s="4" t="str">
        <f>HYPERLINK("http://141.218.60.56/~jnz1568/getInfo.php?workbook=12_04.xlsx&amp;sheet=U0&amp;row=1809&amp;col=7&amp;number=0.000164&amp;sourceID=14","0.000164")</f>
        <v>0.000164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HYPERLINK("http://141.218.60.56/~jnz1568/getInfo.php?workbook=12_04.xlsx&amp;sheet=U0&amp;row=1810&amp;col=6&amp;number=3.6&amp;sourceID=14","3.6")</f>
        <v>3.6</v>
      </c>
      <c r="G1810" s="4" t="str">
        <f>HYPERLINK("http://141.218.60.56/~jnz1568/getInfo.php?workbook=12_04.xlsx&amp;sheet=U0&amp;row=1810&amp;col=7&amp;number=0.000163&amp;sourceID=14","0.000163")</f>
        <v>0.000163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HYPERLINK("http://141.218.60.56/~jnz1568/getInfo.php?workbook=12_04.xlsx&amp;sheet=U0&amp;row=1811&amp;col=6&amp;number=3.7&amp;sourceID=14","3.7")</f>
        <v>3.7</v>
      </c>
      <c r="G1811" s="4" t="str">
        <f>HYPERLINK("http://141.218.60.56/~jnz1568/getInfo.php?workbook=12_04.xlsx&amp;sheet=U0&amp;row=1811&amp;col=7&amp;number=0.000162&amp;sourceID=14","0.000162")</f>
        <v>0.000162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HYPERLINK("http://141.218.60.56/~jnz1568/getInfo.php?workbook=12_04.xlsx&amp;sheet=U0&amp;row=1812&amp;col=6&amp;number=3.8&amp;sourceID=14","3.8")</f>
        <v>3.8</v>
      </c>
      <c r="G1812" s="4" t="str">
        <f>HYPERLINK("http://141.218.60.56/~jnz1568/getInfo.php?workbook=12_04.xlsx&amp;sheet=U0&amp;row=1812&amp;col=7&amp;number=0.00016&amp;sourceID=14","0.00016")</f>
        <v>0.00016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HYPERLINK("http://141.218.60.56/~jnz1568/getInfo.php?workbook=12_04.xlsx&amp;sheet=U0&amp;row=1813&amp;col=6&amp;number=3.9&amp;sourceID=14","3.9")</f>
        <v>3.9</v>
      </c>
      <c r="G1813" s="4" t="str">
        <f>HYPERLINK("http://141.218.60.56/~jnz1568/getInfo.php?workbook=12_04.xlsx&amp;sheet=U0&amp;row=1813&amp;col=7&amp;number=0.000159&amp;sourceID=14","0.000159")</f>
        <v>0.000159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HYPERLINK("http://141.218.60.56/~jnz1568/getInfo.php?workbook=12_04.xlsx&amp;sheet=U0&amp;row=1814&amp;col=6&amp;number=4&amp;sourceID=14","4")</f>
        <v>4</v>
      </c>
      <c r="G1814" s="4" t="str">
        <f>HYPERLINK("http://141.218.60.56/~jnz1568/getInfo.php?workbook=12_04.xlsx&amp;sheet=U0&amp;row=1814&amp;col=7&amp;number=0.000157&amp;sourceID=14","0.000157")</f>
        <v>0.000157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HYPERLINK("http://141.218.60.56/~jnz1568/getInfo.php?workbook=12_04.xlsx&amp;sheet=U0&amp;row=1815&amp;col=6&amp;number=4.1&amp;sourceID=14","4.1")</f>
        <v>4.1</v>
      </c>
      <c r="G1815" s="4" t="str">
        <f>HYPERLINK("http://141.218.60.56/~jnz1568/getInfo.php?workbook=12_04.xlsx&amp;sheet=U0&amp;row=1815&amp;col=7&amp;number=0.000154&amp;sourceID=14","0.000154")</f>
        <v>0.000154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HYPERLINK("http://141.218.60.56/~jnz1568/getInfo.php?workbook=12_04.xlsx&amp;sheet=U0&amp;row=1816&amp;col=6&amp;number=4.2&amp;sourceID=14","4.2")</f>
        <v>4.2</v>
      </c>
      <c r="G1816" s="4" t="str">
        <f>HYPERLINK("http://141.218.60.56/~jnz1568/getInfo.php?workbook=12_04.xlsx&amp;sheet=U0&amp;row=1816&amp;col=7&amp;number=0.000151&amp;sourceID=14","0.000151")</f>
        <v>0.000151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HYPERLINK("http://141.218.60.56/~jnz1568/getInfo.php?workbook=12_04.xlsx&amp;sheet=U0&amp;row=1817&amp;col=6&amp;number=4.3&amp;sourceID=14","4.3")</f>
        <v>4.3</v>
      </c>
      <c r="G1817" s="4" t="str">
        <f>HYPERLINK("http://141.218.60.56/~jnz1568/getInfo.php?workbook=12_04.xlsx&amp;sheet=U0&amp;row=1817&amp;col=7&amp;number=0.000147&amp;sourceID=14","0.000147")</f>
        <v>0.000147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HYPERLINK("http://141.218.60.56/~jnz1568/getInfo.php?workbook=12_04.xlsx&amp;sheet=U0&amp;row=1818&amp;col=6&amp;number=4.4&amp;sourceID=14","4.4")</f>
        <v>4.4</v>
      </c>
      <c r="G1818" s="4" t="str">
        <f>HYPERLINK("http://141.218.60.56/~jnz1568/getInfo.php?workbook=12_04.xlsx&amp;sheet=U0&amp;row=1818&amp;col=7&amp;number=0.000142&amp;sourceID=14","0.000142")</f>
        <v>0.000142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HYPERLINK("http://141.218.60.56/~jnz1568/getInfo.php?workbook=12_04.xlsx&amp;sheet=U0&amp;row=1819&amp;col=6&amp;number=4.5&amp;sourceID=14","4.5")</f>
        <v>4.5</v>
      </c>
      <c r="G1819" s="4" t="str">
        <f>HYPERLINK("http://141.218.60.56/~jnz1568/getInfo.php?workbook=12_04.xlsx&amp;sheet=U0&amp;row=1819&amp;col=7&amp;number=0.000136&amp;sourceID=14","0.000136")</f>
        <v>0.000136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HYPERLINK("http://141.218.60.56/~jnz1568/getInfo.php?workbook=12_04.xlsx&amp;sheet=U0&amp;row=1820&amp;col=6&amp;number=4.6&amp;sourceID=14","4.6")</f>
        <v>4.6</v>
      </c>
      <c r="G1820" s="4" t="str">
        <f>HYPERLINK("http://141.218.60.56/~jnz1568/getInfo.php?workbook=12_04.xlsx&amp;sheet=U0&amp;row=1820&amp;col=7&amp;number=0.000129&amp;sourceID=14","0.000129")</f>
        <v>0.000129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HYPERLINK("http://141.218.60.56/~jnz1568/getInfo.php?workbook=12_04.xlsx&amp;sheet=U0&amp;row=1821&amp;col=6&amp;number=4.7&amp;sourceID=14","4.7")</f>
        <v>4.7</v>
      </c>
      <c r="G1821" s="4" t="str">
        <f>HYPERLINK("http://141.218.60.56/~jnz1568/getInfo.php?workbook=12_04.xlsx&amp;sheet=U0&amp;row=1821&amp;col=7&amp;number=0.000121&amp;sourceID=14","0.000121")</f>
        <v>0.000121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HYPERLINK("http://141.218.60.56/~jnz1568/getInfo.php?workbook=12_04.xlsx&amp;sheet=U0&amp;row=1822&amp;col=6&amp;number=4.8&amp;sourceID=14","4.8")</f>
        <v>4.8</v>
      </c>
      <c r="G1822" s="4" t="str">
        <f>HYPERLINK("http://141.218.60.56/~jnz1568/getInfo.php?workbook=12_04.xlsx&amp;sheet=U0&amp;row=1822&amp;col=7&amp;number=0.000112&amp;sourceID=14","0.000112")</f>
        <v>0.000112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HYPERLINK("http://141.218.60.56/~jnz1568/getInfo.php?workbook=12_04.xlsx&amp;sheet=U0&amp;row=1823&amp;col=6&amp;number=4.9&amp;sourceID=14","4.9")</f>
        <v>4.9</v>
      </c>
      <c r="G1823" s="4" t="str">
        <f>HYPERLINK("http://141.218.60.56/~jnz1568/getInfo.php?workbook=12_04.xlsx&amp;sheet=U0&amp;row=1823&amp;col=7&amp;number=0.000102&amp;sourceID=14","0.000102")</f>
        <v>0.000102</v>
      </c>
    </row>
    <row r="1824" spans="1:7">
      <c r="A1824" s="3">
        <v>12</v>
      </c>
      <c r="B1824" s="3">
        <v>4</v>
      </c>
      <c r="C1824" s="3">
        <v>1</v>
      </c>
      <c r="D1824" s="3">
        <v>93</v>
      </c>
      <c r="E1824" s="3">
        <v>1</v>
      </c>
      <c r="F1824" s="4" t="str">
        <f>HYPERLINK("http://141.218.60.56/~jnz1568/getInfo.php?workbook=12_04.xlsx&amp;sheet=U0&amp;row=1824&amp;col=6&amp;number=3&amp;sourceID=14","3")</f>
        <v>3</v>
      </c>
      <c r="G1824" s="4" t="str">
        <f>HYPERLINK("http://141.218.60.56/~jnz1568/getInfo.php?workbook=12_04.xlsx&amp;sheet=U0&amp;row=1824&amp;col=7&amp;number=0.000164&amp;sourceID=14","0.000164")</f>
        <v>0.000164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HYPERLINK("http://141.218.60.56/~jnz1568/getInfo.php?workbook=12_04.xlsx&amp;sheet=U0&amp;row=1825&amp;col=6&amp;number=3.1&amp;sourceID=14","3.1")</f>
        <v>3.1</v>
      </c>
      <c r="G1825" s="4" t="str">
        <f>HYPERLINK("http://141.218.60.56/~jnz1568/getInfo.php?workbook=12_04.xlsx&amp;sheet=U0&amp;row=1825&amp;col=7&amp;number=0.000163&amp;sourceID=14","0.000163")</f>
        <v>0.000163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HYPERLINK("http://141.218.60.56/~jnz1568/getInfo.php?workbook=12_04.xlsx&amp;sheet=U0&amp;row=1826&amp;col=6&amp;number=3.2&amp;sourceID=14","3.2")</f>
        <v>3.2</v>
      </c>
      <c r="G1826" s="4" t="str">
        <f>HYPERLINK("http://141.218.60.56/~jnz1568/getInfo.php?workbook=12_04.xlsx&amp;sheet=U0&amp;row=1826&amp;col=7&amp;number=0.000163&amp;sourceID=14","0.000163")</f>
        <v>0.000163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HYPERLINK("http://141.218.60.56/~jnz1568/getInfo.php?workbook=12_04.xlsx&amp;sheet=U0&amp;row=1827&amp;col=6&amp;number=3.3&amp;sourceID=14","3.3")</f>
        <v>3.3</v>
      </c>
      <c r="G1827" s="4" t="str">
        <f>HYPERLINK("http://141.218.60.56/~jnz1568/getInfo.php?workbook=12_04.xlsx&amp;sheet=U0&amp;row=1827&amp;col=7&amp;number=0.000162&amp;sourceID=14","0.000162")</f>
        <v>0.000162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HYPERLINK("http://141.218.60.56/~jnz1568/getInfo.php?workbook=12_04.xlsx&amp;sheet=U0&amp;row=1828&amp;col=6&amp;number=3.4&amp;sourceID=14","3.4")</f>
        <v>3.4</v>
      </c>
      <c r="G1828" s="4" t="str">
        <f>HYPERLINK("http://141.218.60.56/~jnz1568/getInfo.php?workbook=12_04.xlsx&amp;sheet=U0&amp;row=1828&amp;col=7&amp;number=0.000161&amp;sourceID=14","0.000161")</f>
        <v>0.000161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HYPERLINK("http://141.218.60.56/~jnz1568/getInfo.php?workbook=12_04.xlsx&amp;sheet=U0&amp;row=1829&amp;col=6&amp;number=3.5&amp;sourceID=14","3.5")</f>
        <v>3.5</v>
      </c>
      <c r="G1829" s="4" t="str">
        <f>HYPERLINK("http://141.218.60.56/~jnz1568/getInfo.php?workbook=12_04.xlsx&amp;sheet=U0&amp;row=1829&amp;col=7&amp;number=0.000161&amp;sourceID=14","0.000161")</f>
        <v>0.000161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HYPERLINK("http://141.218.60.56/~jnz1568/getInfo.php?workbook=12_04.xlsx&amp;sheet=U0&amp;row=1830&amp;col=6&amp;number=3.6&amp;sourceID=14","3.6")</f>
        <v>3.6</v>
      </c>
      <c r="G1830" s="4" t="str">
        <f>HYPERLINK("http://141.218.60.56/~jnz1568/getInfo.php?workbook=12_04.xlsx&amp;sheet=U0&amp;row=1830&amp;col=7&amp;number=0.000159&amp;sourceID=14","0.000159")</f>
        <v>0.000159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HYPERLINK("http://141.218.60.56/~jnz1568/getInfo.php?workbook=12_04.xlsx&amp;sheet=U0&amp;row=1831&amp;col=6&amp;number=3.7&amp;sourceID=14","3.7")</f>
        <v>3.7</v>
      </c>
      <c r="G1831" s="4" t="str">
        <f>HYPERLINK("http://141.218.60.56/~jnz1568/getInfo.php?workbook=12_04.xlsx&amp;sheet=U0&amp;row=1831&amp;col=7&amp;number=0.000158&amp;sourceID=14","0.000158")</f>
        <v>0.000158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HYPERLINK("http://141.218.60.56/~jnz1568/getInfo.php?workbook=12_04.xlsx&amp;sheet=U0&amp;row=1832&amp;col=6&amp;number=3.8&amp;sourceID=14","3.8")</f>
        <v>3.8</v>
      </c>
      <c r="G1832" s="4" t="str">
        <f>HYPERLINK("http://141.218.60.56/~jnz1568/getInfo.php?workbook=12_04.xlsx&amp;sheet=U0&amp;row=1832&amp;col=7&amp;number=0.000156&amp;sourceID=14","0.000156")</f>
        <v>0.000156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HYPERLINK("http://141.218.60.56/~jnz1568/getInfo.php?workbook=12_04.xlsx&amp;sheet=U0&amp;row=1833&amp;col=6&amp;number=3.9&amp;sourceID=14","3.9")</f>
        <v>3.9</v>
      </c>
      <c r="G1833" s="4" t="str">
        <f>HYPERLINK("http://141.218.60.56/~jnz1568/getInfo.php?workbook=12_04.xlsx&amp;sheet=U0&amp;row=1833&amp;col=7&amp;number=0.000154&amp;sourceID=14","0.000154")</f>
        <v>0.000154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HYPERLINK("http://141.218.60.56/~jnz1568/getInfo.php?workbook=12_04.xlsx&amp;sheet=U0&amp;row=1834&amp;col=6&amp;number=4&amp;sourceID=14","4")</f>
        <v>4</v>
      </c>
      <c r="G1834" s="4" t="str">
        <f>HYPERLINK("http://141.218.60.56/~jnz1568/getInfo.php?workbook=12_04.xlsx&amp;sheet=U0&amp;row=1834&amp;col=7&amp;number=0.000151&amp;sourceID=14","0.000151")</f>
        <v>0.000151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HYPERLINK("http://141.218.60.56/~jnz1568/getInfo.php?workbook=12_04.xlsx&amp;sheet=U0&amp;row=1835&amp;col=6&amp;number=4.1&amp;sourceID=14","4.1")</f>
        <v>4.1</v>
      </c>
      <c r="G1835" s="4" t="str">
        <f>HYPERLINK("http://141.218.60.56/~jnz1568/getInfo.php?workbook=12_04.xlsx&amp;sheet=U0&amp;row=1835&amp;col=7&amp;number=0.000147&amp;sourceID=14","0.000147")</f>
        <v>0.000147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HYPERLINK("http://141.218.60.56/~jnz1568/getInfo.php?workbook=12_04.xlsx&amp;sheet=U0&amp;row=1836&amp;col=6&amp;number=4.2&amp;sourceID=14","4.2")</f>
        <v>4.2</v>
      </c>
      <c r="G1836" s="4" t="str">
        <f>HYPERLINK("http://141.218.60.56/~jnz1568/getInfo.php?workbook=12_04.xlsx&amp;sheet=U0&amp;row=1836&amp;col=7&amp;number=0.000143&amp;sourceID=14","0.000143")</f>
        <v>0.000143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HYPERLINK("http://141.218.60.56/~jnz1568/getInfo.php?workbook=12_04.xlsx&amp;sheet=U0&amp;row=1837&amp;col=6&amp;number=4.3&amp;sourceID=14","4.3")</f>
        <v>4.3</v>
      </c>
      <c r="G1837" s="4" t="str">
        <f>HYPERLINK("http://141.218.60.56/~jnz1568/getInfo.php?workbook=12_04.xlsx&amp;sheet=U0&amp;row=1837&amp;col=7&amp;number=0.000137&amp;sourceID=14","0.000137")</f>
        <v>0.000137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HYPERLINK("http://141.218.60.56/~jnz1568/getInfo.php?workbook=12_04.xlsx&amp;sheet=U0&amp;row=1838&amp;col=6&amp;number=4.4&amp;sourceID=14","4.4")</f>
        <v>4.4</v>
      </c>
      <c r="G1838" s="4" t="str">
        <f>HYPERLINK("http://141.218.60.56/~jnz1568/getInfo.php?workbook=12_04.xlsx&amp;sheet=U0&amp;row=1838&amp;col=7&amp;number=0.000131&amp;sourceID=14","0.000131")</f>
        <v>0.000131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HYPERLINK("http://141.218.60.56/~jnz1568/getInfo.php?workbook=12_04.xlsx&amp;sheet=U0&amp;row=1839&amp;col=6&amp;number=4.5&amp;sourceID=14","4.5")</f>
        <v>4.5</v>
      </c>
      <c r="G1839" s="4" t="str">
        <f>HYPERLINK("http://141.218.60.56/~jnz1568/getInfo.php?workbook=12_04.xlsx&amp;sheet=U0&amp;row=1839&amp;col=7&amp;number=0.000123&amp;sourceID=14","0.000123")</f>
        <v>0.000123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HYPERLINK("http://141.218.60.56/~jnz1568/getInfo.php?workbook=12_04.xlsx&amp;sheet=U0&amp;row=1840&amp;col=6&amp;number=4.6&amp;sourceID=14","4.6")</f>
        <v>4.6</v>
      </c>
      <c r="G1840" s="4" t="str">
        <f>HYPERLINK("http://141.218.60.56/~jnz1568/getInfo.php?workbook=12_04.xlsx&amp;sheet=U0&amp;row=1840&amp;col=7&amp;number=0.000113&amp;sourceID=14","0.000113")</f>
        <v>0.000113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HYPERLINK("http://141.218.60.56/~jnz1568/getInfo.php?workbook=12_04.xlsx&amp;sheet=U0&amp;row=1841&amp;col=6&amp;number=4.7&amp;sourceID=14","4.7")</f>
        <v>4.7</v>
      </c>
      <c r="G1841" s="4" t="str">
        <f>HYPERLINK("http://141.218.60.56/~jnz1568/getInfo.php?workbook=12_04.xlsx&amp;sheet=U0&amp;row=1841&amp;col=7&amp;number=0.000102&amp;sourceID=14","0.000102")</f>
        <v>0.000102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HYPERLINK("http://141.218.60.56/~jnz1568/getInfo.php?workbook=12_04.xlsx&amp;sheet=U0&amp;row=1842&amp;col=6&amp;number=4.8&amp;sourceID=14","4.8")</f>
        <v>4.8</v>
      </c>
      <c r="G1842" s="4" t="str">
        <f>HYPERLINK("http://141.218.60.56/~jnz1568/getInfo.php?workbook=12_04.xlsx&amp;sheet=U0&amp;row=1842&amp;col=7&amp;number=8.91e-05&amp;sourceID=14","8.91e-05")</f>
        <v>8.91e-05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HYPERLINK("http://141.218.60.56/~jnz1568/getInfo.php?workbook=12_04.xlsx&amp;sheet=U0&amp;row=1843&amp;col=6&amp;number=4.9&amp;sourceID=14","4.9")</f>
        <v>4.9</v>
      </c>
      <c r="G1843" s="4" t="str">
        <f>HYPERLINK("http://141.218.60.56/~jnz1568/getInfo.php?workbook=12_04.xlsx&amp;sheet=U0&amp;row=1843&amp;col=7&amp;number=7.61e-05&amp;sourceID=14","7.61e-05")</f>
        <v>7.61e-05</v>
      </c>
    </row>
    <row r="1844" spans="1:7">
      <c r="A1844" s="3">
        <v>12</v>
      </c>
      <c r="B1844" s="3">
        <v>4</v>
      </c>
      <c r="C1844" s="3">
        <v>1</v>
      </c>
      <c r="D1844" s="3">
        <v>94</v>
      </c>
      <c r="E1844" s="3">
        <v>1</v>
      </c>
      <c r="F1844" s="4" t="str">
        <f>HYPERLINK("http://141.218.60.56/~jnz1568/getInfo.php?workbook=12_04.xlsx&amp;sheet=U0&amp;row=1844&amp;col=6&amp;number=3&amp;sourceID=14","3")</f>
        <v>3</v>
      </c>
      <c r="G1844" s="4" t="str">
        <f>HYPERLINK("http://141.218.60.56/~jnz1568/getInfo.php?workbook=12_04.xlsx&amp;sheet=U0&amp;row=1844&amp;col=7&amp;number=2.53e-05&amp;sourceID=14","2.53e-05")</f>
        <v>2.53e-05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HYPERLINK("http://141.218.60.56/~jnz1568/getInfo.php?workbook=12_04.xlsx&amp;sheet=U0&amp;row=1845&amp;col=6&amp;number=3.1&amp;sourceID=14","3.1")</f>
        <v>3.1</v>
      </c>
      <c r="G1845" s="4" t="str">
        <f>HYPERLINK("http://141.218.60.56/~jnz1568/getInfo.php?workbook=12_04.xlsx&amp;sheet=U0&amp;row=1845&amp;col=7&amp;number=2.53e-05&amp;sourceID=14","2.53e-05")</f>
        <v>2.53e-05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HYPERLINK("http://141.218.60.56/~jnz1568/getInfo.php?workbook=12_04.xlsx&amp;sheet=U0&amp;row=1846&amp;col=6&amp;number=3.2&amp;sourceID=14","3.2")</f>
        <v>3.2</v>
      </c>
      <c r="G1846" s="4" t="str">
        <f>HYPERLINK("http://141.218.60.56/~jnz1568/getInfo.php?workbook=12_04.xlsx&amp;sheet=U0&amp;row=1846&amp;col=7&amp;number=2.53e-05&amp;sourceID=14","2.53e-05")</f>
        <v>2.53e-05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HYPERLINK("http://141.218.60.56/~jnz1568/getInfo.php?workbook=12_04.xlsx&amp;sheet=U0&amp;row=1847&amp;col=6&amp;number=3.3&amp;sourceID=14","3.3")</f>
        <v>3.3</v>
      </c>
      <c r="G1847" s="4" t="str">
        <f>HYPERLINK("http://141.218.60.56/~jnz1568/getInfo.php?workbook=12_04.xlsx&amp;sheet=U0&amp;row=1847&amp;col=7&amp;number=2.53e-05&amp;sourceID=14","2.53e-05")</f>
        <v>2.53e-05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HYPERLINK("http://141.218.60.56/~jnz1568/getInfo.php?workbook=12_04.xlsx&amp;sheet=U0&amp;row=1848&amp;col=6&amp;number=3.4&amp;sourceID=14","3.4")</f>
        <v>3.4</v>
      </c>
      <c r="G1848" s="4" t="str">
        <f>HYPERLINK("http://141.218.60.56/~jnz1568/getInfo.php?workbook=12_04.xlsx&amp;sheet=U0&amp;row=1848&amp;col=7&amp;number=2.53e-05&amp;sourceID=14","2.53e-05")</f>
        <v>2.53e-05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HYPERLINK("http://141.218.60.56/~jnz1568/getInfo.php?workbook=12_04.xlsx&amp;sheet=U0&amp;row=1849&amp;col=6&amp;number=3.5&amp;sourceID=14","3.5")</f>
        <v>3.5</v>
      </c>
      <c r="G1849" s="4" t="str">
        <f>HYPERLINK("http://141.218.60.56/~jnz1568/getInfo.php?workbook=12_04.xlsx&amp;sheet=U0&amp;row=1849&amp;col=7&amp;number=2.53e-05&amp;sourceID=14","2.53e-05")</f>
        <v>2.53e-05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HYPERLINK("http://141.218.60.56/~jnz1568/getInfo.php?workbook=12_04.xlsx&amp;sheet=U0&amp;row=1850&amp;col=6&amp;number=3.6&amp;sourceID=14","3.6")</f>
        <v>3.6</v>
      </c>
      <c r="G1850" s="4" t="str">
        <f>HYPERLINK("http://141.218.60.56/~jnz1568/getInfo.php?workbook=12_04.xlsx&amp;sheet=U0&amp;row=1850&amp;col=7&amp;number=2.52e-05&amp;sourceID=14","2.52e-05")</f>
        <v>2.52e-05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HYPERLINK("http://141.218.60.56/~jnz1568/getInfo.php?workbook=12_04.xlsx&amp;sheet=U0&amp;row=1851&amp;col=6&amp;number=3.7&amp;sourceID=14","3.7")</f>
        <v>3.7</v>
      </c>
      <c r="G1851" s="4" t="str">
        <f>HYPERLINK("http://141.218.60.56/~jnz1568/getInfo.php?workbook=12_04.xlsx&amp;sheet=U0&amp;row=1851&amp;col=7&amp;number=2.52e-05&amp;sourceID=14","2.52e-05")</f>
        <v>2.52e-05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HYPERLINK("http://141.218.60.56/~jnz1568/getInfo.php?workbook=12_04.xlsx&amp;sheet=U0&amp;row=1852&amp;col=6&amp;number=3.8&amp;sourceID=14","3.8")</f>
        <v>3.8</v>
      </c>
      <c r="G1852" s="4" t="str">
        <f>HYPERLINK("http://141.218.60.56/~jnz1568/getInfo.php?workbook=12_04.xlsx&amp;sheet=U0&amp;row=1852&amp;col=7&amp;number=2.52e-05&amp;sourceID=14","2.52e-05")</f>
        <v>2.52e-05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HYPERLINK("http://141.218.60.56/~jnz1568/getInfo.php?workbook=12_04.xlsx&amp;sheet=U0&amp;row=1853&amp;col=6&amp;number=3.9&amp;sourceID=14","3.9")</f>
        <v>3.9</v>
      </c>
      <c r="G1853" s="4" t="str">
        <f>HYPERLINK("http://141.218.60.56/~jnz1568/getInfo.php?workbook=12_04.xlsx&amp;sheet=U0&amp;row=1853&amp;col=7&amp;number=2.51e-05&amp;sourceID=14","2.51e-05")</f>
        <v>2.51e-05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HYPERLINK("http://141.218.60.56/~jnz1568/getInfo.php?workbook=12_04.xlsx&amp;sheet=U0&amp;row=1854&amp;col=6&amp;number=4&amp;sourceID=14","4")</f>
        <v>4</v>
      </c>
      <c r="G1854" s="4" t="str">
        <f>HYPERLINK("http://141.218.60.56/~jnz1568/getInfo.php?workbook=12_04.xlsx&amp;sheet=U0&amp;row=1854&amp;col=7&amp;number=2.51e-05&amp;sourceID=14","2.51e-05")</f>
        <v>2.51e-05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HYPERLINK("http://141.218.60.56/~jnz1568/getInfo.php?workbook=12_04.xlsx&amp;sheet=U0&amp;row=1855&amp;col=6&amp;number=4.1&amp;sourceID=14","4.1")</f>
        <v>4.1</v>
      </c>
      <c r="G1855" s="4" t="str">
        <f>HYPERLINK("http://141.218.60.56/~jnz1568/getInfo.php?workbook=12_04.xlsx&amp;sheet=U0&amp;row=1855&amp;col=7&amp;number=2.5e-05&amp;sourceID=14","2.5e-05")</f>
        <v>2.5e-05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HYPERLINK("http://141.218.60.56/~jnz1568/getInfo.php?workbook=12_04.xlsx&amp;sheet=U0&amp;row=1856&amp;col=6&amp;number=4.2&amp;sourceID=14","4.2")</f>
        <v>4.2</v>
      </c>
      <c r="G1856" s="4" t="str">
        <f>HYPERLINK("http://141.218.60.56/~jnz1568/getInfo.php?workbook=12_04.xlsx&amp;sheet=U0&amp;row=1856&amp;col=7&amp;number=2.49e-05&amp;sourceID=14","2.49e-05")</f>
        <v>2.49e-05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HYPERLINK("http://141.218.60.56/~jnz1568/getInfo.php?workbook=12_04.xlsx&amp;sheet=U0&amp;row=1857&amp;col=6&amp;number=4.3&amp;sourceID=14","4.3")</f>
        <v>4.3</v>
      </c>
      <c r="G1857" s="4" t="str">
        <f>HYPERLINK("http://141.218.60.56/~jnz1568/getInfo.php?workbook=12_04.xlsx&amp;sheet=U0&amp;row=1857&amp;col=7&amp;number=2.48e-05&amp;sourceID=14","2.48e-05")</f>
        <v>2.48e-05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HYPERLINK("http://141.218.60.56/~jnz1568/getInfo.php?workbook=12_04.xlsx&amp;sheet=U0&amp;row=1858&amp;col=6&amp;number=4.4&amp;sourceID=14","4.4")</f>
        <v>4.4</v>
      </c>
      <c r="G1858" s="4" t="str">
        <f>HYPERLINK("http://141.218.60.56/~jnz1568/getInfo.php?workbook=12_04.xlsx&amp;sheet=U0&amp;row=1858&amp;col=7&amp;number=2.46e-05&amp;sourceID=14","2.46e-05")</f>
        <v>2.46e-05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HYPERLINK("http://141.218.60.56/~jnz1568/getInfo.php?workbook=12_04.xlsx&amp;sheet=U0&amp;row=1859&amp;col=6&amp;number=4.5&amp;sourceID=14","4.5")</f>
        <v>4.5</v>
      </c>
      <c r="G1859" s="4" t="str">
        <f>HYPERLINK("http://141.218.60.56/~jnz1568/getInfo.php?workbook=12_04.xlsx&amp;sheet=U0&amp;row=1859&amp;col=7&amp;number=2.44e-05&amp;sourceID=14","2.44e-05")</f>
        <v>2.44e-05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HYPERLINK("http://141.218.60.56/~jnz1568/getInfo.php?workbook=12_04.xlsx&amp;sheet=U0&amp;row=1860&amp;col=6&amp;number=4.6&amp;sourceID=14","4.6")</f>
        <v>4.6</v>
      </c>
      <c r="G1860" s="4" t="str">
        <f>HYPERLINK("http://141.218.60.56/~jnz1568/getInfo.php?workbook=12_04.xlsx&amp;sheet=U0&amp;row=1860&amp;col=7&amp;number=2.42e-05&amp;sourceID=14","2.42e-05")</f>
        <v>2.42e-05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HYPERLINK("http://141.218.60.56/~jnz1568/getInfo.php?workbook=12_04.xlsx&amp;sheet=U0&amp;row=1861&amp;col=6&amp;number=4.7&amp;sourceID=14","4.7")</f>
        <v>4.7</v>
      </c>
      <c r="G1861" s="4" t="str">
        <f>HYPERLINK("http://141.218.60.56/~jnz1568/getInfo.php?workbook=12_04.xlsx&amp;sheet=U0&amp;row=1861&amp;col=7&amp;number=2.39e-05&amp;sourceID=14","2.39e-05")</f>
        <v>2.39e-05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HYPERLINK("http://141.218.60.56/~jnz1568/getInfo.php?workbook=12_04.xlsx&amp;sheet=U0&amp;row=1862&amp;col=6&amp;number=4.8&amp;sourceID=14","4.8")</f>
        <v>4.8</v>
      </c>
      <c r="G1862" s="4" t="str">
        <f>HYPERLINK("http://141.218.60.56/~jnz1568/getInfo.php?workbook=12_04.xlsx&amp;sheet=U0&amp;row=1862&amp;col=7&amp;number=2.36e-05&amp;sourceID=14","2.36e-05")</f>
        <v>2.36e-05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HYPERLINK("http://141.218.60.56/~jnz1568/getInfo.php?workbook=12_04.xlsx&amp;sheet=U0&amp;row=1863&amp;col=6&amp;number=4.9&amp;sourceID=14","4.9")</f>
        <v>4.9</v>
      </c>
      <c r="G1863" s="4" t="str">
        <f>HYPERLINK("http://141.218.60.56/~jnz1568/getInfo.php?workbook=12_04.xlsx&amp;sheet=U0&amp;row=1863&amp;col=7&amp;number=2.32e-05&amp;sourceID=14","2.32e-05")</f>
        <v>2.32e-05</v>
      </c>
    </row>
    <row r="1864" spans="1:7">
      <c r="A1864" s="3">
        <v>12</v>
      </c>
      <c r="B1864" s="3">
        <v>4</v>
      </c>
      <c r="C1864" s="3">
        <v>1</v>
      </c>
      <c r="D1864" s="3">
        <v>95</v>
      </c>
      <c r="E1864" s="3">
        <v>1</v>
      </c>
      <c r="F1864" s="4" t="str">
        <f>HYPERLINK("http://141.218.60.56/~jnz1568/getInfo.php?workbook=12_04.xlsx&amp;sheet=U0&amp;row=1864&amp;col=6&amp;number=3&amp;sourceID=14","3")</f>
        <v>3</v>
      </c>
      <c r="G1864" s="4" t="str">
        <f>HYPERLINK("http://141.218.60.56/~jnz1568/getInfo.php?workbook=12_04.xlsx&amp;sheet=U0&amp;row=1864&amp;col=7&amp;number=0.000464&amp;sourceID=14","0.000464")</f>
        <v>0.000464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HYPERLINK("http://141.218.60.56/~jnz1568/getInfo.php?workbook=12_04.xlsx&amp;sheet=U0&amp;row=1865&amp;col=6&amp;number=3.1&amp;sourceID=14","3.1")</f>
        <v>3.1</v>
      </c>
      <c r="G1865" s="4" t="str">
        <f>HYPERLINK("http://141.218.60.56/~jnz1568/getInfo.php?workbook=12_04.xlsx&amp;sheet=U0&amp;row=1865&amp;col=7&amp;number=0.000464&amp;sourceID=14","0.000464")</f>
        <v>0.000464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HYPERLINK("http://141.218.60.56/~jnz1568/getInfo.php?workbook=12_04.xlsx&amp;sheet=U0&amp;row=1866&amp;col=6&amp;number=3.2&amp;sourceID=14","3.2")</f>
        <v>3.2</v>
      </c>
      <c r="G1866" s="4" t="str">
        <f>HYPERLINK("http://141.218.60.56/~jnz1568/getInfo.php?workbook=12_04.xlsx&amp;sheet=U0&amp;row=1866&amp;col=7&amp;number=0.000463&amp;sourceID=14","0.000463")</f>
        <v>0.000463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HYPERLINK("http://141.218.60.56/~jnz1568/getInfo.php?workbook=12_04.xlsx&amp;sheet=U0&amp;row=1867&amp;col=6&amp;number=3.3&amp;sourceID=14","3.3")</f>
        <v>3.3</v>
      </c>
      <c r="G1867" s="4" t="str">
        <f>HYPERLINK("http://141.218.60.56/~jnz1568/getInfo.php?workbook=12_04.xlsx&amp;sheet=U0&amp;row=1867&amp;col=7&amp;number=0.000462&amp;sourceID=14","0.000462")</f>
        <v>0.000462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HYPERLINK("http://141.218.60.56/~jnz1568/getInfo.php?workbook=12_04.xlsx&amp;sheet=U0&amp;row=1868&amp;col=6&amp;number=3.4&amp;sourceID=14","3.4")</f>
        <v>3.4</v>
      </c>
      <c r="G1868" s="4" t="str">
        <f>HYPERLINK("http://141.218.60.56/~jnz1568/getInfo.php?workbook=12_04.xlsx&amp;sheet=U0&amp;row=1868&amp;col=7&amp;number=0.000461&amp;sourceID=14","0.000461")</f>
        <v>0.000461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HYPERLINK("http://141.218.60.56/~jnz1568/getInfo.php?workbook=12_04.xlsx&amp;sheet=U0&amp;row=1869&amp;col=6&amp;number=3.5&amp;sourceID=14","3.5")</f>
        <v>3.5</v>
      </c>
      <c r="G1869" s="4" t="str">
        <f>HYPERLINK("http://141.218.60.56/~jnz1568/getInfo.php?workbook=12_04.xlsx&amp;sheet=U0&amp;row=1869&amp;col=7&amp;number=0.00046&amp;sourceID=14","0.00046")</f>
        <v>0.00046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HYPERLINK("http://141.218.60.56/~jnz1568/getInfo.php?workbook=12_04.xlsx&amp;sheet=U0&amp;row=1870&amp;col=6&amp;number=3.6&amp;sourceID=14","3.6")</f>
        <v>3.6</v>
      </c>
      <c r="G1870" s="4" t="str">
        <f>HYPERLINK("http://141.218.60.56/~jnz1568/getInfo.php?workbook=12_04.xlsx&amp;sheet=U0&amp;row=1870&amp;col=7&amp;number=0.000458&amp;sourceID=14","0.000458")</f>
        <v>0.000458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HYPERLINK("http://141.218.60.56/~jnz1568/getInfo.php?workbook=12_04.xlsx&amp;sheet=U0&amp;row=1871&amp;col=6&amp;number=3.7&amp;sourceID=14","3.7")</f>
        <v>3.7</v>
      </c>
      <c r="G1871" s="4" t="str">
        <f>HYPERLINK("http://141.218.60.56/~jnz1568/getInfo.php?workbook=12_04.xlsx&amp;sheet=U0&amp;row=1871&amp;col=7&amp;number=0.000456&amp;sourceID=14","0.000456")</f>
        <v>0.000456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HYPERLINK("http://141.218.60.56/~jnz1568/getInfo.php?workbook=12_04.xlsx&amp;sheet=U0&amp;row=1872&amp;col=6&amp;number=3.8&amp;sourceID=14","3.8")</f>
        <v>3.8</v>
      </c>
      <c r="G1872" s="4" t="str">
        <f>HYPERLINK("http://141.218.60.56/~jnz1568/getInfo.php?workbook=12_04.xlsx&amp;sheet=U0&amp;row=1872&amp;col=7&amp;number=0.000453&amp;sourceID=14","0.000453")</f>
        <v>0.000453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HYPERLINK("http://141.218.60.56/~jnz1568/getInfo.php?workbook=12_04.xlsx&amp;sheet=U0&amp;row=1873&amp;col=6&amp;number=3.9&amp;sourceID=14","3.9")</f>
        <v>3.9</v>
      </c>
      <c r="G1873" s="4" t="str">
        <f>HYPERLINK("http://141.218.60.56/~jnz1568/getInfo.php?workbook=12_04.xlsx&amp;sheet=U0&amp;row=1873&amp;col=7&amp;number=0.00045&amp;sourceID=14","0.00045")</f>
        <v>0.00045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HYPERLINK("http://141.218.60.56/~jnz1568/getInfo.php?workbook=12_04.xlsx&amp;sheet=U0&amp;row=1874&amp;col=6&amp;number=4&amp;sourceID=14","4")</f>
        <v>4</v>
      </c>
      <c r="G1874" s="4" t="str">
        <f>HYPERLINK("http://141.218.60.56/~jnz1568/getInfo.php?workbook=12_04.xlsx&amp;sheet=U0&amp;row=1874&amp;col=7&amp;number=0.000446&amp;sourceID=14","0.000446")</f>
        <v>0.000446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HYPERLINK("http://141.218.60.56/~jnz1568/getInfo.php?workbook=12_04.xlsx&amp;sheet=U0&amp;row=1875&amp;col=6&amp;number=4.1&amp;sourceID=14","4.1")</f>
        <v>4.1</v>
      </c>
      <c r="G1875" s="4" t="str">
        <f>HYPERLINK("http://141.218.60.56/~jnz1568/getInfo.php?workbook=12_04.xlsx&amp;sheet=U0&amp;row=1875&amp;col=7&amp;number=0.000441&amp;sourceID=14","0.000441")</f>
        <v>0.000441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HYPERLINK("http://141.218.60.56/~jnz1568/getInfo.php?workbook=12_04.xlsx&amp;sheet=U0&amp;row=1876&amp;col=6&amp;number=4.2&amp;sourceID=14","4.2")</f>
        <v>4.2</v>
      </c>
      <c r="G1876" s="4" t="str">
        <f>HYPERLINK("http://141.218.60.56/~jnz1568/getInfo.php?workbook=12_04.xlsx&amp;sheet=U0&amp;row=1876&amp;col=7&amp;number=0.000434&amp;sourceID=14","0.000434")</f>
        <v>0.000434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HYPERLINK("http://141.218.60.56/~jnz1568/getInfo.php?workbook=12_04.xlsx&amp;sheet=U0&amp;row=1877&amp;col=6&amp;number=4.3&amp;sourceID=14","4.3")</f>
        <v>4.3</v>
      </c>
      <c r="G1877" s="4" t="str">
        <f>HYPERLINK("http://141.218.60.56/~jnz1568/getInfo.php?workbook=12_04.xlsx&amp;sheet=U0&amp;row=1877&amp;col=7&amp;number=0.000426&amp;sourceID=14","0.000426")</f>
        <v>0.000426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HYPERLINK("http://141.218.60.56/~jnz1568/getInfo.php?workbook=12_04.xlsx&amp;sheet=U0&amp;row=1878&amp;col=6&amp;number=4.4&amp;sourceID=14","4.4")</f>
        <v>4.4</v>
      </c>
      <c r="G1878" s="4" t="str">
        <f>HYPERLINK("http://141.218.60.56/~jnz1568/getInfo.php?workbook=12_04.xlsx&amp;sheet=U0&amp;row=1878&amp;col=7&amp;number=0.000417&amp;sourceID=14","0.000417")</f>
        <v>0.000417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HYPERLINK("http://141.218.60.56/~jnz1568/getInfo.php?workbook=12_04.xlsx&amp;sheet=U0&amp;row=1879&amp;col=6&amp;number=4.5&amp;sourceID=14","4.5")</f>
        <v>4.5</v>
      </c>
      <c r="G1879" s="4" t="str">
        <f>HYPERLINK("http://141.218.60.56/~jnz1568/getInfo.php?workbook=12_04.xlsx&amp;sheet=U0&amp;row=1879&amp;col=7&amp;number=0.000405&amp;sourceID=14","0.000405")</f>
        <v>0.000405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HYPERLINK("http://141.218.60.56/~jnz1568/getInfo.php?workbook=12_04.xlsx&amp;sheet=U0&amp;row=1880&amp;col=6&amp;number=4.6&amp;sourceID=14","4.6")</f>
        <v>4.6</v>
      </c>
      <c r="G1880" s="4" t="str">
        <f>HYPERLINK("http://141.218.60.56/~jnz1568/getInfo.php?workbook=12_04.xlsx&amp;sheet=U0&amp;row=1880&amp;col=7&amp;number=0.000391&amp;sourceID=14","0.000391")</f>
        <v>0.000391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HYPERLINK("http://141.218.60.56/~jnz1568/getInfo.php?workbook=12_04.xlsx&amp;sheet=U0&amp;row=1881&amp;col=6&amp;number=4.7&amp;sourceID=14","4.7")</f>
        <v>4.7</v>
      </c>
      <c r="G1881" s="4" t="str">
        <f>HYPERLINK("http://141.218.60.56/~jnz1568/getInfo.php?workbook=12_04.xlsx&amp;sheet=U0&amp;row=1881&amp;col=7&amp;number=0.000374&amp;sourceID=14","0.000374")</f>
        <v>0.000374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HYPERLINK("http://141.218.60.56/~jnz1568/getInfo.php?workbook=12_04.xlsx&amp;sheet=U0&amp;row=1882&amp;col=6&amp;number=4.8&amp;sourceID=14","4.8")</f>
        <v>4.8</v>
      </c>
      <c r="G1882" s="4" t="str">
        <f>HYPERLINK("http://141.218.60.56/~jnz1568/getInfo.php?workbook=12_04.xlsx&amp;sheet=U0&amp;row=1882&amp;col=7&amp;number=0.000356&amp;sourceID=14","0.000356")</f>
        <v>0.000356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HYPERLINK("http://141.218.60.56/~jnz1568/getInfo.php?workbook=12_04.xlsx&amp;sheet=U0&amp;row=1883&amp;col=6&amp;number=4.9&amp;sourceID=14","4.9")</f>
        <v>4.9</v>
      </c>
      <c r="G1883" s="4" t="str">
        <f>HYPERLINK("http://141.218.60.56/~jnz1568/getInfo.php?workbook=12_04.xlsx&amp;sheet=U0&amp;row=1883&amp;col=7&amp;number=0.000337&amp;sourceID=14","0.000337")</f>
        <v>0.000337</v>
      </c>
    </row>
    <row r="1884" spans="1:7">
      <c r="A1884" s="3">
        <v>12</v>
      </c>
      <c r="B1884" s="3">
        <v>4</v>
      </c>
      <c r="C1884" s="3">
        <v>1</v>
      </c>
      <c r="D1884" s="3">
        <v>96</v>
      </c>
      <c r="E1884" s="3">
        <v>1</v>
      </c>
      <c r="F1884" s="4" t="str">
        <f>HYPERLINK("http://141.218.60.56/~jnz1568/getInfo.php?workbook=12_04.xlsx&amp;sheet=U0&amp;row=1884&amp;col=6&amp;number=3&amp;sourceID=14","3")</f>
        <v>3</v>
      </c>
      <c r="G1884" s="4" t="str">
        <f>HYPERLINK("http://141.218.60.56/~jnz1568/getInfo.php?workbook=12_04.xlsx&amp;sheet=U0&amp;row=1884&amp;col=7&amp;number=0.000246&amp;sourceID=14","0.000246")</f>
        <v>0.000246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HYPERLINK("http://141.218.60.56/~jnz1568/getInfo.php?workbook=12_04.xlsx&amp;sheet=U0&amp;row=1885&amp;col=6&amp;number=3.1&amp;sourceID=14","3.1")</f>
        <v>3.1</v>
      </c>
      <c r="G1885" s="4" t="str">
        <f>HYPERLINK("http://141.218.60.56/~jnz1568/getInfo.php?workbook=12_04.xlsx&amp;sheet=U0&amp;row=1885&amp;col=7&amp;number=0.000246&amp;sourceID=14","0.000246")</f>
        <v>0.000246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HYPERLINK("http://141.218.60.56/~jnz1568/getInfo.php?workbook=12_04.xlsx&amp;sheet=U0&amp;row=1886&amp;col=6&amp;number=3.2&amp;sourceID=14","3.2")</f>
        <v>3.2</v>
      </c>
      <c r="G1886" s="4" t="str">
        <f>HYPERLINK("http://141.218.60.56/~jnz1568/getInfo.php?workbook=12_04.xlsx&amp;sheet=U0&amp;row=1886&amp;col=7&amp;number=0.000246&amp;sourceID=14","0.000246")</f>
        <v>0.000246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HYPERLINK("http://141.218.60.56/~jnz1568/getInfo.php?workbook=12_04.xlsx&amp;sheet=U0&amp;row=1887&amp;col=6&amp;number=3.3&amp;sourceID=14","3.3")</f>
        <v>3.3</v>
      </c>
      <c r="G1887" s="4" t="str">
        <f>HYPERLINK("http://141.218.60.56/~jnz1568/getInfo.php?workbook=12_04.xlsx&amp;sheet=U0&amp;row=1887&amp;col=7&amp;number=0.000245&amp;sourceID=14","0.000245")</f>
        <v>0.000245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HYPERLINK("http://141.218.60.56/~jnz1568/getInfo.php?workbook=12_04.xlsx&amp;sheet=U0&amp;row=1888&amp;col=6&amp;number=3.4&amp;sourceID=14","3.4")</f>
        <v>3.4</v>
      </c>
      <c r="G1888" s="4" t="str">
        <f>HYPERLINK("http://141.218.60.56/~jnz1568/getInfo.php?workbook=12_04.xlsx&amp;sheet=U0&amp;row=1888&amp;col=7&amp;number=0.000244&amp;sourceID=14","0.000244")</f>
        <v>0.000244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HYPERLINK("http://141.218.60.56/~jnz1568/getInfo.php?workbook=12_04.xlsx&amp;sheet=U0&amp;row=1889&amp;col=6&amp;number=3.5&amp;sourceID=14","3.5")</f>
        <v>3.5</v>
      </c>
      <c r="G1889" s="4" t="str">
        <f>HYPERLINK("http://141.218.60.56/~jnz1568/getInfo.php?workbook=12_04.xlsx&amp;sheet=U0&amp;row=1889&amp;col=7&amp;number=0.000243&amp;sourceID=14","0.000243")</f>
        <v>0.000243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HYPERLINK("http://141.218.60.56/~jnz1568/getInfo.php?workbook=12_04.xlsx&amp;sheet=U0&amp;row=1890&amp;col=6&amp;number=3.6&amp;sourceID=14","3.6")</f>
        <v>3.6</v>
      </c>
      <c r="G1890" s="4" t="str">
        <f>HYPERLINK("http://141.218.60.56/~jnz1568/getInfo.php?workbook=12_04.xlsx&amp;sheet=U0&amp;row=1890&amp;col=7&amp;number=0.000242&amp;sourceID=14","0.000242")</f>
        <v>0.000242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HYPERLINK("http://141.218.60.56/~jnz1568/getInfo.php?workbook=12_04.xlsx&amp;sheet=U0&amp;row=1891&amp;col=6&amp;number=3.7&amp;sourceID=14","3.7")</f>
        <v>3.7</v>
      </c>
      <c r="G1891" s="4" t="str">
        <f>HYPERLINK("http://141.218.60.56/~jnz1568/getInfo.php?workbook=12_04.xlsx&amp;sheet=U0&amp;row=1891&amp;col=7&amp;number=0.00024&amp;sourceID=14","0.00024")</f>
        <v>0.00024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HYPERLINK("http://141.218.60.56/~jnz1568/getInfo.php?workbook=12_04.xlsx&amp;sheet=U0&amp;row=1892&amp;col=6&amp;number=3.8&amp;sourceID=14","3.8")</f>
        <v>3.8</v>
      </c>
      <c r="G1892" s="4" t="str">
        <f>HYPERLINK("http://141.218.60.56/~jnz1568/getInfo.php?workbook=12_04.xlsx&amp;sheet=U0&amp;row=1892&amp;col=7&amp;number=0.000238&amp;sourceID=14","0.000238")</f>
        <v>0.000238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HYPERLINK("http://141.218.60.56/~jnz1568/getInfo.php?workbook=12_04.xlsx&amp;sheet=U0&amp;row=1893&amp;col=6&amp;number=3.9&amp;sourceID=14","3.9")</f>
        <v>3.9</v>
      </c>
      <c r="G1893" s="4" t="str">
        <f>HYPERLINK("http://141.218.60.56/~jnz1568/getInfo.php?workbook=12_04.xlsx&amp;sheet=U0&amp;row=1893&amp;col=7&amp;number=0.000235&amp;sourceID=14","0.000235")</f>
        <v>0.000235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HYPERLINK("http://141.218.60.56/~jnz1568/getInfo.php?workbook=12_04.xlsx&amp;sheet=U0&amp;row=1894&amp;col=6&amp;number=4&amp;sourceID=14","4")</f>
        <v>4</v>
      </c>
      <c r="G1894" s="4" t="str">
        <f>HYPERLINK("http://141.218.60.56/~jnz1568/getInfo.php?workbook=12_04.xlsx&amp;sheet=U0&amp;row=1894&amp;col=7&amp;number=0.000232&amp;sourceID=14","0.000232")</f>
        <v>0.000232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HYPERLINK("http://141.218.60.56/~jnz1568/getInfo.php?workbook=12_04.xlsx&amp;sheet=U0&amp;row=1895&amp;col=6&amp;number=4.1&amp;sourceID=14","4.1")</f>
        <v>4.1</v>
      </c>
      <c r="G1895" s="4" t="str">
        <f>HYPERLINK("http://141.218.60.56/~jnz1568/getInfo.php?workbook=12_04.xlsx&amp;sheet=U0&amp;row=1895&amp;col=7&amp;number=0.000228&amp;sourceID=14","0.000228")</f>
        <v>0.000228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HYPERLINK("http://141.218.60.56/~jnz1568/getInfo.php?workbook=12_04.xlsx&amp;sheet=U0&amp;row=1896&amp;col=6&amp;number=4.2&amp;sourceID=14","4.2")</f>
        <v>4.2</v>
      </c>
      <c r="G1896" s="4" t="str">
        <f>HYPERLINK("http://141.218.60.56/~jnz1568/getInfo.php?workbook=12_04.xlsx&amp;sheet=U0&amp;row=1896&amp;col=7&amp;number=0.000223&amp;sourceID=14","0.000223")</f>
        <v>0.000223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HYPERLINK("http://141.218.60.56/~jnz1568/getInfo.php?workbook=12_04.xlsx&amp;sheet=U0&amp;row=1897&amp;col=6&amp;number=4.3&amp;sourceID=14","4.3")</f>
        <v>4.3</v>
      </c>
      <c r="G1897" s="4" t="str">
        <f>HYPERLINK("http://141.218.60.56/~jnz1568/getInfo.php?workbook=12_04.xlsx&amp;sheet=U0&amp;row=1897&amp;col=7&amp;number=0.000217&amp;sourceID=14","0.000217")</f>
        <v>0.000217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HYPERLINK("http://141.218.60.56/~jnz1568/getInfo.php?workbook=12_04.xlsx&amp;sheet=U0&amp;row=1898&amp;col=6&amp;number=4.4&amp;sourceID=14","4.4")</f>
        <v>4.4</v>
      </c>
      <c r="G1898" s="4" t="str">
        <f>HYPERLINK("http://141.218.60.56/~jnz1568/getInfo.php?workbook=12_04.xlsx&amp;sheet=U0&amp;row=1898&amp;col=7&amp;number=0.000209&amp;sourceID=14","0.000209")</f>
        <v>0.000209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HYPERLINK("http://141.218.60.56/~jnz1568/getInfo.php?workbook=12_04.xlsx&amp;sheet=U0&amp;row=1899&amp;col=6&amp;number=4.5&amp;sourceID=14","4.5")</f>
        <v>4.5</v>
      </c>
      <c r="G1899" s="4" t="str">
        <f>HYPERLINK("http://141.218.60.56/~jnz1568/getInfo.php?workbook=12_04.xlsx&amp;sheet=U0&amp;row=1899&amp;col=7&amp;number=0.0002&amp;sourceID=14","0.0002")</f>
        <v>0.0002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HYPERLINK("http://141.218.60.56/~jnz1568/getInfo.php?workbook=12_04.xlsx&amp;sheet=U0&amp;row=1900&amp;col=6&amp;number=4.6&amp;sourceID=14","4.6")</f>
        <v>4.6</v>
      </c>
      <c r="G1900" s="4" t="str">
        <f>HYPERLINK("http://141.218.60.56/~jnz1568/getInfo.php?workbook=12_04.xlsx&amp;sheet=U0&amp;row=1900&amp;col=7&amp;number=0.000189&amp;sourceID=14","0.000189")</f>
        <v>0.000189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HYPERLINK("http://141.218.60.56/~jnz1568/getInfo.php?workbook=12_04.xlsx&amp;sheet=U0&amp;row=1901&amp;col=6&amp;number=4.7&amp;sourceID=14","4.7")</f>
        <v>4.7</v>
      </c>
      <c r="G1901" s="4" t="str">
        <f>HYPERLINK("http://141.218.60.56/~jnz1568/getInfo.php?workbook=12_04.xlsx&amp;sheet=U0&amp;row=1901&amp;col=7&amp;number=0.000176&amp;sourceID=14","0.000176")</f>
        <v>0.000176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HYPERLINK("http://141.218.60.56/~jnz1568/getInfo.php?workbook=12_04.xlsx&amp;sheet=U0&amp;row=1902&amp;col=6&amp;number=4.8&amp;sourceID=14","4.8")</f>
        <v>4.8</v>
      </c>
      <c r="G1902" s="4" t="str">
        <f>HYPERLINK("http://141.218.60.56/~jnz1568/getInfo.php?workbook=12_04.xlsx&amp;sheet=U0&amp;row=1902&amp;col=7&amp;number=0.000162&amp;sourceID=14","0.000162")</f>
        <v>0.000162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HYPERLINK("http://141.218.60.56/~jnz1568/getInfo.php?workbook=12_04.xlsx&amp;sheet=U0&amp;row=1903&amp;col=6&amp;number=4.9&amp;sourceID=14","4.9")</f>
        <v>4.9</v>
      </c>
      <c r="G1903" s="4" t="str">
        <f>HYPERLINK("http://141.218.60.56/~jnz1568/getInfo.php?workbook=12_04.xlsx&amp;sheet=U0&amp;row=1903&amp;col=7&amp;number=0.000147&amp;sourceID=14","0.000147")</f>
        <v>0.000147</v>
      </c>
    </row>
    <row r="1904" spans="1:7">
      <c r="A1904" s="3">
        <v>12</v>
      </c>
      <c r="B1904" s="3">
        <v>4</v>
      </c>
      <c r="C1904" s="3">
        <v>1</v>
      </c>
      <c r="D1904" s="3">
        <v>97</v>
      </c>
      <c r="E1904" s="3">
        <v>1</v>
      </c>
      <c r="F1904" s="4" t="str">
        <f>HYPERLINK("http://141.218.60.56/~jnz1568/getInfo.php?workbook=12_04.xlsx&amp;sheet=U0&amp;row=1904&amp;col=6&amp;number=3&amp;sourceID=14","3")</f>
        <v>3</v>
      </c>
      <c r="G1904" s="4" t="str">
        <f>HYPERLINK("http://141.218.60.56/~jnz1568/getInfo.php?workbook=12_04.xlsx&amp;sheet=U0&amp;row=1904&amp;col=7&amp;number=0.000258&amp;sourceID=14","0.000258")</f>
        <v>0.000258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HYPERLINK("http://141.218.60.56/~jnz1568/getInfo.php?workbook=12_04.xlsx&amp;sheet=U0&amp;row=1905&amp;col=6&amp;number=3.1&amp;sourceID=14","3.1")</f>
        <v>3.1</v>
      </c>
      <c r="G1905" s="4" t="str">
        <f>HYPERLINK("http://141.218.60.56/~jnz1568/getInfo.php?workbook=12_04.xlsx&amp;sheet=U0&amp;row=1905&amp;col=7&amp;number=0.000258&amp;sourceID=14","0.000258")</f>
        <v>0.000258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HYPERLINK("http://141.218.60.56/~jnz1568/getInfo.php?workbook=12_04.xlsx&amp;sheet=U0&amp;row=1906&amp;col=6&amp;number=3.2&amp;sourceID=14","3.2")</f>
        <v>3.2</v>
      </c>
      <c r="G1906" s="4" t="str">
        <f>HYPERLINK("http://141.218.60.56/~jnz1568/getInfo.php?workbook=12_04.xlsx&amp;sheet=U0&amp;row=1906&amp;col=7&amp;number=0.000258&amp;sourceID=14","0.000258")</f>
        <v>0.000258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HYPERLINK("http://141.218.60.56/~jnz1568/getInfo.php?workbook=12_04.xlsx&amp;sheet=U0&amp;row=1907&amp;col=6&amp;number=3.3&amp;sourceID=14","3.3")</f>
        <v>3.3</v>
      </c>
      <c r="G1907" s="4" t="str">
        <f>HYPERLINK("http://141.218.60.56/~jnz1568/getInfo.php?workbook=12_04.xlsx&amp;sheet=U0&amp;row=1907&amp;col=7&amp;number=0.000258&amp;sourceID=14","0.000258")</f>
        <v>0.000258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HYPERLINK("http://141.218.60.56/~jnz1568/getInfo.php?workbook=12_04.xlsx&amp;sheet=U0&amp;row=1908&amp;col=6&amp;number=3.4&amp;sourceID=14","3.4")</f>
        <v>3.4</v>
      </c>
      <c r="G1908" s="4" t="str">
        <f>HYPERLINK("http://141.218.60.56/~jnz1568/getInfo.php?workbook=12_04.xlsx&amp;sheet=U0&amp;row=1908&amp;col=7&amp;number=0.000258&amp;sourceID=14","0.000258")</f>
        <v>0.000258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HYPERLINK("http://141.218.60.56/~jnz1568/getInfo.php?workbook=12_04.xlsx&amp;sheet=U0&amp;row=1909&amp;col=6&amp;number=3.5&amp;sourceID=14","3.5")</f>
        <v>3.5</v>
      </c>
      <c r="G1909" s="4" t="str">
        <f>HYPERLINK("http://141.218.60.56/~jnz1568/getInfo.php?workbook=12_04.xlsx&amp;sheet=U0&amp;row=1909&amp;col=7&amp;number=0.000258&amp;sourceID=14","0.000258")</f>
        <v>0.000258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HYPERLINK("http://141.218.60.56/~jnz1568/getInfo.php?workbook=12_04.xlsx&amp;sheet=U0&amp;row=1910&amp;col=6&amp;number=3.6&amp;sourceID=14","3.6")</f>
        <v>3.6</v>
      </c>
      <c r="G1910" s="4" t="str">
        <f>HYPERLINK("http://141.218.60.56/~jnz1568/getInfo.php?workbook=12_04.xlsx&amp;sheet=U0&amp;row=1910&amp;col=7&amp;number=0.000258&amp;sourceID=14","0.000258")</f>
        <v>0.000258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HYPERLINK("http://141.218.60.56/~jnz1568/getInfo.php?workbook=12_04.xlsx&amp;sheet=U0&amp;row=1911&amp;col=6&amp;number=3.7&amp;sourceID=14","3.7")</f>
        <v>3.7</v>
      </c>
      <c r="G1911" s="4" t="str">
        <f>HYPERLINK("http://141.218.60.56/~jnz1568/getInfo.php?workbook=12_04.xlsx&amp;sheet=U0&amp;row=1911&amp;col=7&amp;number=0.000258&amp;sourceID=14","0.000258")</f>
        <v>0.000258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HYPERLINK("http://141.218.60.56/~jnz1568/getInfo.php?workbook=12_04.xlsx&amp;sheet=U0&amp;row=1912&amp;col=6&amp;number=3.8&amp;sourceID=14","3.8")</f>
        <v>3.8</v>
      </c>
      <c r="G1912" s="4" t="str">
        <f>HYPERLINK("http://141.218.60.56/~jnz1568/getInfo.php?workbook=12_04.xlsx&amp;sheet=U0&amp;row=1912&amp;col=7&amp;number=0.000258&amp;sourceID=14","0.000258")</f>
        <v>0.000258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HYPERLINK("http://141.218.60.56/~jnz1568/getInfo.php?workbook=12_04.xlsx&amp;sheet=U0&amp;row=1913&amp;col=6&amp;number=3.9&amp;sourceID=14","3.9")</f>
        <v>3.9</v>
      </c>
      <c r="G1913" s="4" t="str">
        <f>HYPERLINK("http://141.218.60.56/~jnz1568/getInfo.php?workbook=12_04.xlsx&amp;sheet=U0&amp;row=1913&amp;col=7&amp;number=0.000258&amp;sourceID=14","0.000258")</f>
        <v>0.000258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HYPERLINK("http://141.218.60.56/~jnz1568/getInfo.php?workbook=12_04.xlsx&amp;sheet=U0&amp;row=1914&amp;col=6&amp;number=4&amp;sourceID=14","4")</f>
        <v>4</v>
      </c>
      <c r="G1914" s="4" t="str">
        <f>HYPERLINK("http://141.218.60.56/~jnz1568/getInfo.php?workbook=12_04.xlsx&amp;sheet=U0&amp;row=1914&amp;col=7&amp;number=0.000259&amp;sourceID=14","0.000259")</f>
        <v>0.000259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HYPERLINK("http://141.218.60.56/~jnz1568/getInfo.php?workbook=12_04.xlsx&amp;sheet=U0&amp;row=1915&amp;col=6&amp;number=4.1&amp;sourceID=14","4.1")</f>
        <v>4.1</v>
      </c>
      <c r="G1915" s="4" t="str">
        <f>HYPERLINK("http://141.218.60.56/~jnz1568/getInfo.php?workbook=12_04.xlsx&amp;sheet=U0&amp;row=1915&amp;col=7&amp;number=0.000259&amp;sourceID=14","0.000259")</f>
        <v>0.000259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HYPERLINK("http://141.218.60.56/~jnz1568/getInfo.php?workbook=12_04.xlsx&amp;sheet=U0&amp;row=1916&amp;col=6&amp;number=4.2&amp;sourceID=14","4.2")</f>
        <v>4.2</v>
      </c>
      <c r="G1916" s="4" t="str">
        <f>HYPERLINK("http://141.218.60.56/~jnz1568/getInfo.php?workbook=12_04.xlsx&amp;sheet=U0&amp;row=1916&amp;col=7&amp;number=0.000259&amp;sourceID=14","0.000259")</f>
        <v>0.000259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HYPERLINK("http://141.218.60.56/~jnz1568/getInfo.php?workbook=12_04.xlsx&amp;sheet=U0&amp;row=1917&amp;col=6&amp;number=4.3&amp;sourceID=14","4.3")</f>
        <v>4.3</v>
      </c>
      <c r="G1917" s="4" t="str">
        <f>HYPERLINK("http://141.218.60.56/~jnz1568/getInfo.php?workbook=12_04.xlsx&amp;sheet=U0&amp;row=1917&amp;col=7&amp;number=0.000259&amp;sourceID=14","0.000259")</f>
        <v>0.000259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HYPERLINK("http://141.218.60.56/~jnz1568/getInfo.php?workbook=12_04.xlsx&amp;sheet=U0&amp;row=1918&amp;col=6&amp;number=4.4&amp;sourceID=14","4.4")</f>
        <v>4.4</v>
      </c>
      <c r="G1918" s="4" t="str">
        <f>HYPERLINK("http://141.218.60.56/~jnz1568/getInfo.php?workbook=12_04.xlsx&amp;sheet=U0&amp;row=1918&amp;col=7&amp;number=0.000259&amp;sourceID=14","0.000259")</f>
        <v>0.000259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HYPERLINK("http://141.218.60.56/~jnz1568/getInfo.php?workbook=12_04.xlsx&amp;sheet=U0&amp;row=1919&amp;col=6&amp;number=4.5&amp;sourceID=14","4.5")</f>
        <v>4.5</v>
      </c>
      <c r="G1919" s="4" t="str">
        <f>HYPERLINK("http://141.218.60.56/~jnz1568/getInfo.php?workbook=12_04.xlsx&amp;sheet=U0&amp;row=1919&amp;col=7&amp;number=0.00026&amp;sourceID=14","0.00026")</f>
        <v>0.00026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HYPERLINK("http://141.218.60.56/~jnz1568/getInfo.php?workbook=12_04.xlsx&amp;sheet=U0&amp;row=1920&amp;col=6&amp;number=4.6&amp;sourceID=14","4.6")</f>
        <v>4.6</v>
      </c>
      <c r="G1920" s="4" t="str">
        <f>HYPERLINK("http://141.218.60.56/~jnz1568/getInfo.php?workbook=12_04.xlsx&amp;sheet=U0&amp;row=1920&amp;col=7&amp;number=0.00026&amp;sourceID=14","0.00026")</f>
        <v>0.00026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HYPERLINK("http://141.218.60.56/~jnz1568/getInfo.php?workbook=12_04.xlsx&amp;sheet=U0&amp;row=1921&amp;col=6&amp;number=4.7&amp;sourceID=14","4.7")</f>
        <v>4.7</v>
      </c>
      <c r="G1921" s="4" t="str">
        <f>HYPERLINK("http://141.218.60.56/~jnz1568/getInfo.php?workbook=12_04.xlsx&amp;sheet=U0&amp;row=1921&amp;col=7&amp;number=0.000261&amp;sourceID=14","0.000261")</f>
        <v>0.000261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HYPERLINK("http://141.218.60.56/~jnz1568/getInfo.php?workbook=12_04.xlsx&amp;sheet=U0&amp;row=1922&amp;col=6&amp;number=4.8&amp;sourceID=14","4.8")</f>
        <v>4.8</v>
      </c>
      <c r="G1922" s="4" t="str">
        <f>HYPERLINK("http://141.218.60.56/~jnz1568/getInfo.php?workbook=12_04.xlsx&amp;sheet=U0&amp;row=1922&amp;col=7&amp;number=0.000262&amp;sourceID=14","0.000262")</f>
        <v>0.000262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HYPERLINK("http://141.218.60.56/~jnz1568/getInfo.php?workbook=12_04.xlsx&amp;sheet=U0&amp;row=1923&amp;col=6&amp;number=4.9&amp;sourceID=14","4.9")</f>
        <v>4.9</v>
      </c>
      <c r="G1923" s="4" t="str">
        <f>HYPERLINK("http://141.218.60.56/~jnz1568/getInfo.php?workbook=12_04.xlsx&amp;sheet=U0&amp;row=1923&amp;col=7&amp;number=0.000262&amp;sourceID=14","0.000262")</f>
        <v>0.000262</v>
      </c>
    </row>
    <row r="1924" spans="1:7">
      <c r="A1924" s="3">
        <v>12</v>
      </c>
      <c r="B1924" s="3">
        <v>4</v>
      </c>
      <c r="C1924" s="3">
        <v>1</v>
      </c>
      <c r="D1924" s="3">
        <v>98</v>
      </c>
      <c r="E1924" s="3">
        <v>1</v>
      </c>
      <c r="F1924" s="4" t="str">
        <f>HYPERLINK("http://141.218.60.56/~jnz1568/getInfo.php?workbook=12_04.xlsx&amp;sheet=U0&amp;row=1924&amp;col=6&amp;number=3&amp;sourceID=14","3")</f>
        <v>3</v>
      </c>
      <c r="G1924" s="4" t="str">
        <f>HYPERLINK("http://141.218.60.56/~jnz1568/getInfo.php?workbook=12_04.xlsx&amp;sheet=U0&amp;row=1924&amp;col=7&amp;number=0.00115&amp;sourceID=14","0.00115")</f>
        <v>0.00115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HYPERLINK("http://141.218.60.56/~jnz1568/getInfo.php?workbook=12_04.xlsx&amp;sheet=U0&amp;row=1925&amp;col=6&amp;number=3.1&amp;sourceID=14","3.1")</f>
        <v>3.1</v>
      </c>
      <c r="G1925" s="4" t="str">
        <f>HYPERLINK("http://141.218.60.56/~jnz1568/getInfo.php?workbook=12_04.xlsx&amp;sheet=U0&amp;row=1925&amp;col=7&amp;number=0.00115&amp;sourceID=14","0.00115")</f>
        <v>0.00115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HYPERLINK("http://141.218.60.56/~jnz1568/getInfo.php?workbook=12_04.xlsx&amp;sheet=U0&amp;row=1926&amp;col=6&amp;number=3.2&amp;sourceID=14","3.2")</f>
        <v>3.2</v>
      </c>
      <c r="G1926" s="4" t="str">
        <f>HYPERLINK("http://141.218.60.56/~jnz1568/getInfo.php?workbook=12_04.xlsx&amp;sheet=U0&amp;row=1926&amp;col=7&amp;number=0.00115&amp;sourceID=14","0.00115")</f>
        <v>0.00115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HYPERLINK("http://141.218.60.56/~jnz1568/getInfo.php?workbook=12_04.xlsx&amp;sheet=U0&amp;row=1927&amp;col=6&amp;number=3.3&amp;sourceID=14","3.3")</f>
        <v>3.3</v>
      </c>
      <c r="G1927" s="4" t="str">
        <f>HYPERLINK("http://141.218.60.56/~jnz1568/getInfo.php?workbook=12_04.xlsx&amp;sheet=U0&amp;row=1927&amp;col=7&amp;number=0.00115&amp;sourceID=14","0.00115")</f>
        <v>0.00115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HYPERLINK("http://141.218.60.56/~jnz1568/getInfo.php?workbook=12_04.xlsx&amp;sheet=U0&amp;row=1928&amp;col=6&amp;number=3.4&amp;sourceID=14","3.4")</f>
        <v>3.4</v>
      </c>
      <c r="G1928" s="4" t="str">
        <f>HYPERLINK("http://141.218.60.56/~jnz1568/getInfo.php?workbook=12_04.xlsx&amp;sheet=U0&amp;row=1928&amp;col=7&amp;number=0.00115&amp;sourceID=14","0.00115")</f>
        <v>0.00115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HYPERLINK("http://141.218.60.56/~jnz1568/getInfo.php?workbook=12_04.xlsx&amp;sheet=U0&amp;row=1929&amp;col=6&amp;number=3.5&amp;sourceID=14","3.5")</f>
        <v>3.5</v>
      </c>
      <c r="G1929" s="4" t="str">
        <f>HYPERLINK("http://141.218.60.56/~jnz1568/getInfo.php?workbook=12_04.xlsx&amp;sheet=U0&amp;row=1929&amp;col=7&amp;number=0.00115&amp;sourceID=14","0.00115")</f>
        <v>0.00115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HYPERLINK("http://141.218.60.56/~jnz1568/getInfo.php?workbook=12_04.xlsx&amp;sheet=U0&amp;row=1930&amp;col=6&amp;number=3.6&amp;sourceID=14","3.6")</f>
        <v>3.6</v>
      </c>
      <c r="G1930" s="4" t="str">
        <f>HYPERLINK("http://141.218.60.56/~jnz1568/getInfo.php?workbook=12_04.xlsx&amp;sheet=U0&amp;row=1930&amp;col=7&amp;number=0.00115&amp;sourceID=14","0.00115")</f>
        <v>0.00115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HYPERLINK("http://141.218.60.56/~jnz1568/getInfo.php?workbook=12_04.xlsx&amp;sheet=U0&amp;row=1931&amp;col=6&amp;number=3.7&amp;sourceID=14","3.7")</f>
        <v>3.7</v>
      </c>
      <c r="G1931" s="4" t="str">
        <f>HYPERLINK("http://141.218.60.56/~jnz1568/getInfo.php?workbook=12_04.xlsx&amp;sheet=U0&amp;row=1931&amp;col=7&amp;number=0.00115&amp;sourceID=14","0.00115")</f>
        <v>0.00115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HYPERLINK("http://141.218.60.56/~jnz1568/getInfo.php?workbook=12_04.xlsx&amp;sheet=U0&amp;row=1932&amp;col=6&amp;number=3.8&amp;sourceID=14","3.8")</f>
        <v>3.8</v>
      </c>
      <c r="G1932" s="4" t="str">
        <f>HYPERLINK("http://141.218.60.56/~jnz1568/getInfo.php?workbook=12_04.xlsx&amp;sheet=U0&amp;row=1932&amp;col=7&amp;number=0.00115&amp;sourceID=14","0.00115")</f>
        <v>0.00115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HYPERLINK("http://141.218.60.56/~jnz1568/getInfo.php?workbook=12_04.xlsx&amp;sheet=U0&amp;row=1933&amp;col=6&amp;number=3.9&amp;sourceID=14","3.9")</f>
        <v>3.9</v>
      </c>
      <c r="G1933" s="4" t="str">
        <f>HYPERLINK("http://141.218.60.56/~jnz1568/getInfo.php?workbook=12_04.xlsx&amp;sheet=U0&amp;row=1933&amp;col=7&amp;number=0.00115&amp;sourceID=14","0.00115")</f>
        <v>0.00115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HYPERLINK("http://141.218.60.56/~jnz1568/getInfo.php?workbook=12_04.xlsx&amp;sheet=U0&amp;row=1934&amp;col=6&amp;number=4&amp;sourceID=14","4")</f>
        <v>4</v>
      </c>
      <c r="G1934" s="4" t="str">
        <f>HYPERLINK("http://141.218.60.56/~jnz1568/getInfo.php?workbook=12_04.xlsx&amp;sheet=U0&amp;row=1934&amp;col=7&amp;number=0.00115&amp;sourceID=14","0.00115")</f>
        <v>0.00115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HYPERLINK("http://141.218.60.56/~jnz1568/getInfo.php?workbook=12_04.xlsx&amp;sheet=U0&amp;row=1935&amp;col=6&amp;number=4.1&amp;sourceID=14","4.1")</f>
        <v>4.1</v>
      </c>
      <c r="G1935" s="4" t="str">
        <f>HYPERLINK("http://141.218.60.56/~jnz1568/getInfo.php?workbook=12_04.xlsx&amp;sheet=U0&amp;row=1935&amp;col=7&amp;number=0.00115&amp;sourceID=14","0.00115")</f>
        <v>0.00115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HYPERLINK("http://141.218.60.56/~jnz1568/getInfo.php?workbook=12_04.xlsx&amp;sheet=U0&amp;row=1936&amp;col=6&amp;number=4.2&amp;sourceID=14","4.2")</f>
        <v>4.2</v>
      </c>
      <c r="G1936" s="4" t="str">
        <f>HYPERLINK("http://141.218.60.56/~jnz1568/getInfo.php?workbook=12_04.xlsx&amp;sheet=U0&amp;row=1936&amp;col=7&amp;number=0.00115&amp;sourceID=14","0.00115")</f>
        <v>0.00115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HYPERLINK("http://141.218.60.56/~jnz1568/getInfo.php?workbook=12_04.xlsx&amp;sheet=U0&amp;row=1937&amp;col=6&amp;number=4.3&amp;sourceID=14","4.3")</f>
        <v>4.3</v>
      </c>
      <c r="G1937" s="4" t="str">
        <f>HYPERLINK("http://141.218.60.56/~jnz1568/getInfo.php?workbook=12_04.xlsx&amp;sheet=U0&amp;row=1937&amp;col=7&amp;number=0.00116&amp;sourceID=14","0.00116")</f>
        <v>0.00116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HYPERLINK("http://141.218.60.56/~jnz1568/getInfo.php?workbook=12_04.xlsx&amp;sheet=U0&amp;row=1938&amp;col=6&amp;number=4.4&amp;sourceID=14","4.4")</f>
        <v>4.4</v>
      </c>
      <c r="G1938" s="4" t="str">
        <f>HYPERLINK("http://141.218.60.56/~jnz1568/getInfo.php?workbook=12_04.xlsx&amp;sheet=U0&amp;row=1938&amp;col=7&amp;number=0.00116&amp;sourceID=14","0.00116")</f>
        <v>0.00116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HYPERLINK("http://141.218.60.56/~jnz1568/getInfo.php?workbook=12_04.xlsx&amp;sheet=U0&amp;row=1939&amp;col=6&amp;number=4.5&amp;sourceID=14","4.5")</f>
        <v>4.5</v>
      </c>
      <c r="G1939" s="4" t="str">
        <f>HYPERLINK("http://141.218.60.56/~jnz1568/getInfo.php?workbook=12_04.xlsx&amp;sheet=U0&amp;row=1939&amp;col=7&amp;number=0.00116&amp;sourceID=14","0.00116")</f>
        <v>0.00116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HYPERLINK("http://141.218.60.56/~jnz1568/getInfo.php?workbook=12_04.xlsx&amp;sheet=U0&amp;row=1940&amp;col=6&amp;number=4.6&amp;sourceID=14","4.6")</f>
        <v>4.6</v>
      </c>
      <c r="G1940" s="4" t="str">
        <f>HYPERLINK("http://141.218.60.56/~jnz1568/getInfo.php?workbook=12_04.xlsx&amp;sheet=U0&amp;row=1940&amp;col=7&amp;number=0.00117&amp;sourceID=14","0.00117")</f>
        <v>0.00117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HYPERLINK("http://141.218.60.56/~jnz1568/getInfo.php?workbook=12_04.xlsx&amp;sheet=U0&amp;row=1941&amp;col=6&amp;number=4.7&amp;sourceID=14","4.7")</f>
        <v>4.7</v>
      </c>
      <c r="G1941" s="4" t="str">
        <f>HYPERLINK("http://141.218.60.56/~jnz1568/getInfo.php?workbook=12_04.xlsx&amp;sheet=U0&amp;row=1941&amp;col=7&amp;number=0.00118&amp;sourceID=14","0.00118")</f>
        <v>0.00118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HYPERLINK("http://141.218.60.56/~jnz1568/getInfo.php?workbook=12_04.xlsx&amp;sheet=U0&amp;row=1942&amp;col=6&amp;number=4.8&amp;sourceID=14","4.8")</f>
        <v>4.8</v>
      </c>
      <c r="G1942" s="4" t="str">
        <f>HYPERLINK("http://141.218.60.56/~jnz1568/getInfo.php?workbook=12_04.xlsx&amp;sheet=U0&amp;row=1942&amp;col=7&amp;number=0.00118&amp;sourceID=14","0.00118")</f>
        <v>0.00118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HYPERLINK("http://141.218.60.56/~jnz1568/getInfo.php?workbook=12_04.xlsx&amp;sheet=U0&amp;row=1943&amp;col=6&amp;number=4.9&amp;sourceID=14","4.9")</f>
        <v>4.9</v>
      </c>
      <c r="G1943" s="4" t="str">
        <f>HYPERLINK("http://141.218.60.56/~jnz1568/getInfo.php?workbook=12_04.xlsx&amp;sheet=U0&amp;row=1943&amp;col=7&amp;number=0.00119&amp;sourceID=14","0.00119")</f>
        <v>0.00119</v>
      </c>
    </row>
    <row r="1944" spans="1:7">
      <c r="A1944" s="3">
        <v>12</v>
      </c>
      <c r="B1944" s="3">
        <v>4</v>
      </c>
      <c r="C1944" s="3">
        <v>2</v>
      </c>
      <c r="D1944" s="3">
        <v>3</v>
      </c>
      <c r="E1944" s="3">
        <v>1</v>
      </c>
      <c r="F1944" s="4" t="str">
        <f>HYPERLINK("http://141.218.60.56/~jnz1568/getInfo.php?workbook=12_04.xlsx&amp;sheet=U0&amp;row=1944&amp;col=6&amp;number=3&amp;sourceID=14","3")</f>
        <v>3</v>
      </c>
      <c r="G1944" s="4" t="str">
        <f>HYPERLINK("http://141.218.60.56/~jnz1568/getInfo.php?workbook=12_04.xlsx&amp;sheet=U0&amp;row=1944&amp;col=7&amp;number=0.275&amp;sourceID=14","0.275")</f>
        <v>0.275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HYPERLINK("http://141.218.60.56/~jnz1568/getInfo.php?workbook=12_04.xlsx&amp;sheet=U0&amp;row=1945&amp;col=6&amp;number=3.1&amp;sourceID=14","3.1")</f>
        <v>3.1</v>
      </c>
      <c r="G1945" s="4" t="str">
        <f>HYPERLINK("http://141.218.60.56/~jnz1568/getInfo.php?workbook=12_04.xlsx&amp;sheet=U0&amp;row=1945&amp;col=7&amp;number=0.275&amp;sourceID=14","0.275")</f>
        <v>0.275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HYPERLINK("http://141.218.60.56/~jnz1568/getInfo.php?workbook=12_04.xlsx&amp;sheet=U0&amp;row=1946&amp;col=6&amp;number=3.2&amp;sourceID=14","3.2")</f>
        <v>3.2</v>
      </c>
      <c r="G1946" s="4" t="str">
        <f>HYPERLINK("http://141.218.60.56/~jnz1568/getInfo.php?workbook=12_04.xlsx&amp;sheet=U0&amp;row=1946&amp;col=7&amp;number=0.275&amp;sourceID=14","0.275")</f>
        <v>0.275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HYPERLINK("http://141.218.60.56/~jnz1568/getInfo.php?workbook=12_04.xlsx&amp;sheet=U0&amp;row=1947&amp;col=6&amp;number=3.3&amp;sourceID=14","3.3")</f>
        <v>3.3</v>
      </c>
      <c r="G1947" s="4" t="str">
        <f>HYPERLINK("http://141.218.60.56/~jnz1568/getInfo.php?workbook=12_04.xlsx&amp;sheet=U0&amp;row=1947&amp;col=7&amp;number=0.275&amp;sourceID=14","0.275")</f>
        <v>0.275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HYPERLINK("http://141.218.60.56/~jnz1568/getInfo.php?workbook=12_04.xlsx&amp;sheet=U0&amp;row=1948&amp;col=6&amp;number=3.4&amp;sourceID=14","3.4")</f>
        <v>3.4</v>
      </c>
      <c r="G1948" s="4" t="str">
        <f>HYPERLINK("http://141.218.60.56/~jnz1568/getInfo.php?workbook=12_04.xlsx&amp;sheet=U0&amp;row=1948&amp;col=7&amp;number=0.275&amp;sourceID=14","0.275")</f>
        <v>0.275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HYPERLINK("http://141.218.60.56/~jnz1568/getInfo.php?workbook=12_04.xlsx&amp;sheet=U0&amp;row=1949&amp;col=6&amp;number=3.5&amp;sourceID=14","3.5")</f>
        <v>3.5</v>
      </c>
      <c r="G1949" s="4" t="str">
        <f>HYPERLINK("http://141.218.60.56/~jnz1568/getInfo.php?workbook=12_04.xlsx&amp;sheet=U0&amp;row=1949&amp;col=7&amp;number=0.274&amp;sourceID=14","0.274")</f>
        <v>0.274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HYPERLINK("http://141.218.60.56/~jnz1568/getInfo.php?workbook=12_04.xlsx&amp;sheet=U0&amp;row=1950&amp;col=6&amp;number=3.6&amp;sourceID=14","3.6")</f>
        <v>3.6</v>
      </c>
      <c r="G1950" s="4" t="str">
        <f>HYPERLINK("http://141.218.60.56/~jnz1568/getInfo.php?workbook=12_04.xlsx&amp;sheet=U0&amp;row=1950&amp;col=7&amp;number=0.274&amp;sourceID=14","0.274")</f>
        <v>0.274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HYPERLINK("http://141.218.60.56/~jnz1568/getInfo.php?workbook=12_04.xlsx&amp;sheet=U0&amp;row=1951&amp;col=6&amp;number=3.7&amp;sourceID=14","3.7")</f>
        <v>3.7</v>
      </c>
      <c r="G1951" s="4" t="str">
        <f>HYPERLINK("http://141.218.60.56/~jnz1568/getInfo.php?workbook=12_04.xlsx&amp;sheet=U0&amp;row=1951&amp;col=7&amp;number=0.274&amp;sourceID=14","0.274")</f>
        <v>0.274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HYPERLINK("http://141.218.60.56/~jnz1568/getInfo.php?workbook=12_04.xlsx&amp;sheet=U0&amp;row=1952&amp;col=6&amp;number=3.8&amp;sourceID=14","3.8")</f>
        <v>3.8</v>
      </c>
      <c r="G1952" s="4" t="str">
        <f>HYPERLINK("http://141.218.60.56/~jnz1568/getInfo.php?workbook=12_04.xlsx&amp;sheet=U0&amp;row=1952&amp;col=7&amp;number=0.274&amp;sourceID=14","0.274")</f>
        <v>0.274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HYPERLINK("http://141.218.60.56/~jnz1568/getInfo.php?workbook=12_04.xlsx&amp;sheet=U0&amp;row=1953&amp;col=6&amp;number=3.9&amp;sourceID=14","3.9")</f>
        <v>3.9</v>
      </c>
      <c r="G1953" s="4" t="str">
        <f>HYPERLINK("http://141.218.60.56/~jnz1568/getInfo.php?workbook=12_04.xlsx&amp;sheet=U0&amp;row=1953&amp;col=7&amp;number=0.273&amp;sourceID=14","0.273")</f>
        <v>0.273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HYPERLINK("http://141.218.60.56/~jnz1568/getInfo.php?workbook=12_04.xlsx&amp;sheet=U0&amp;row=1954&amp;col=6&amp;number=4&amp;sourceID=14","4")</f>
        <v>4</v>
      </c>
      <c r="G1954" s="4" t="str">
        <f>HYPERLINK("http://141.218.60.56/~jnz1568/getInfo.php?workbook=12_04.xlsx&amp;sheet=U0&amp;row=1954&amp;col=7&amp;number=0.273&amp;sourceID=14","0.273")</f>
        <v>0.273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HYPERLINK("http://141.218.60.56/~jnz1568/getInfo.php?workbook=12_04.xlsx&amp;sheet=U0&amp;row=1955&amp;col=6&amp;number=4.1&amp;sourceID=14","4.1")</f>
        <v>4.1</v>
      </c>
      <c r="G1955" s="4" t="str">
        <f>HYPERLINK("http://141.218.60.56/~jnz1568/getInfo.php?workbook=12_04.xlsx&amp;sheet=U0&amp;row=1955&amp;col=7&amp;number=0.272&amp;sourceID=14","0.272")</f>
        <v>0.272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HYPERLINK("http://141.218.60.56/~jnz1568/getInfo.php?workbook=12_04.xlsx&amp;sheet=U0&amp;row=1956&amp;col=6&amp;number=4.2&amp;sourceID=14","4.2")</f>
        <v>4.2</v>
      </c>
      <c r="G1956" s="4" t="str">
        <f>HYPERLINK("http://141.218.60.56/~jnz1568/getInfo.php?workbook=12_04.xlsx&amp;sheet=U0&amp;row=1956&amp;col=7&amp;number=0.271&amp;sourceID=14","0.271")</f>
        <v>0.271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HYPERLINK("http://141.218.60.56/~jnz1568/getInfo.php?workbook=12_04.xlsx&amp;sheet=U0&amp;row=1957&amp;col=6&amp;number=4.3&amp;sourceID=14","4.3")</f>
        <v>4.3</v>
      </c>
      <c r="G1957" s="4" t="str">
        <f>HYPERLINK("http://141.218.60.56/~jnz1568/getInfo.php?workbook=12_04.xlsx&amp;sheet=U0&amp;row=1957&amp;col=7&amp;number=0.27&amp;sourceID=14","0.27")</f>
        <v>0.27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HYPERLINK("http://141.218.60.56/~jnz1568/getInfo.php?workbook=12_04.xlsx&amp;sheet=U0&amp;row=1958&amp;col=6&amp;number=4.4&amp;sourceID=14","4.4")</f>
        <v>4.4</v>
      </c>
      <c r="G1958" s="4" t="str">
        <f>HYPERLINK("http://141.218.60.56/~jnz1568/getInfo.php?workbook=12_04.xlsx&amp;sheet=U0&amp;row=1958&amp;col=7&amp;number=0.268&amp;sourceID=14","0.268")</f>
        <v>0.268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HYPERLINK("http://141.218.60.56/~jnz1568/getInfo.php?workbook=12_04.xlsx&amp;sheet=U0&amp;row=1959&amp;col=6&amp;number=4.5&amp;sourceID=14","4.5")</f>
        <v>4.5</v>
      </c>
      <c r="G1959" s="4" t="str">
        <f>HYPERLINK("http://141.218.60.56/~jnz1568/getInfo.php?workbook=12_04.xlsx&amp;sheet=U0&amp;row=1959&amp;col=7&amp;number=0.266&amp;sourceID=14","0.266")</f>
        <v>0.266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HYPERLINK("http://141.218.60.56/~jnz1568/getInfo.php?workbook=12_04.xlsx&amp;sheet=U0&amp;row=1960&amp;col=6&amp;number=4.6&amp;sourceID=14","4.6")</f>
        <v>4.6</v>
      </c>
      <c r="G1960" s="4" t="str">
        <f>HYPERLINK("http://141.218.60.56/~jnz1568/getInfo.php?workbook=12_04.xlsx&amp;sheet=U0&amp;row=1960&amp;col=7&amp;number=0.264&amp;sourceID=14","0.264")</f>
        <v>0.264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HYPERLINK("http://141.218.60.56/~jnz1568/getInfo.php?workbook=12_04.xlsx&amp;sheet=U0&amp;row=1961&amp;col=6&amp;number=4.7&amp;sourceID=14","4.7")</f>
        <v>4.7</v>
      </c>
      <c r="G1961" s="4" t="str">
        <f>HYPERLINK("http://141.218.60.56/~jnz1568/getInfo.php?workbook=12_04.xlsx&amp;sheet=U0&amp;row=1961&amp;col=7&amp;number=0.261&amp;sourceID=14","0.261")</f>
        <v>0.261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HYPERLINK("http://141.218.60.56/~jnz1568/getInfo.php?workbook=12_04.xlsx&amp;sheet=U0&amp;row=1962&amp;col=6&amp;number=4.8&amp;sourceID=14","4.8")</f>
        <v>4.8</v>
      </c>
      <c r="G1962" s="4" t="str">
        <f>HYPERLINK("http://141.218.60.56/~jnz1568/getInfo.php?workbook=12_04.xlsx&amp;sheet=U0&amp;row=1962&amp;col=7&amp;number=0.258&amp;sourceID=14","0.258")</f>
        <v>0.258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HYPERLINK("http://141.218.60.56/~jnz1568/getInfo.php?workbook=12_04.xlsx&amp;sheet=U0&amp;row=1963&amp;col=6&amp;number=4.9&amp;sourceID=14","4.9")</f>
        <v>4.9</v>
      </c>
      <c r="G1963" s="4" t="str">
        <f>HYPERLINK("http://141.218.60.56/~jnz1568/getInfo.php?workbook=12_04.xlsx&amp;sheet=U0&amp;row=1963&amp;col=7&amp;number=0.253&amp;sourceID=14","0.253")</f>
        <v>0.253</v>
      </c>
    </row>
    <row r="1964" spans="1:7">
      <c r="A1964" s="3">
        <v>12</v>
      </c>
      <c r="B1964" s="3">
        <v>4</v>
      </c>
      <c r="C1964" s="3">
        <v>2</v>
      </c>
      <c r="D1964" s="3">
        <v>4</v>
      </c>
      <c r="E1964" s="3">
        <v>1</v>
      </c>
      <c r="F1964" s="4" t="str">
        <f>HYPERLINK("http://141.218.60.56/~jnz1568/getInfo.php?workbook=12_04.xlsx&amp;sheet=U0&amp;row=1964&amp;col=6&amp;number=3&amp;sourceID=14","3")</f>
        <v>3</v>
      </c>
      <c r="G1964" s="4" t="str">
        <f>HYPERLINK("http://141.218.60.56/~jnz1568/getInfo.php?workbook=12_04.xlsx&amp;sheet=U0&amp;row=1964&amp;col=7&amp;number=0.269&amp;sourceID=14","0.269")</f>
        <v>0.269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HYPERLINK("http://141.218.60.56/~jnz1568/getInfo.php?workbook=12_04.xlsx&amp;sheet=U0&amp;row=1965&amp;col=6&amp;number=3.1&amp;sourceID=14","3.1")</f>
        <v>3.1</v>
      </c>
      <c r="G1965" s="4" t="str">
        <f>HYPERLINK("http://141.218.60.56/~jnz1568/getInfo.php?workbook=12_04.xlsx&amp;sheet=U0&amp;row=1965&amp;col=7&amp;number=0.269&amp;sourceID=14","0.269")</f>
        <v>0.269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HYPERLINK("http://141.218.60.56/~jnz1568/getInfo.php?workbook=12_04.xlsx&amp;sheet=U0&amp;row=1966&amp;col=6&amp;number=3.2&amp;sourceID=14","3.2")</f>
        <v>3.2</v>
      </c>
      <c r="G1966" s="4" t="str">
        <f>HYPERLINK("http://141.218.60.56/~jnz1568/getInfo.php?workbook=12_04.xlsx&amp;sheet=U0&amp;row=1966&amp;col=7&amp;number=0.269&amp;sourceID=14","0.269")</f>
        <v>0.269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HYPERLINK("http://141.218.60.56/~jnz1568/getInfo.php?workbook=12_04.xlsx&amp;sheet=U0&amp;row=1967&amp;col=6&amp;number=3.3&amp;sourceID=14","3.3")</f>
        <v>3.3</v>
      </c>
      <c r="G1967" s="4" t="str">
        <f>HYPERLINK("http://141.218.60.56/~jnz1568/getInfo.php?workbook=12_04.xlsx&amp;sheet=U0&amp;row=1967&amp;col=7&amp;number=0.268&amp;sourceID=14","0.268")</f>
        <v>0.268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HYPERLINK("http://141.218.60.56/~jnz1568/getInfo.php?workbook=12_04.xlsx&amp;sheet=U0&amp;row=1968&amp;col=6&amp;number=3.4&amp;sourceID=14","3.4")</f>
        <v>3.4</v>
      </c>
      <c r="G1968" s="4" t="str">
        <f>HYPERLINK("http://141.218.60.56/~jnz1568/getInfo.php?workbook=12_04.xlsx&amp;sheet=U0&amp;row=1968&amp;col=7&amp;number=0.268&amp;sourceID=14","0.268")</f>
        <v>0.268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HYPERLINK("http://141.218.60.56/~jnz1568/getInfo.php?workbook=12_04.xlsx&amp;sheet=U0&amp;row=1969&amp;col=6&amp;number=3.5&amp;sourceID=14","3.5")</f>
        <v>3.5</v>
      </c>
      <c r="G1969" s="4" t="str">
        <f>HYPERLINK("http://141.218.60.56/~jnz1568/getInfo.php?workbook=12_04.xlsx&amp;sheet=U0&amp;row=1969&amp;col=7&amp;number=0.268&amp;sourceID=14","0.268")</f>
        <v>0.268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HYPERLINK("http://141.218.60.56/~jnz1568/getInfo.php?workbook=12_04.xlsx&amp;sheet=U0&amp;row=1970&amp;col=6&amp;number=3.6&amp;sourceID=14","3.6")</f>
        <v>3.6</v>
      </c>
      <c r="G1970" s="4" t="str">
        <f>HYPERLINK("http://141.218.60.56/~jnz1568/getInfo.php?workbook=12_04.xlsx&amp;sheet=U0&amp;row=1970&amp;col=7&amp;number=0.268&amp;sourceID=14","0.268")</f>
        <v>0.268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HYPERLINK("http://141.218.60.56/~jnz1568/getInfo.php?workbook=12_04.xlsx&amp;sheet=U0&amp;row=1971&amp;col=6&amp;number=3.7&amp;sourceID=14","3.7")</f>
        <v>3.7</v>
      </c>
      <c r="G1971" s="4" t="str">
        <f>HYPERLINK("http://141.218.60.56/~jnz1568/getInfo.php?workbook=12_04.xlsx&amp;sheet=U0&amp;row=1971&amp;col=7&amp;number=0.267&amp;sourceID=14","0.267")</f>
        <v>0.267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HYPERLINK("http://141.218.60.56/~jnz1568/getInfo.php?workbook=12_04.xlsx&amp;sheet=U0&amp;row=1972&amp;col=6&amp;number=3.8&amp;sourceID=14","3.8")</f>
        <v>3.8</v>
      </c>
      <c r="G1972" s="4" t="str">
        <f>HYPERLINK("http://141.218.60.56/~jnz1568/getInfo.php?workbook=12_04.xlsx&amp;sheet=U0&amp;row=1972&amp;col=7&amp;number=0.267&amp;sourceID=14","0.267")</f>
        <v>0.267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HYPERLINK("http://141.218.60.56/~jnz1568/getInfo.php?workbook=12_04.xlsx&amp;sheet=U0&amp;row=1973&amp;col=6&amp;number=3.9&amp;sourceID=14","3.9")</f>
        <v>3.9</v>
      </c>
      <c r="G1973" s="4" t="str">
        <f>HYPERLINK("http://141.218.60.56/~jnz1568/getInfo.php?workbook=12_04.xlsx&amp;sheet=U0&amp;row=1973&amp;col=7&amp;number=0.266&amp;sourceID=14","0.266")</f>
        <v>0.266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HYPERLINK("http://141.218.60.56/~jnz1568/getInfo.php?workbook=12_04.xlsx&amp;sheet=U0&amp;row=1974&amp;col=6&amp;number=4&amp;sourceID=14","4")</f>
        <v>4</v>
      </c>
      <c r="G1974" s="4" t="str">
        <f>HYPERLINK("http://141.218.60.56/~jnz1568/getInfo.php?workbook=12_04.xlsx&amp;sheet=U0&amp;row=1974&amp;col=7&amp;number=0.265&amp;sourceID=14","0.265")</f>
        <v>0.265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HYPERLINK("http://141.218.60.56/~jnz1568/getInfo.php?workbook=12_04.xlsx&amp;sheet=U0&amp;row=1975&amp;col=6&amp;number=4.1&amp;sourceID=14","4.1")</f>
        <v>4.1</v>
      </c>
      <c r="G1975" s="4" t="str">
        <f>HYPERLINK("http://141.218.60.56/~jnz1568/getInfo.php?workbook=12_04.xlsx&amp;sheet=U0&amp;row=1975&amp;col=7&amp;number=0.264&amp;sourceID=14","0.264")</f>
        <v>0.264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HYPERLINK("http://141.218.60.56/~jnz1568/getInfo.php?workbook=12_04.xlsx&amp;sheet=U0&amp;row=1976&amp;col=6&amp;number=4.2&amp;sourceID=14","4.2")</f>
        <v>4.2</v>
      </c>
      <c r="G1976" s="4" t="str">
        <f>HYPERLINK("http://141.218.60.56/~jnz1568/getInfo.php?workbook=12_04.xlsx&amp;sheet=U0&amp;row=1976&amp;col=7&amp;number=0.263&amp;sourceID=14","0.263")</f>
        <v>0.263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HYPERLINK("http://141.218.60.56/~jnz1568/getInfo.php?workbook=12_04.xlsx&amp;sheet=U0&amp;row=1977&amp;col=6&amp;number=4.3&amp;sourceID=14","4.3")</f>
        <v>4.3</v>
      </c>
      <c r="G1977" s="4" t="str">
        <f>HYPERLINK("http://141.218.60.56/~jnz1568/getInfo.php?workbook=12_04.xlsx&amp;sheet=U0&amp;row=1977&amp;col=7&amp;number=0.261&amp;sourceID=14","0.261")</f>
        <v>0.261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HYPERLINK("http://141.218.60.56/~jnz1568/getInfo.php?workbook=12_04.xlsx&amp;sheet=U0&amp;row=1978&amp;col=6&amp;number=4.4&amp;sourceID=14","4.4")</f>
        <v>4.4</v>
      </c>
      <c r="G1978" s="4" t="str">
        <f>HYPERLINK("http://141.218.60.56/~jnz1568/getInfo.php?workbook=12_04.xlsx&amp;sheet=U0&amp;row=1978&amp;col=7&amp;number=0.259&amp;sourceID=14","0.259")</f>
        <v>0.259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HYPERLINK("http://141.218.60.56/~jnz1568/getInfo.php?workbook=12_04.xlsx&amp;sheet=U0&amp;row=1979&amp;col=6&amp;number=4.5&amp;sourceID=14","4.5")</f>
        <v>4.5</v>
      </c>
      <c r="G1979" s="4" t="str">
        <f>HYPERLINK("http://141.218.60.56/~jnz1568/getInfo.php?workbook=12_04.xlsx&amp;sheet=U0&amp;row=1979&amp;col=7&amp;number=0.256&amp;sourceID=14","0.256")</f>
        <v>0.256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HYPERLINK("http://141.218.60.56/~jnz1568/getInfo.php?workbook=12_04.xlsx&amp;sheet=U0&amp;row=1980&amp;col=6&amp;number=4.6&amp;sourceID=14","4.6")</f>
        <v>4.6</v>
      </c>
      <c r="G1980" s="4" t="str">
        <f>HYPERLINK("http://141.218.60.56/~jnz1568/getInfo.php?workbook=12_04.xlsx&amp;sheet=U0&amp;row=1980&amp;col=7&amp;number=0.253&amp;sourceID=14","0.253")</f>
        <v>0.253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HYPERLINK("http://141.218.60.56/~jnz1568/getInfo.php?workbook=12_04.xlsx&amp;sheet=U0&amp;row=1981&amp;col=6&amp;number=4.7&amp;sourceID=14","4.7")</f>
        <v>4.7</v>
      </c>
      <c r="G1981" s="4" t="str">
        <f>HYPERLINK("http://141.218.60.56/~jnz1568/getInfo.php?workbook=12_04.xlsx&amp;sheet=U0&amp;row=1981&amp;col=7&amp;number=0.249&amp;sourceID=14","0.249")</f>
        <v>0.249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HYPERLINK("http://141.218.60.56/~jnz1568/getInfo.php?workbook=12_04.xlsx&amp;sheet=U0&amp;row=1982&amp;col=6&amp;number=4.8&amp;sourceID=14","4.8")</f>
        <v>4.8</v>
      </c>
      <c r="G1982" s="4" t="str">
        <f>HYPERLINK("http://141.218.60.56/~jnz1568/getInfo.php?workbook=12_04.xlsx&amp;sheet=U0&amp;row=1982&amp;col=7&amp;number=0.244&amp;sourceID=14","0.244")</f>
        <v>0.244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HYPERLINK("http://141.218.60.56/~jnz1568/getInfo.php?workbook=12_04.xlsx&amp;sheet=U0&amp;row=1983&amp;col=6&amp;number=4.9&amp;sourceID=14","4.9")</f>
        <v>4.9</v>
      </c>
      <c r="G1983" s="4" t="str">
        <f>HYPERLINK("http://141.218.60.56/~jnz1568/getInfo.php?workbook=12_04.xlsx&amp;sheet=U0&amp;row=1983&amp;col=7&amp;number=0.238&amp;sourceID=14","0.238")</f>
        <v>0.238</v>
      </c>
    </row>
    <row r="1984" spans="1:7">
      <c r="A1984" s="3">
        <v>12</v>
      </c>
      <c r="B1984" s="3">
        <v>4</v>
      </c>
      <c r="C1984" s="3">
        <v>2</v>
      </c>
      <c r="D1984" s="3">
        <v>5</v>
      </c>
      <c r="E1984" s="3">
        <v>1</v>
      </c>
      <c r="F1984" s="4" t="str">
        <f>HYPERLINK("http://141.218.60.56/~jnz1568/getInfo.php?workbook=12_04.xlsx&amp;sheet=U0&amp;row=1984&amp;col=6&amp;number=3&amp;sourceID=14","3")</f>
        <v>3</v>
      </c>
      <c r="G1984" s="4" t="str">
        <f>HYPERLINK("http://141.218.60.56/~jnz1568/getInfo.php?workbook=12_04.xlsx&amp;sheet=U0&amp;row=1984&amp;col=7&amp;number=0.0464&amp;sourceID=14","0.0464")</f>
        <v>0.0464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HYPERLINK("http://141.218.60.56/~jnz1568/getInfo.php?workbook=12_04.xlsx&amp;sheet=U0&amp;row=1985&amp;col=6&amp;number=3.1&amp;sourceID=14","3.1")</f>
        <v>3.1</v>
      </c>
      <c r="G1985" s="4" t="str">
        <f>HYPERLINK("http://141.218.60.56/~jnz1568/getInfo.php?workbook=12_04.xlsx&amp;sheet=U0&amp;row=1985&amp;col=7&amp;number=0.0464&amp;sourceID=14","0.0464")</f>
        <v>0.0464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HYPERLINK("http://141.218.60.56/~jnz1568/getInfo.php?workbook=12_04.xlsx&amp;sheet=U0&amp;row=1986&amp;col=6&amp;number=3.2&amp;sourceID=14","3.2")</f>
        <v>3.2</v>
      </c>
      <c r="G1986" s="4" t="str">
        <f>HYPERLINK("http://141.218.60.56/~jnz1568/getInfo.php?workbook=12_04.xlsx&amp;sheet=U0&amp;row=1986&amp;col=7&amp;number=0.0464&amp;sourceID=14","0.0464")</f>
        <v>0.0464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HYPERLINK("http://141.218.60.56/~jnz1568/getInfo.php?workbook=12_04.xlsx&amp;sheet=U0&amp;row=1987&amp;col=6&amp;number=3.3&amp;sourceID=14","3.3")</f>
        <v>3.3</v>
      </c>
      <c r="G1987" s="4" t="str">
        <f>HYPERLINK("http://141.218.60.56/~jnz1568/getInfo.php?workbook=12_04.xlsx&amp;sheet=U0&amp;row=1987&amp;col=7&amp;number=0.0464&amp;sourceID=14","0.0464")</f>
        <v>0.0464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HYPERLINK("http://141.218.60.56/~jnz1568/getInfo.php?workbook=12_04.xlsx&amp;sheet=U0&amp;row=1988&amp;col=6&amp;number=3.4&amp;sourceID=14","3.4")</f>
        <v>3.4</v>
      </c>
      <c r="G1988" s="4" t="str">
        <f>HYPERLINK("http://141.218.60.56/~jnz1568/getInfo.php?workbook=12_04.xlsx&amp;sheet=U0&amp;row=1988&amp;col=7&amp;number=0.0463&amp;sourceID=14","0.0463")</f>
        <v>0.0463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HYPERLINK("http://141.218.60.56/~jnz1568/getInfo.php?workbook=12_04.xlsx&amp;sheet=U0&amp;row=1989&amp;col=6&amp;number=3.5&amp;sourceID=14","3.5")</f>
        <v>3.5</v>
      </c>
      <c r="G1989" s="4" t="str">
        <f>HYPERLINK("http://141.218.60.56/~jnz1568/getInfo.php?workbook=12_04.xlsx&amp;sheet=U0&amp;row=1989&amp;col=7&amp;number=0.0463&amp;sourceID=14","0.0463")</f>
        <v>0.0463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HYPERLINK("http://141.218.60.56/~jnz1568/getInfo.php?workbook=12_04.xlsx&amp;sheet=U0&amp;row=1990&amp;col=6&amp;number=3.6&amp;sourceID=14","3.6")</f>
        <v>3.6</v>
      </c>
      <c r="G1990" s="4" t="str">
        <f>HYPERLINK("http://141.218.60.56/~jnz1568/getInfo.php?workbook=12_04.xlsx&amp;sheet=U0&amp;row=1990&amp;col=7&amp;number=0.0462&amp;sourceID=14","0.0462")</f>
        <v>0.0462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HYPERLINK("http://141.218.60.56/~jnz1568/getInfo.php?workbook=12_04.xlsx&amp;sheet=U0&amp;row=1991&amp;col=6&amp;number=3.7&amp;sourceID=14","3.7")</f>
        <v>3.7</v>
      </c>
      <c r="G1991" s="4" t="str">
        <f>HYPERLINK("http://141.218.60.56/~jnz1568/getInfo.php?workbook=12_04.xlsx&amp;sheet=U0&amp;row=1991&amp;col=7&amp;number=0.0462&amp;sourceID=14","0.0462")</f>
        <v>0.0462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HYPERLINK("http://141.218.60.56/~jnz1568/getInfo.php?workbook=12_04.xlsx&amp;sheet=U0&amp;row=1992&amp;col=6&amp;number=3.8&amp;sourceID=14","3.8")</f>
        <v>3.8</v>
      </c>
      <c r="G1992" s="4" t="str">
        <f>HYPERLINK("http://141.218.60.56/~jnz1568/getInfo.php?workbook=12_04.xlsx&amp;sheet=U0&amp;row=1992&amp;col=7&amp;number=0.0461&amp;sourceID=14","0.0461")</f>
        <v>0.0461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HYPERLINK("http://141.218.60.56/~jnz1568/getInfo.php?workbook=12_04.xlsx&amp;sheet=U0&amp;row=1993&amp;col=6&amp;number=3.9&amp;sourceID=14","3.9")</f>
        <v>3.9</v>
      </c>
      <c r="G1993" s="4" t="str">
        <f>HYPERLINK("http://141.218.60.56/~jnz1568/getInfo.php?workbook=12_04.xlsx&amp;sheet=U0&amp;row=1993&amp;col=7&amp;number=0.046&amp;sourceID=14","0.046")</f>
        <v>0.046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HYPERLINK("http://141.218.60.56/~jnz1568/getInfo.php?workbook=12_04.xlsx&amp;sheet=U0&amp;row=1994&amp;col=6&amp;number=4&amp;sourceID=14","4")</f>
        <v>4</v>
      </c>
      <c r="G1994" s="4" t="str">
        <f>HYPERLINK("http://141.218.60.56/~jnz1568/getInfo.php?workbook=12_04.xlsx&amp;sheet=U0&amp;row=1994&amp;col=7&amp;number=0.0459&amp;sourceID=14","0.0459")</f>
        <v>0.0459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HYPERLINK("http://141.218.60.56/~jnz1568/getInfo.php?workbook=12_04.xlsx&amp;sheet=U0&amp;row=1995&amp;col=6&amp;number=4.1&amp;sourceID=14","4.1")</f>
        <v>4.1</v>
      </c>
      <c r="G1995" s="4" t="str">
        <f>HYPERLINK("http://141.218.60.56/~jnz1568/getInfo.php?workbook=12_04.xlsx&amp;sheet=U0&amp;row=1995&amp;col=7&amp;number=0.0457&amp;sourceID=14","0.0457")</f>
        <v>0.0457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HYPERLINK("http://141.218.60.56/~jnz1568/getInfo.php?workbook=12_04.xlsx&amp;sheet=U0&amp;row=1996&amp;col=6&amp;number=4.2&amp;sourceID=14","4.2")</f>
        <v>4.2</v>
      </c>
      <c r="G1996" s="4" t="str">
        <f>HYPERLINK("http://141.218.60.56/~jnz1568/getInfo.php?workbook=12_04.xlsx&amp;sheet=U0&amp;row=1996&amp;col=7&amp;number=0.0455&amp;sourceID=14","0.0455")</f>
        <v>0.0455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HYPERLINK("http://141.218.60.56/~jnz1568/getInfo.php?workbook=12_04.xlsx&amp;sheet=U0&amp;row=1997&amp;col=6&amp;number=4.3&amp;sourceID=14","4.3")</f>
        <v>4.3</v>
      </c>
      <c r="G1997" s="4" t="str">
        <f>HYPERLINK("http://141.218.60.56/~jnz1568/getInfo.php?workbook=12_04.xlsx&amp;sheet=U0&amp;row=1997&amp;col=7&amp;number=0.0453&amp;sourceID=14","0.0453")</f>
        <v>0.0453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HYPERLINK("http://141.218.60.56/~jnz1568/getInfo.php?workbook=12_04.xlsx&amp;sheet=U0&amp;row=1998&amp;col=6&amp;number=4.4&amp;sourceID=14","4.4")</f>
        <v>4.4</v>
      </c>
      <c r="G1998" s="4" t="str">
        <f>HYPERLINK("http://141.218.60.56/~jnz1568/getInfo.php?workbook=12_04.xlsx&amp;sheet=U0&amp;row=1998&amp;col=7&amp;number=0.045&amp;sourceID=14","0.045")</f>
        <v>0.045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HYPERLINK("http://141.218.60.56/~jnz1568/getInfo.php?workbook=12_04.xlsx&amp;sheet=U0&amp;row=1999&amp;col=6&amp;number=4.5&amp;sourceID=14","4.5")</f>
        <v>4.5</v>
      </c>
      <c r="G1999" s="4" t="str">
        <f>HYPERLINK("http://141.218.60.56/~jnz1568/getInfo.php?workbook=12_04.xlsx&amp;sheet=U0&amp;row=1999&amp;col=7&amp;number=0.0446&amp;sourceID=14","0.0446")</f>
        <v>0.0446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HYPERLINK("http://141.218.60.56/~jnz1568/getInfo.php?workbook=12_04.xlsx&amp;sheet=U0&amp;row=2000&amp;col=6&amp;number=4.6&amp;sourceID=14","4.6")</f>
        <v>4.6</v>
      </c>
      <c r="G2000" s="4" t="str">
        <f>HYPERLINK("http://141.218.60.56/~jnz1568/getInfo.php?workbook=12_04.xlsx&amp;sheet=U0&amp;row=2000&amp;col=7&amp;number=0.0441&amp;sourceID=14","0.0441")</f>
        <v>0.0441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HYPERLINK("http://141.218.60.56/~jnz1568/getInfo.php?workbook=12_04.xlsx&amp;sheet=U0&amp;row=2001&amp;col=6&amp;number=4.7&amp;sourceID=14","4.7")</f>
        <v>4.7</v>
      </c>
      <c r="G2001" s="4" t="str">
        <f>HYPERLINK("http://141.218.60.56/~jnz1568/getInfo.php?workbook=12_04.xlsx&amp;sheet=U0&amp;row=2001&amp;col=7&amp;number=0.0436&amp;sourceID=14","0.0436")</f>
        <v>0.0436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HYPERLINK("http://141.218.60.56/~jnz1568/getInfo.php?workbook=12_04.xlsx&amp;sheet=U0&amp;row=2002&amp;col=6&amp;number=4.8&amp;sourceID=14","4.8")</f>
        <v>4.8</v>
      </c>
      <c r="G2002" s="4" t="str">
        <f>HYPERLINK("http://141.218.60.56/~jnz1568/getInfo.php?workbook=12_04.xlsx&amp;sheet=U0&amp;row=2002&amp;col=7&amp;number=0.0429&amp;sourceID=14","0.0429")</f>
        <v>0.0429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HYPERLINK("http://141.218.60.56/~jnz1568/getInfo.php?workbook=12_04.xlsx&amp;sheet=U0&amp;row=2003&amp;col=6&amp;number=4.9&amp;sourceID=14","4.9")</f>
        <v>4.9</v>
      </c>
      <c r="G2003" s="4" t="str">
        <f>HYPERLINK("http://141.218.60.56/~jnz1568/getInfo.php?workbook=12_04.xlsx&amp;sheet=U0&amp;row=2003&amp;col=7&amp;number=0.0421&amp;sourceID=14","0.0421")</f>
        <v>0.0421</v>
      </c>
    </row>
    <row r="2004" spans="1:7">
      <c r="A2004" s="3">
        <v>12</v>
      </c>
      <c r="B2004" s="3">
        <v>4</v>
      </c>
      <c r="C2004" s="3">
        <v>2</v>
      </c>
      <c r="D2004" s="3">
        <v>6</v>
      </c>
      <c r="E2004" s="3">
        <v>1</v>
      </c>
      <c r="F2004" s="4" t="str">
        <f>HYPERLINK("http://141.218.60.56/~jnz1568/getInfo.php?workbook=12_04.xlsx&amp;sheet=U0&amp;row=2004&amp;col=6&amp;number=3&amp;sourceID=14","3")</f>
        <v>3</v>
      </c>
      <c r="G2004" s="4" t="str">
        <f>HYPERLINK("http://141.218.60.56/~jnz1568/getInfo.php?workbook=12_04.xlsx&amp;sheet=U0&amp;row=2004&amp;col=7&amp;number=0.00739&amp;sourceID=14","0.00739")</f>
        <v>0.00739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HYPERLINK("http://141.218.60.56/~jnz1568/getInfo.php?workbook=12_04.xlsx&amp;sheet=U0&amp;row=2005&amp;col=6&amp;number=3.1&amp;sourceID=14","3.1")</f>
        <v>3.1</v>
      </c>
      <c r="G2005" s="4" t="str">
        <f>HYPERLINK("http://141.218.60.56/~jnz1568/getInfo.php?workbook=12_04.xlsx&amp;sheet=U0&amp;row=2005&amp;col=7&amp;number=0.00739&amp;sourceID=14","0.00739")</f>
        <v>0.00739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HYPERLINK("http://141.218.60.56/~jnz1568/getInfo.php?workbook=12_04.xlsx&amp;sheet=U0&amp;row=2006&amp;col=6&amp;number=3.2&amp;sourceID=14","3.2")</f>
        <v>3.2</v>
      </c>
      <c r="G2006" s="4" t="str">
        <f>HYPERLINK("http://141.218.60.56/~jnz1568/getInfo.php?workbook=12_04.xlsx&amp;sheet=U0&amp;row=2006&amp;col=7&amp;number=0.00739&amp;sourceID=14","0.00739")</f>
        <v>0.00739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HYPERLINK("http://141.218.60.56/~jnz1568/getInfo.php?workbook=12_04.xlsx&amp;sheet=U0&amp;row=2007&amp;col=6&amp;number=3.3&amp;sourceID=14","3.3")</f>
        <v>3.3</v>
      </c>
      <c r="G2007" s="4" t="str">
        <f>HYPERLINK("http://141.218.60.56/~jnz1568/getInfo.php?workbook=12_04.xlsx&amp;sheet=U0&amp;row=2007&amp;col=7&amp;number=0.00739&amp;sourceID=14","0.00739")</f>
        <v>0.00739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HYPERLINK("http://141.218.60.56/~jnz1568/getInfo.php?workbook=12_04.xlsx&amp;sheet=U0&amp;row=2008&amp;col=6&amp;number=3.4&amp;sourceID=14","3.4")</f>
        <v>3.4</v>
      </c>
      <c r="G2008" s="4" t="str">
        <f>HYPERLINK("http://141.218.60.56/~jnz1568/getInfo.php?workbook=12_04.xlsx&amp;sheet=U0&amp;row=2008&amp;col=7&amp;number=0.00739&amp;sourceID=14","0.00739")</f>
        <v>0.00739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HYPERLINK("http://141.218.60.56/~jnz1568/getInfo.php?workbook=12_04.xlsx&amp;sheet=U0&amp;row=2009&amp;col=6&amp;number=3.5&amp;sourceID=14","3.5")</f>
        <v>3.5</v>
      </c>
      <c r="G2009" s="4" t="str">
        <f>HYPERLINK("http://141.218.60.56/~jnz1568/getInfo.php?workbook=12_04.xlsx&amp;sheet=U0&amp;row=2009&amp;col=7&amp;number=0.00739&amp;sourceID=14","0.00739")</f>
        <v>0.00739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HYPERLINK("http://141.218.60.56/~jnz1568/getInfo.php?workbook=12_04.xlsx&amp;sheet=U0&amp;row=2010&amp;col=6&amp;number=3.6&amp;sourceID=14","3.6")</f>
        <v>3.6</v>
      </c>
      <c r="G2010" s="4" t="str">
        <f>HYPERLINK("http://141.218.60.56/~jnz1568/getInfo.php?workbook=12_04.xlsx&amp;sheet=U0&amp;row=2010&amp;col=7&amp;number=0.00739&amp;sourceID=14","0.00739")</f>
        <v>0.00739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HYPERLINK("http://141.218.60.56/~jnz1568/getInfo.php?workbook=12_04.xlsx&amp;sheet=U0&amp;row=2011&amp;col=6&amp;number=3.7&amp;sourceID=14","3.7")</f>
        <v>3.7</v>
      </c>
      <c r="G2011" s="4" t="str">
        <f>HYPERLINK("http://141.218.60.56/~jnz1568/getInfo.php?workbook=12_04.xlsx&amp;sheet=U0&amp;row=2011&amp;col=7&amp;number=0.00738&amp;sourceID=14","0.00738")</f>
        <v>0.00738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HYPERLINK("http://141.218.60.56/~jnz1568/getInfo.php?workbook=12_04.xlsx&amp;sheet=U0&amp;row=2012&amp;col=6&amp;number=3.8&amp;sourceID=14","3.8")</f>
        <v>3.8</v>
      </c>
      <c r="G2012" s="4" t="str">
        <f>HYPERLINK("http://141.218.60.56/~jnz1568/getInfo.php?workbook=12_04.xlsx&amp;sheet=U0&amp;row=2012&amp;col=7&amp;number=0.00738&amp;sourceID=14","0.00738")</f>
        <v>0.00738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HYPERLINK("http://141.218.60.56/~jnz1568/getInfo.php?workbook=12_04.xlsx&amp;sheet=U0&amp;row=2013&amp;col=6&amp;number=3.9&amp;sourceID=14","3.9")</f>
        <v>3.9</v>
      </c>
      <c r="G2013" s="4" t="str">
        <f>HYPERLINK("http://141.218.60.56/~jnz1568/getInfo.php?workbook=12_04.xlsx&amp;sheet=U0&amp;row=2013&amp;col=7&amp;number=0.00738&amp;sourceID=14","0.00738")</f>
        <v>0.00738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HYPERLINK("http://141.218.60.56/~jnz1568/getInfo.php?workbook=12_04.xlsx&amp;sheet=U0&amp;row=2014&amp;col=6&amp;number=4&amp;sourceID=14","4")</f>
        <v>4</v>
      </c>
      <c r="G2014" s="4" t="str">
        <f>HYPERLINK("http://141.218.60.56/~jnz1568/getInfo.php?workbook=12_04.xlsx&amp;sheet=U0&amp;row=2014&amp;col=7&amp;number=0.00738&amp;sourceID=14","0.00738")</f>
        <v>0.00738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HYPERLINK("http://141.218.60.56/~jnz1568/getInfo.php?workbook=12_04.xlsx&amp;sheet=U0&amp;row=2015&amp;col=6&amp;number=4.1&amp;sourceID=14","4.1")</f>
        <v>4.1</v>
      </c>
      <c r="G2015" s="4" t="str">
        <f>HYPERLINK("http://141.218.60.56/~jnz1568/getInfo.php?workbook=12_04.xlsx&amp;sheet=U0&amp;row=2015&amp;col=7&amp;number=0.00738&amp;sourceID=14","0.00738")</f>
        <v>0.00738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HYPERLINK("http://141.218.60.56/~jnz1568/getInfo.php?workbook=12_04.xlsx&amp;sheet=U0&amp;row=2016&amp;col=6&amp;number=4.2&amp;sourceID=14","4.2")</f>
        <v>4.2</v>
      </c>
      <c r="G2016" s="4" t="str">
        <f>HYPERLINK("http://141.218.60.56/~jnz1568/getInfo.php?workbook=12_04.xlsx&amp;sheet=U0&amp;row=2016&amp;col=7&amp;number=0.00737&amp;sourceID=14","0.00737")</f>
        <v>0.00737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HYPERLINK("http://141.218.60.56/~jnz1568/getInfo.php?workbook=12_04.xlsx&amp;sheet=U0&amp;row=2017&amp;col=6&amp;number=4.3&amp;sourceID=14","4.3")</f>
        <v>4.3</v>
      </c>
      <c r="G2017" s="4" t="str">
        <f>HYPERLINK("http://141.218.60.56/~jnz1568/getInfo.php?workbook=12_04.xlsx&amp;sheet=U0&amp;row=2017&amp;col=7&amp;number=0.00737&amp;sourceID=14","0.00737")</f>
        <v>0.00737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HYPERLINK("http://141.218.60.56/~jnz1568/getInfo.php?workbook=12_04.xlsx&amp;sheet=U0&amp;row=2018&amp;col=6&amp;number=4.4&amp;sourceID=14","4.4")</f>
        <v>4.4</v>
      </c>
      <c r="G2018" s="4" t="str">
        <f>HYPERLINK("http://141.218.60.56/~jnz1568/getInfo.php?workbook=12_04.xlsx&amp;sheet=U0&amp;row=2018&amp;col=7&amp;number=0.00736&amp;sourceID=14","0.00736")</f>
        <v>0.00736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HYPERLINK("http://141.218.60.56/~jnz1568/getInfo.php?workbook=12_04.xlsx&amp;sheet=U0&amp;row=2019&amp;col=6&amp;number=4.5&amp;sourceID=14","4.5")</f>
        <v>4.5</v>
      </c>
      <c r="G2019" s="4" t="str">
        <f>HYPERLINK("http://141.218.60.56/~jnz1568/getInfo.php?workbook=12_04.xlsx&amp;sheet=U0&amp;row=2019&amp;col=7&amp;number=0.00735&amp;sourceID=14","0.00735")</f>
        <v>0.00735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HYPERLINK("http://141.218.60.56/~jnz1568/getInfo.php?workbook=12_04.xlsx&amp;sheet=U0&amp;row=2020&amp;col=6&amp;number=4.6&amp;sourceID=14","4.6")</f>
        <v>4.6</v>
      </c>
      <c r="G2020" s="4" t="str">
        <f>HYPERLINK("http://141.218.60.56/~jnz1568/getInfo.php?workbook=12_04.xlsx&amp;sheet=U0&amp;row=2020&amp;col=7&amp;number=0.00734&amp;sourceID=14","0.00734")</f>
        <v>0.00734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HYPERLINK("http://141.218.60.56/~jnz1568/getInfo.php?workbook=12_04.xlsx&amp;sheet=U0&amp;row=2021&amp;col=6&amp;number=4.7&amp;sourceID=14","4.7")</f>
        <v>4.7</v>
      </c>
      <c r="G2021" s="4" t="str">
        <f>HYPERLINK("http://141.218.60.56/~jnz1568/getInfo.php?workbook=12_04.xlsx&amp;sheet=U0&amp;row=2021&amp;col=7&amp;number=0.00733&amp;sourceID=14","0.00733")</f>
        <v>0.00733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HYPERLINK("http://141.218.60.56/~jnz1568/getInfo.php?workbook=12_04.xlsx&amp;sheet=U0&amp;row=2022&amp;col=6&amp;number=4.8&amp;sourceID=14","4.8")</f>
        <v>4.8</v>
      </c>
      <c r="G2022" s="4" t="str">
        <f>HYPERLINK("http://141.218.60.56/~jnz1568/getInfo.php?workbook=12_04.xlsx&amp;sheet=U0&amp;row=2022&amp;col=7&amp;number=0.00732&amp;sourceID=14","0.00732")</f>
        <v>0.00732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HYPERLINK("http://141.218.60.56/~jnz1568/getInfo.php?workbook=12_04.xlsx&amp;sheet=U0&amp;row=2023&amp;col=6&amp;number=4.9&amp;sourceID=14","4.9")</f>
        <v>4.9</v>
      </c>
      <c r="G2023" s="4" t="str">
        <f>HYPERLINK("http://141.218.60.56/~jnz1568/getInfo.php?workbook=12_04.xlsx&amp;sheet=U0&amp;row=2023&amp;col=7&amp;number=0.0073&amp;sourceID=14","0.0073")</f>
        <v>0.0073</v>
      </c>
    </row>
    <row r="2024" spans="1:7">
      <c r="A2024" s="3">
        <v>12</v>
      </c>
      <c r="B2024" s="3">
        <v>4</v>
      </c>
      <c r="C2024" s="3">
        <v>2</v>
      </c>
      <c r="D2024" s="3">
        <v>7</v>
      </c>
      <c r="E2024" s="3">
        <v>1</v>
      </c>
      <c r="F2024" s="4" t="str">
        <f>HYPERLINK("http://141.218.60.56/~jnz1568/getInfo.php?workbook=12_04.xlsx&amp;sheet=U0&amp;row=2024&amp;col=6&amp;number=3&amp;sourceID=14","3")</f>
        <v>3</v>
      </c>
      <c r="G2024" s="4" t="str">
        <f>HYPERLINK("http://141.218.60.56/~jnz1568/getInfo.php?workbook=12_04.xlsx&amp;sheet=U0&amp;row=2024&amp;col=7&amp;number=0.644&amp;sourceID=14","0.644")</f>
        <v>0.644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HYPERLINK("http://141.218.60.56/~jnz1568/getInfo.php?workbook=12_04.xlsx&amp;sheet=U0&amp;row=2025&amp;col=6&amp;number=3.1&amp;sourceID=14","3.1")</f>
        <v>3.1</v>
      </c>
      <c r="G2025" s="4" t="str">
        <f>HYPERLINK("http://141.218.60.56/~jnz1568/getInfo.php?workbook=12_04.xlsx&amp;sheet=U0&amp;row=2025&amp;col=7&amp;number=0.644&amp;sourceID=14","0.644")</f>
        <v>0.644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HYPERLINK("http://141.218.60.56/~jnz1568/getInfo.php?workbook=12_04.xlsx&amp;sheet=U0&amp;row=2026&amp;col=6&amp;number=3.2&amp;sourceID=14","3.2")</f>
        <v>3.2</v>
      </c>
      <c r="G2026" s="4" t="str">
        <f>HYPERLINK("http://141.218.60.56/~jnz1568/getInfo.php?workbook=12_04.xlsx&amp;sheet=U0&amp;row=2026&amp;col=7&amp;number=0.644&amp;sourceID=14","0.644")</f>
        <v>0.644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HYPERLINK("http://141.218.60.56/~jnz1568/getInfo.php?workbook=12_04.xlsx&amp;sheet=U0&amp;row=2027&amp;col=6&amp;number=3.3&amp;sourceID=14","3.3")</f>
        <v>3.3</v>
      </c>
      <c r="G2027" s="4" t="str">
        <f>HYPERLINK("http://141.218.60.56/~jnz1568/getInfo.php?workbook=12_04.xlsx&amp;sheet=U0&amp;row=2027&amp;col=7&amp;number=0.644&amp;sourceID=14","0.644")</f>
        <v>0.644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HYPERLINK("http://141.218.60.56/~jnz1568/getInfo.php?workbook=12_04.xlsx&amp;sheet=U0&amp;row=2028&amp;col=6&amp;number=3.4&amp;sourceID=14","3.4")</f>
        <v>3.4</v>
      </c>
      <c r="G2028" s="4" t="str">
        <f>HYPERLINK("http://141.218.60.56/~jnz1568/getInfo.php?workbook=12_04.xlsx&amp;sheet=U0&amp;row=2028&amp;col=7&amp;number=0.644&amp;sourceID=14","0.644")</f>
        <v>0.644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HYPERLINK("http://141.218.60.56/~jnz1568/getInfo.php?workbook=12_04.xlsx&amp;sheet=U0&amp;row=2029&amp;col=6&amp;number=3.5&amp;sourceID=14","3.5")</f>
        <v>3.5</v>
      </c>
      <c r="G2029" s="4" t="str">
        <f>HYPERLINK("http://141.218.60.56/~jnz1568/getInfo.php?workbook=12_04.xlsx&amp;sheet=U0&amp;row=2029&amp;col=7&amp;number=0.644&amp;sourceID=14","0.644")</f>
        <v>0.644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HYPERLINK("http://141.218.60.56/~jnz1568/getInfo.php?workbook=12_04.xlsx&amp;sheet=U0&amp;row=2030&amp;col=6&amp;number=3.6&amp;sourceID=14","3.6")</f>
        <v>3.6</v>
      </c>
      <c r="G2030" s="4" t="str">
        <f>HYPERLINK("http://141.218.60.56/~jnz1568/getInfo.php?workbook=12_04.xlsx&amp;sheet=U0&amp;row=2030&amp;col=7&amp;number=0.644&amp;sourceID=14","0.644")</f>
        <v>0.644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HYPERLINK("http://141.218.60.56/~jnz1568/getInfo.php?workbook=12_04.xlsx&amp;sheet=U0&amp;row=2031&amp;col=6&amp;number=3.7&amp;sourceID=14","3.7")</f>
        <v>3.7</v>
      </c>
      <c r="G2031" s="4" t="str">
        <f>HYPERLINK("http://141.218.60.56/~jnz1568/getInfo.php?workbook=12_04.xlsx&amp;sheet=U0&amp;row=2031&amp;col=7&amp;number=0.645&amp;sourceID=14","0.645")</f>
        <v>0.645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HYPERLINK("http://141.218.60.56/~jnz1568/getInfo.php?workbook=12_04.xlsx&amp;sheet=U0&amp;row=2032&amp;col=6&amp;number=3.8&amp;sourceID=14","3.8")</f>
        <v>3.8</v>
      </c>
      <c r="G2032" s="4" t="str">
        <f>HYPERLINK("http://141.218.60.56/~jnz1568/getInfo.php?workbook=12_04.xlsx&amp;sheet=U0&amp;row=2032&amp;col=7&amp;number=0.645&amp;sourceID=14","0.645")</f>
        <v>0.645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HYPERLINK("http://141.218.60.56/~jnz1568/getInfo.php?workbook=12_04.xlsx&amp;sheet=U0&amp;row=2033&amp;col=6&amp;number=3.9&amp;sourceID=14","3.9")</f>
        <v>3.9</v>
      </c>
      <c r="G2033" s="4" t="str">
        <f>HYPERLINK("http://141.218.60.56/~jnz1568/getInfo.php?workbook=12_04.xlsx&amp;sheet=U0&amp;row=2033&amp;col=7&amp;number=0.645&amp;sourceID=14","0.645")</f>
        <v>0.645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HYPERLINK("http://141.218.60.56/~jnz1568/getInfo.php?workbook=12_04.xlsx&amp;sheet=U0&amp;row=2034&amp;col=6&amp;number=4&amp;sourceID=14","4")</f>
        <v>4</v>
      </c>
      <c r="G2034" s="4" t="str">
        <f>HYPERLINK("http://141.218.60.56/~jnz1568/getInfo.php?workbook=12_04.xlsx&amp;sheet=U0&amp;row=2034&amp;col=7&amp;number=0.646&amp;sourceID=14","0.646")</f>
        <v>0.646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HYPERLINK("http://141.218.60.56/~jnz1568/getInfo.php?workbook=12_04.xlsx&amp;sheet=U0&amp;row=2035&amp;col=6&amp;number=4.1&amp;sourceID=14","4.1")</f>
        <v>4.1</v>
      </c>
      <c r="G2035" s="4" t="str">
        <f>HYPERLINK("http://141.218.60.56/~jnz1568/getInfo.php?workbook=12_04.xlsx&amp;sheet=U0&amp;row=2035&amp;col=7&amp;number=0.646&amp;sourceID=14","0.646")</f>
        <v>0.646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HYPERLINK("http://141.218.60.56/~jnz1568/getInfo.php?workbook=12_04.xlsx&amp;sheet=U0&amp;row=2036&amp;col=6&amp;number=4.2&amp;sourceID=14","4.2")</f>
        <v>4.2</v>
      </c>
      <c r="G2036" s="4" t="str">
        <f>HYPERLINK("http://141.218.60.56/~jnz1568/getInfo.php?workbook=12_04.xlsx&amp;sheet=U0&amp;row=2036&amp;col=7&amp;number=0.647&amp;sourceID=14","0.647")</f>
        <v>0.647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HYPERLINK("http://141.218.60.56/~jnz1568/getInfo.php?workbook=12_04.xlsx&amp;sheet=U0&amp;row=2037&amp;col=6&amp;number=4.3&amp;sourceID=14","4.3")</f>
        <v>4.3</v>
      </c>
      <c r="G2037" s="4" t="str">
        <f>HYPERLINK("http://141.218.60.56/~jnz1568/getInfo.php?workbook=12_04.xlsx&amp;sheet=U0&amp;row=2037&amp;col=7&amp;number=0.648&amp;sourceID=14","0.648")</f>
        <v>0.648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HYPERLINK("http://141.218.60.56/~jnz1568/getInfo.php?workbook=12_04.xlsx&amp;sheet=U0&amp;row=2038&amp;col=6&amp;number=4.4&amp;sourceID=14","4.4")</f>
        <v>4.4</v>
      </c>
      <c r="G2038" s="4" t="str">
        <f>HYPERLINK("http://141.218.60.56/~jnz1568/getInfo.php?workbook=12_04.xlsx&amp;sheet=U0&amp;row=2038&amp;col=7&amp;number=0.649&amp;sourceID=14","0.649")</f>
        <v>0.649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HYPERLINK("http://141.218.60.56/~jnz1568/getInfo.php?workbook=12_04.xlsx&amp;sheet=U0&amp;row=2039&amp;col=6&amp;number=4.5&amp;sourceID=14","4.5")</f>
        <v>4.5</v>
      </c>
      <c r="G2039" s="4" t="str">
        <f>HYPERLINK("http://141.218.60.56/~jnz1568/getInfo.php?workbook=12_04.xlsx&amp;sheet=U0&amp;row=2039&amp;col=7&amp;number=0.651&amp;sourceID=14","0.651")</f>
        <v>0.651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HYPERLINK("http://141.218.60.56/~jnz1568/getInfo.php?workbook=12_04.xlsx&amp;sheet=U0&amp;row=2040&amp;col=6&amp;number=4.6&amp;sourceID=14","4.6")</f>
        <v>4.6</v>
      </c>
      <c r="G2040" s="4" t="str">
        <f>HYPERLINK("http://141.218.60.56/~jnz1568/getInfo.php?workbook=12_04.xlsx&amp;sheet=U0&amp;row=2040&amp;col=7&amp;number=0.652&amp;sourceID=14","0.652")</f>
        <v>0.652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HYPERLINK("http://141.218.60.56/~jnz1568/getInfo.php?workbook=12_04.xlsx&amp;sheet=U0&amp;row=2041&amp;col=6&amp;number=4.7&amp;sourceID=14","4.7")</f>
        <v>4.7</v>
      </c>
      <c r="G2041" s="4" t="str">
        <f>HYPERLINK("http://141.218.60.56/~jnz1568/getInfo.php?workbook=12_04.xlsx&amp;sheet=U0&amp;row=2041&amp;col=7&amp;number=0.655&amp;sourceID=14","0.655")</f>
        <v>0.655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HYPERLINK("http://141.218.60.56/~jnz1568/getInfo.php?workbook=12_04.xlsx&amp;sheet=U0&amp;row=2042&amp;col=6&amp;number=4.8&amp;sourceID=14","4.8")</f>
        <v>4.8</v>
      </c>
      <c r="G2042" s="4" t="str">
        <f>HYPERLINK("http://141.218.60.56/~jnz1568/getInfo.php?workbook=12_04.xlsx&amp;sheet=U0&amp;row=2042&amp;col=7&amp;number=0.657&amp;sourceID=14","0.657")</f>
        <v>0.657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HYPERLINK("http://141.218.60.56/~jnz1568/getInfo.php?workbook=12_04.xlsx&amp;sheet=U0&amp;row=2043&amp;col=6&amp;number=4.9&amp;sourceID=14","4.9")</f>
        <v>4.9</v>
      </c>
      <c r="G2043" s="4" t="str">
        <f>HYPERLINK("http://141.218.60.56/~jnz1568/getInfo.php?workbook=12_04.xlsx&amp;sheet=U0&amp;row=2043&amp;col=7&amp;number=0.66&amp;sourceID=14","0.66")</f>
        <v>0.66</v>
      </c>
    </row>
    <row r="2044" spans="1:7">
      <c r="A2044" s="3">
        <v>12</v>
      </c>
      <c r="B2044" s="3">
        <v>4</v>
      </c>
      <c r="C2044" s="3">
        <v>2</v>
      </c>
      <c r="D2044" s="3">
        <v>8</v>
      </c>
      <c r="E2044" s="3">
        <v>1</v>
      </c>
      <c r="F2044" s="4" t="str">
        <f>HYPERLINK("http://141.218.60.56/~jnz1568/getInfo.php?workbook=12_04.xlsx&amp;sheet=U0&amp;row=2044&amp;col=6&amp;number=3&amp;sourceID=14","3")</f>
        <v>3</v>
      </c>
      <c r="G2044" s="4" t="str">
        <f>HYPERLINK("http://141.218.60.56/~jnz1568/getInfo.php?workbook=12_04.xlsx&amp;sheet=U0&amp;row=2044&amp;col=7&amp;number=0.0107&amp;sourceID=14","0.0107")</f>
        <v>0.0107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HYPERLINK("http://141.218.60.56/~jnz1568/getInfo.php?workbook=12_04.xlsx&amp;sheet=U0&amp;row=2045&amp;col=6&amp;number=3.1&amp;sourceID=14","3.1")</f>
        <v>3.1</v>
      </c>
      <c r="G2045" s="4" t="str">
        <f>HYPERLINK("http://141.218.60.56/~jnz1568/getInfo.php?workbook=12_04.xlsx&amp;sheet=U0&amp;row=2045&amp;col=7&amp;number=0.0107&amp;sourceID=14","0.0107")</f>
        <v>0.0107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HYPERLINK("http://141.218.60.56/~jnz1568/getInfo.php?workbook=12_04.xlsx&amp;sheet=U0&amp;row=2046&amp;col=6&amp;number=3.2&amp;sourceID=14","3.2")</f>
        <v>3.2</v>
      </c>
      <c r="G2046" s="4" t="str">
        <f>HYPERLINK("http://141.218.60.56/~jnz1568/getInfo.php?workbook=12_04.xlsx&amp;sheet=U0&amp;row=2046&amp;col=7&amp;number=0.0107&amp;sourceID=14","0.0107")</f>
        <v>0.0107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HYPERLINK("http://141.218.60.56/~jnz1568/getInfo.php?workbook=12_04.xlsx&amp;sheet=U0&amp;row=2047&amp;col=6&amp;number=3.3&amp;sourceID=14","3.3")</f>
        <v>3.3</v>
      </c>
      <c r="G2047" s="4" t="str">
        <f>HYPERLINK("http://141.218.60.56/~jnz1568/getInfo.php?workbook=12_04.xlsx&amp;sheet=U0&amp;row=2047&amp;col=7&amp;number=0.0107&amp;sourceID=14","0.0107")</f>
        <v>0.0107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HYPERLINK("http://141.218.60.56/~jnz1568/getInfo.php?workbook=12_04.xlsx&amp;sheet=U0&amp;row=2048&amp;col=6&amp;number=3.4&amp;sourceID=14","3.4")</f>
        <v>3.4</v>
      </c>
      <c r="G2048" s="4" t="str">
        <f>HYPERLINK("http://141.218.60.56/~jnz1568/getInfo.php?workbook=12_04.xlsx&amp;sheet=U0&amp;row=2048&amp;col=7&amp;number=0.0107&amp;sourceID=14","0.0107")</f>
        <v>0.0107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HYPERLINK("http://141.218.60.56/~jnz1568/getInfo.php?workbook=12_04.xlsx&amp;sheet=U0&amp;row=2049&amp;col=6&amp;number=3.5&amp;sourceID=14","3.5")</f>
        <v>3.5</v>
      </c>
      <c r="G2049" s="4" t="str">
        <f>HYPERLINK("http://141.218.60.56/~jnz1568/getInfo.php?workbook=12_04.xlsx&amp;sheet=U0&amp;row=2049&amp;col=7&amp;number=0.0107&amp;sourceID=14","0.0107")</f>
        <v>0.0107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HYPERLINK("http://141.218.60.56/~jnz1568/getInfo.php?workbook=12_04.xlsx&amp;sheet=U0&amp;row=2050&amp;col=6&amp;number=3.6&amp;sourceID=14","3.6")</f>
        <v>3.6</v>
      </c>
      <c r="G2050" s="4" t="str">
        <f>HYPERLINK("http://141.218.60.56/~jnz1568/getInfo.php?workbook=12_04.xlsx&amp;sheet=U0&amp;row=2050&amp;col=7&amp;number=0.0107&amp;sourceID=14","0.0107")</f>
        <v>0.0107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HYPERLINK("http://141.218.60.56/~jnz1568/getInfo.php?workbook=12_04.xlsx&amp;sheet=U0&amp;row=2051&amp;col=6&amp;number=3.7&amp;sourceID=14","3.7")</f>
        <v>3.7</v>
      </c>
      <c r="G2051" s="4" t="str">
        <f>HYPERLINK("http://141.218.60.56/~jnz1568/getInfo.php?workbook=12_04.xlsx&amp;sheet=U0&amp;row=2051&amp;col=7&amp;number=0.0107&amp;sourceID=14","0.0107")</f>
        <v>0.0107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HYPERLINK("http://141.218.60.56/~jnz1568/getInfo.php?workbook=12_04.xlsx&amp;sheet=U0&amp;row=2052&amp;col=6&amp;number=3.8&amp;sourceID=14","3.8")</f>
        <v>3.8</v>
      </c>
      <c r="G2052" s="4" t="str">
        <f>HYPERLINK("http://141.218.60.56/~jnz1568/getInfo.php?workbook=12_04.xlsx&amp;sheet=U0&amp;row=2052&amp;col=7&amp;number=0.0107&amp;sourceID=14","0.0107")</f>
        <v>0.0107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HYPERLINK("http://141.218.60.56/~jnz1568/getInfo.php?workbook=12_04.xlsx&amp;sheet=U0&amp;row=2053&amp;col=6&amp;number=3.9&amp;sourceID=14","3.9")</f>
        <v>3.9</v>
      </c>
      <c r="G2053" s="4" t="str">
        <f>HYPERLINK("http://141.218.60.56/~jnz1568/getInfo.php?workbook=12_04.xlsx&amp;sheet=U0&amp;row=2053&amp;col=7&amp;number=0.0107&amp;sourceID=14","0.0107")</f>
        <v>0.0107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HYPERLINK("http://141.218.60.56/~jnz1568/getInfo.php?workbook=12_04.xlsx&amp;sheet=U0&amp;row=2054&amp;col=6&amp;number=4&amp;sourceID=14","4")</f>
        <v>4</v>
      </c>
      <c r="G2054" s="4" t="str">
        <f>HYPERLINK("http://141.218.60.56/~jnz1568/getInfo.php?workbook=12_04.xlsx&amp;sheet=U0&amp;row=2054&amp;col=7&amp;number=0.0106&amp;sourceID=14","0.0106")</f>
        <v>0.0106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HYPERLINK("http://141.218.60.56/~jnz1568/getInfo.php?workbook=12_04.xlsx&amp;sheet=U0&amp;row=2055&amp;col=6&amp;number=4.1&amp;sourceID=14","4.1")</f>
        <v>4.1</v>
      </c>
      <c r="G2055" s="4" t="str">
        <f>HYPERLINK("http://141.218.60.56/~jnz1568/getInfo.php?workbook=12_04.xlsx&amp;sheet=U0&amp;row=2055&amp;col=7&amp;number=0.0106&amp;sourceID=14","0.0106")</f>
        <v>0.0106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HYPERLINK("http://141.218.60.56/~jnz1568/getInfo.php?workbook=12_04.xlsx&amp;sheet=U0&amp;row=2056&amp;col=6&amp;number=4.2&amp;sourceID=14","4.2")</f>
        <v>4.2</v>
      </c>
      <c r="G2056" s="4" t="str">
        <f>HYPERLINK("http://141.218.60.56/~jnz1568/getInfo.php?workbook=12_04.xlsx&amp;sheet=U0&amp;row=2056&amp;col=7&amp;number=0.0106&amp;sourceID=14","0.0106")</f>
        <v>0.0106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HYPERLINK("http://141.218.60.56/~jnz1568/getInfo.php?workbook=12_04.xlsx&amp;sheet=U0&amp;row=2057&amp;col=6&amp;number=4.3&amp;sourceID=14","4.3")</f>
        <v>4.3</v>
      </c>
      <c r="G2057" s="4" t="str">
        <f>HYPERLINK("http://141.218.60.56/~jnz1568/getInfo.php?workbook=12_04.xlsx&amp;sheet=U0&amp;row=2057&amp;col=7&amp;number=0.0106&amp;sourceID=14","0.0106")</f>
        <v>0.0106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HYPERLINK("http://141.218.60.56/~jnz1568/getInfo.php?workbook=12_04.xlsx&amp;sheet=U0&amp;row=2058&amp;col=6&amp;number=4.4&amp;sourceID=14","4.4")</f>
        <v>4.4</v>
      </c>
      <c r="G2058" s="4" t="str">
        <f>HYPERLINK("http://141.218.60.56/~jnz1568/getInfo.php?workbook=12_04.xlsx&amp;sheet=U0&amp;row=2058&amp;col=7&amp;number=0.0105&amp;sourceID=14","0.0105")</f>
        <v>0.0105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HYPERLINK("http://141.218.60.56/~jnz1568/getInfo.php?workbook=12_04.xlsx&amp;sheet=U0&amp;row=2059&amp;col=6&amp;number=4.5&amp;sourceID=14","4.5")</f>
        <v>4.5</v>
      </c>
      <c r="G2059" s="4" t="str">
        <f>HYPERLINK("http://141.218.60.56/~jnz1568/getInfo.php?workbook=12_04.xlsx&amp;sheet=U0&amp;row=2059&amp;col=7&amp;number=0.0105&amp;sourceID=14","0.0105")</f>
        <v>0.0105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HYPERLINK("http://141.218.60.56/~jnz1568/getInfo.php?workbook=12_04.xlsx&amp;sheet=U0&amp;row=2060&amp;col=6&amp;number=4.6&amp;sourceID=14","4.6")</f>
        <v>4.6</v>
      </c>
      <c r="G2060" s="4" t="str">
        <f>HYPERLINK("http://141.218.60.56/~jnz1568/getInfo.php?workbook=12_04.xlsx&amp;sheet=U0&amp;row=2060&amp;col=7&amp;number=0.0104&amp;sourceID=14","0.0104")</f>
        <v>0.0104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HYPERLINK("http://141.218.60.56/~jnz1568/getInfo.php?workbook=12_04.xlsx&amp;sheet=U0&amp;row=2061&amp;col=6&amp;number=4.7&amp;sourceID=14","4.7")</f>
        <v>4.7</v>
      </c>
      <c r="G2061" s="4" t="str">
        <f>HYPERLINK("http://141.218.60.56/~jnz1568/getInfo.php?workbook=12_04.xlsx&amp;sheet=U0&amp;row=2061&amp;col=7&amp;number=0.0103&amp;sourceID=14","0.0103")</f>
        <v>0.0103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HYPERLINK("http://141.218.60.56/~jnz1568/getInfo.php?workbook=12_04.xlsx&amp;sheet=U0&amp;row=2062&amp;col=6&amp;number=4.8&amp;sourceID=14","4.8")</f>
        <v>4.8</v>
      </c>
      <c r="G2062" s="4" t="str">
        <f>HYPERLINK("http://141.218.60.56/~jnz1568/getInfo.php?workbook=12_04.xlsx&amp;sheet=U0&amp;row=2062&amp;col=7&amp;number=0.0102&amp;sourceID=14","0.0102")</f>
        <v>0.0102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HYPERLINK("http://141.218.60.56/~jnz1568/getInfo.php?workbook=12_04.xlsx&amp;sheet=U0&amp;row=2063&amp;col=6&amp;number=4.9&amp;sourceID=14","4.9")</f>
        <v>4.9</v>
      </c>
      <c r="G2063" s="4" t="str">
        <f>HYPERLINK("http://141.218.60.56/~jnz1568/getInfo.php?workbook=12_04.xlsx&amp;sheet=U0&amp;row=2063&amp;col=7&amp;number=0.0101&amp;sourceID=14","0.0101")</f>
        <v>0.0101</v>
      </c>
    </row>
    <row r="2064" spans="1:7">
      <c r="A2064" s="3">
        <v>12</v>
      </c>
      <c r="B2064" s="3">
        <v>4</v>
      </c>
      <c r="C2064" s="3">
        <v>2</v>
      </c>
      <c r="D2064" s="3">
        <v>9</v>
      </c>
      <c r="E2064" s="3">
        <v>1</v>
      </c>
      <c r="F2064" s="4" t="str">
        <f>HYPERLINK("http://141.218.60.56/~jnz1568/getInfo.php?workbook=12_04.xlsx&amp;sheet=U0&amp;row=2064&amp;col=6&amp;number=3&amp;sourceID=14","3")</f>
        <v>3</v>
      </c>
      <c r="G2064" s="4" t="str">
        <f>HYPERLINK("http://141.218.60.56/~jnz1568/getInfo.php?workbook=12_04.xlsx&amp;sheet=U0&amp;row=2064&amp;col=7&amp;number=0.0134&amp;sourceID=14","0.0134")</f>
        <v>0.0134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HYPERLINK("http://141.218.60.56/~jnz1568/getInfo.php?workbook=12_04.xlsx&amp;sheet=U0&amp;row=2065&amp;col=6&amp;number=3.1&amp;sourceID=14","3.1")</f>
        <v>3.1</v>
      </c>
      <c r="G2065" s="4" t="str">
        <f>HYPERLINK("http://141.218.60.56/~jnz1568/getInfo.php?workbook=12_04.xlsx&amp;sheet=U0&amp;row=2065&amp;col=7&amp;number=0.0134&amp;sourceID=14","0.0134")</f>
        <v>0.0134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HYPERLINK("http://141.218.60.56/~jnz1568/getInfo.php?workbook=12_04.xlsx&amp;sheet=U0&amp;row=2066&amp;col=6&amp;number=3.2&amp;sourceID=14","3.2")</f>
        <v>3.2</v>
      </c>
      <c r="G2066" s="4" t="str">
        <f>HYPERLINK("http://141.218.60.56/~jnz1568/getInfo.php?workbook=12_04.xlsx&amp;sheet=U0&amp;row=2066&amp;col=7&amp;number=0.0134&amp;sourceID=14","0.0134")</f>
        <v>0.0134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HYPERLINK("http://141.218.60.56/~jnz1568/getInfo.php?workbook=12_04.xlsx&amp;sheet=U0&amp;row=2067&amp;col=6&amp;number=3.3&amp;sourceID=14","3.3")</f>
        <v>3.3</v>
      </c>
      <c r="G2067" s="4" t="str">
        <f>HYPERLINK("http://141.218.60.56/~jnz1568/getInfo.php?workbook=12_04.xlsx&amp;sheet=U0&amp;row=2067&amp;col=7&amp;number=0.0134&amp;sourceID=14","0.0134")</f>
        <v>0.0134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HYPERLINK("http://141.218.60.56/~jnz1568/getInfo.php?workbook=12_04.xlsx&amp;sheet=U0&amp;row=2068&amp;col=6&amp;number=3.4&amp;sourceID=14","3.4")</f>
        <v>3.4</v>
      </c>
      <c r="G2068" s="4" t="str">
        <f>HYPERLINK("http://141.218.60.56/~jnz1568/getInfo.php?workbook=12_04.xlsx&amp;sheet=U0&amp;row=2068&amp;col=7&amp;number=0.0134&amp;sourceID=14","0.0134")</f>
        <v>0.0134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HYPERLINK("http://141.218.60.56/~jnz1568/getInfo.php?workbook=12_04.xlsx&amp;sheet=U0&amp;row=2069&amp;col=6&amp;number=3.5&amp;sourceID=14","3.5")</f>
        <v>3.5</v>
      </c>
      <c r="G2069" s="4" t="str">
        <f>HYPERLINK("http://141.218.60.56/~jnz1568/getInfo.php?workbook=12_04.xlsx&amp;sheet=U0&amp;row=2069&amp;col=7&amp;number=0.0134&amp;sourceID=14","0.0134")</f>
        <v>0.0134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HYPERLINK("http://141.218.60.56/~jnz1568/getInfo.php?workbook=12_04.xlsx&amp;sheet=U0&amp;row=2070&amp;col=6&amp;number=3.6&amp;sourceID=14","3.6")</f>
        <v>3.6</v>
      </c>
      <c r="G2070" s="4" t="str">
        <f>HYPERLINK("http://141.218.60.56/~jnz1568/getInfo.php?workbook=12_04.xlsx&amp;sheet=U0&amp;row=2070&amp;col=7&amp;number=0.0134&amp;sourceID=14","0.0134")</f>
        <v>0.0134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HYPERLINK("http://141.218.60.56/~jnz1568/getInfo.php?workbook=12_04.xlsx&amp;sheet=U0&amp;row=2071&amp;col=6&amp;number=3.7&amp;sourceID=14","3.7")</f>
        <v>3.7</v>
      </c>
      <c r="G2071" s="4" t="str">
        <f>HYPERLINK("http://141.218.60.56/~jnz1568/getInfo.php?workbook=12_04.xlsx&amp;sheet=U0&amp;row=2071&amp;col=7&amp;number=0.0134&amp;sourceID=14","0.0134")</f>
        <v>0.0134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HYPERLINK("http://141.218.60.56/~jnz1568/getInfo.php?workbook=12_04.xlsx&amp;sheet=U0&amp;row=2072&amp;col=6&amp;number=3.8&amp;sourceID=14","3.8")</f>
        <v>3.8</v>
      </c>
      <c r="G2072" s="4" t="str">
        <f>HYPERLINK("http://141.218.60.56/~jnz1568/getInfo.php?workbook=12_04.xlsx&amp;sheet=U0&amp;row=2072&amp;col=7&amp;number=0.0134&amp;sourceID=14","0.0134")</f>
        <v>0.0134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HYPERLINK("http://141.218.60.56/~jnz1568/getInfo.php?workbook=12_04.xlsx&amp;sheet=U0&amp;row=2073&amp;col=6&amp;number=3.9&amp;sourceID=14","3.9")</f>
        <v>3.9</v>
      </c>
      <c r="G2073" s="4" t="str">
        <f>HYPERLINK("http://141.218.60.56/~jnz1568/getInfo.php?workbook=12_04.xlsx&amp;sheet=U0&amp;row=2073&amp;col=7&amp;number=0.0134&amp;sourceID=14","0.0134")</f>
        <v>0.0134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HYPERLINK("http://141.218.60.56/~jnz1568/getInfo.php?workbook=12_04.xlsx&amp;sheet=U0&amp;row=2074&amp;col=6&amp;number=4&amp;sourceID=14","4")</f>
        <v>4</v>
      </c>
      <c r="G2074" s="4" t="str">
        <f>HYPERLINK("http://141.218.60.56/~jnz1568/getInfo.php?workbook=12_04.xlsx&amp;sheet=U0&amp;row=2074&amp;col=7&amp;number=0.0134&amp;sourceID=14","0.0134")</f>
        <v>0.0134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HYPERLINK("http://141.218.60.56/~jnz1568/getInfo.php?workbook=12_04.xlsx&amp;sheet=U0&amp;row=2075&amp;col=6&amp;number=4.1&amp;sourceID=14","4.1")</f>
        <v>4.1</v>
      </c>
      <c r="G2075" s="4" t="str">
        <f>HYPERLINK("http://141.218.60.56/~jnz1568/getInfo.php?workbook=12_04.xlsx&amp;sheet=U0&amp;row=2075&amp;col=7&amp;number=0.0134&amp;sourceID=14","0.0134")</f>
        <v>0.0134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HYPERLINK("http://141.218.60.56/~jnz1568/getInfo.php?workbook=12_04.xlsx&amp;sheet=U0&amp;row=2076&amp;col=6&amp;number=4.2&amp;sourceID=14","4.2")</f>
        <v>4.2</v>
      </c>
      <c r="G2076" s="4" t="str">
        <f>HYPERLINK("http://141.218.60.56/~jnz1568/getInfo.php?workbook=12_04.xlsx&amp;sheet=U0&amp;row=2076&amp;col=7&amp;number=0.0134&amp;sourceID=14","0.0134")</f>
        <v>0.0134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HYPERLINK("http://141.218.60.56/~jnz1568/getInfo.php?workbook=12_04.xlsx&amp;sheet=U0&amp;row=2077&amp;col=6&amp;number=4.3&amp;sourceID=14","4.3")</f>
        <v>4.3</v>
      </c>
      <c r="G2077" s="4" t="str">
        <f>HYPERLINK("http://141.218.60.56/~jnz1568/getInfo.php?workbook=12_04.xlsx&amp;sheet=U0&amp;row=2077&amp;col=7&amp;number=0.0134&amp;sourceID=14","0.0134")</f>
        <v>0.0134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HYPERLINK("http://141.218.60.56/~jnz1568/getInfo.php?workbook=12_04.xlsx&amp;sheet=U0&amp;row=2078&amp;col=6&amp;number=4.4&amp;sourceID=14","4.4")</f>
        <v>4.4</v>
      </c>
      <c r="G2078" s="4" t="str">
        <f>HYPERLINK("http://141.218.60.56/~jnz1568/getInfo.php?workbook=12_04.xlsx&amp;sheet=U0&amp;row=2078&amp;col=7&amp;number=0.0134&amp;sourceID=14","0.0134")</f>
        <v>0.0134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HYPERLINK("http://141.218.60.56/~jnz1568/getInfo.php?workbook=12_04.xlsx&amp;sheet=U0&amp;row=2079&amp;col=6&amp;number=4.5&amp;sourceID=14","4.5")</f>
        <v>4.5</v>
      </c>
      <c r="G2079" s="4" t="str">
        <f>HYPERLINK("http://141.218.60.56/~jnz1568/getInfo.php?workbook=12_04.xlsx&amp;sheet=U0&amp;row=2079&amp;col=7&amp;number=0.0134&amp;sourceID=14","0.0134")</f>
        <v>0.0134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HYPERLINK("http://141.218.60.56/~jnz1568/getInfo.php?workbook=12_04.xlsx&amp;sheet=U0&amp;row=2080&amp;col=6&amp;number=4.6&amp;sourceID=14","4.6")</f>
        <v>4.6</v>
      </c>
      <c r="G2080" s="4" t="str">
        <f>HYPERLINK("http://141.218.60.56/~jnz1568/getInfo.php?workbook=12_04.xlsx&amp;sheet=U0&amp;row=2080&amp;col=7&amp;number=0.0134&amp;sourceID=14","0.0134")</f>
        <v>0.0134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HYPERLINK("http://141.218.60.56/~jnz1568/getInfo.php?workbook=12_04.xlsx&amp;sheet=U0&amp;row=2081&amp;col=6&amp;number=4.7&amp;sourceID=14","4.7")</f>
        <v>4.7</v>
      </c>
      <c r="G2081" s="4" t="str">
        <f>HYPERLINK("http://141.218.60.56/~jnz1568/getInfo.php?workbook=12_04.xlsx&amp;sheet=U0&amp;row=2081&amp;col=7&amp;number=0.0134&amp;sourceID=14","0.0134")</f>
        <v>0.0134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HYPERLINK("http://141.218.60.56/~jnz1568/getInfo.php?workbook=12_04.xlsx&amp;sheet=U0&amp;row=2082&amp;col=6&amp;number=4.8&amp;sourceID=14","4.8")</f>
        <v>4.8</v>
      </c>
      <c r="G2082" s="4" t="str">
        <f>HYPERLINK("http://141.218.60.56/~jnz1568/getInfo.php?workbook=12_04.xlsx&amp;sheet=U0&amp;row=2082&amp;col=7&amp;number=0.0135&amp;sourceID=14","0.0135")</f>
        <v>0.0135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HYPERLINK("http://141.218.60.56/~jnz1568/getInfo.php?workbook=12_04.xlsx&amp;sheet=U0&amp;row=2083&amp;col=6&amp;number=4.9&amp;sourceID=14","4.9")</f>
        <v>4.9</v>
      </c>
      <c r="G2083" s="4" t="str">
        <f>HYPERLINK("http://141.218.60.56/~jnz1568/getInfo.php?workbook=12_04.xlsx&amp;sheet=U0&amp;row=2083&amp;col=7&amp;number=0.0135&amp;sourceID=14","0.0135")</f>
        <v>0.0135</v>
      </c>
    </row>
    <row r="2084" spans="1:7">
      <c r="A2084" s="3">
        <v>12</v>
      </c>
      <c r="B2084" s="3">
        <v>4</v>
      </c>
      <c r="C2084" s="3">
        <v>2</v>
      </c>
      <c r="D2084" s="3">
        <v>10</v>
      </c>
      <c r="E2084" s="3">
        <v>1</v>
      </c>
      <c r="F2084" s="4" t="str">
        <f>HYPERLINK("http://141.218.60.56/~jnz1568/getInfo.php?workbook=12_04.xlsx&amp;sheet=U0&amp;row=2084&amp;col=6&amp;number=3&amp;sourceID=14","3")</f>
        <v>3</v>
      </c>
      <c r="G2084" s="4" t="str">
        <f>HYPERLINK("http://141.218.60.56/~jnz1568/getInfo.php?workbook=12_04.xlsx&amp;sheet=U0&amp;row=2084&amp;col=7&amp;number=0.00156&amp;sourceID=14","0.00156")</f>
        <v>0.00156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HYPERLINK("http://141.218.60.56/~jnz1568/getInfo.php?workbook=12_04.xlsx&amp;sheet=U0&amp;row=2085&amp;col=6&amp;number=3.1&amp;sourceID=14","3.1")</f>
        <v>3.1</v>
      </c>
      <c r="G2085" s="4" t="str">
        <f>HYPERLINK("http://141.218.60.56/~jnz1568/getInfo.php?workbook=12_04.xlsx&amp;sheet=U0&amp;row=2085&amp;col=7&amp;number=0.00156&amp;sourceID=14","0.00156")</f>
        <v>0.00156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HYPERLINK("http://141.218.60.56/~jnz1568/getInfo.php?workbook=12_04.xlsx&amp;sheet=U0&amp;row=2086&amp;col=6&amp;number=3.2&amp;sourceID=14","3.2")</f>
        <v>3.2</v>
      </c>
      <c r="G2086" s="4" t="str">
        <f>HYPERLINK("http://141.218.60.56/~jnz1568/getInfo.php?workbook=12_04.xlsx&amp;sheet=U0&amp;row=2086&amp;col=7&amp;number=0.00156&amp;sourceID=14","0.00156")</f>
        <v>0.00156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HYPERLINK("http://141.218.60.56/~jnz1568/getInfo.php?workbook=12_04.xlsx&amp;sheet=U0&amp;row=2087&amp;col=6&amp;number=3.3&amp;sourceID=14","3.3")</f>
        <v>3.3</v>
      </c>
      <c r="G2087" s="4" t="str">
        <f>HYPERLINK("http://141.218.60.56/~jnz1568/getInfo.php?workbook=12_04.xlsx&amp;sheet=U0&amp;row=2087&amp;col=7&amp;number=0.00156&amp;sourceID=14","0.00156")</f>
        <v>0.00156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HYPERLINK("http://141.218.60.56/~jnz1568/getInfo.php?workbook=12_04.xlsx&amp;sheet=U0&amp;row=2088&amp;col=6&amp;number=3.4&amp;sourceID=14","3.4")</f>
        <v>3.4</v>
      </c>
      <c r="G2088" s="4" t="str">
        <f>HYPERLINK("http://141.218.60.56/~jnz1568/getInfo.php?workbook=12_04.xlsx&amp;sheet=U0&amp;row=2088&amp;col=7&amp;number=0.00156&amp;sourceID=14","0.00156")</f>
        <v>0.00156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HYPERLINK("http://141.218.60.56/~jnz1568/getInfo.php?workbook=12_04.xlsx&amp;sheet=U0&amp;row=2089&amp;col=6&amp;number=3.5&amp;sourceID=14","3.5")</f>
        <v>3.5</v>
      </c>
      <c r="G2089" s="4" t="str">
        <f>HYPERLINK("http://141.218.60.56/~jnz1568/getInfo.php?workbook=12_04.xlsx&amp;sheet=U0&amp;row=2089&amp;col=7&amp;number=0.00157&amp;sourceID=14","0.00157")</f>
        <v>0.00157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HYPERLINK("http://141.218.60.56/~jnz1568/getInfo.php?workbook=12_04.xlsx&amp;sheet=U0&amp;row=2090&amp;col=6&amp;number=3.6&amp;sourceID=14","3.6")</f>
        <v>3.6</v>
      </c>
      <c r="G2090" s="4" t="str">
        <f>HYPERLINK("http://141.218.60.56/~jnz1568/getInfo.php?workbook=12_04.xlsx&amp;sheet=U0&amp;row=2090&amp;col=7&amp;number=0.00157&amp;sourceID=14","0.00157")</f>
        <v>0.00157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HYPERLINK("http://141.218.60.56/~jnz1568/getInfo.php?workbook=12_04.xlsx&amp;sheet=U0&amp;row=2091&amp;col=6&amp;number=3.7&amp;sourceID=14","3.7")</f>
        <v>3.7</v>
      </c>
      <c r="G2091" s="4" t="str">
        <f>HYPERLINK("http://141.218.60.56/~jnz1568/getInfo.php?workbook=12_04.xlsx&amp;sheet=U0&amp;row=2091&amp;col=7&amp;number=0.00157&amp;sourceID=14","0.00157")</f>
        <v>0.00157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HYPERLINK("http://141.218.60.56/~jnz1568/getInfo.php?workbook=12_04.xlsx&amp;sheet=U0&amp;row=2092&amp;col=6&amp;number=3.8&amp;sourceID=14","3.8")</f>
        <v>3.8</v>
      </c>
      <c r="G2092" s="4" t="str">
        <f>HYPERLINK("http://141.218.60.56/~jnz1568/getInfo.php?workbook=12_04.xlsx&amp;sheet=U0&amp;row=2092&amp;col=7&amp;number=0.00157&amp;sourceID=14","0.00157")</f>
        <v>0.00157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HYPERLINK("http://141.218.60.56/~jnz1568/getInfo.php?workbook=12_04.xlsx&amp;sheet=U0&amp;row=2093&amp;col=6&amp;number=3.9&amp;sourceID=14","3.9")</f>
        <v>3.9</v>
      </c>
      <c r="G2093" s="4" t="str">
        <f>HYPERLINK("http://141.218.60.56/~jnz1568/getInfo.php?workbook=12_04.xlsx&amp;sheet=U0&amp;row=2093&amp;col=7&amp;number=0.00157&amp;sourceID=14","0.00157")</f>
        <v>0.00157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HYPERLINK("http://141.218.60.56/~jnz1568/getInfo.php?workbook=12_04.xlsx&amp;sheet=U0&amp;row=2094&amp;col=6&amp;number=4&amp;sourceID=14","4")</f>
        <v>4</v>
      </c>
      <c r="G2094" s="4" t="str">
        <f>HYPERLINK("http://141.218.60.56/~jnz1568/getInfo.php?workbook=12_04.xlsx&amp;sheet=U0&amp;row=2094&amp;col=7&amp;number=0.00158&amp;sourceID=14","0.00158")</f>
        <v>0.00158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HYPERLINK("http://141.218.60.56/~jnz1568/getInfo.php?workbook=12_04.xlsx&amp;sheet=U0&amp;row=2095&amp;col=6&amp;number=4.1&amp;sourceID=14","4.1")</f>
        <v>4.1</v>
      </c>
      <c r="G2095" s="4" t="str">
        <f>HYPERLINK("http://141.218.60.56/~jnz1568/getInfo.php?workbook=12_04.xlsx&amp;sheet=U0&amp;row=2095&amp;col=7&amp;number=0.00158&amp;sourceID=14","0.00158")</f>
        <v>0.00158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HYPERLINK("http://141.218.60.56/~jnz1568/getInfo.php?workbook=12_04.xlsx&amp;sheet=U0&amp;row=2096&amp;col=6&amp;number=4.2&amp;sourceID=14","4.2")</f>
        <v>4.2</v>
      </c>
      <c r="G2096" s="4" t="str">
        <f>HYPERLINK("http://141.218.60.56/~jnz1568/getInfo.php?workbook=12_04.xlsx&amp;sheet=U0&amp;row=2096&amp;col=7&amp;number=0.00159&amp;sourceID=14","0.00159")</f>
        <v>0.00159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HYPERLINK("http://141.218.60.56/~jnz1568/getInfo.php?workbook=12_04.xlsx&amp;sheet=U0&amp;row=2097&amp;col=6&amp;number=4.3&amp;sourceID=14","4.3")</f>
        <v>4.3</v>
      </c>
      <c r="G2097" s="4" t="str">
        <f>HYPERLINK("http://141.218.60.56/~jnz1568/getInfo.php?workbook=12_04.xlsx&amp;sheet=U0&amp;row=2097&amp;col=7&amp;number=0.00159&amp;sourceID=14","0.00159")</f>
        <v>0.00159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HYPERLINK("http://141.218.60.56/~jnz1568/getInfo.php?workbook=12_04.xlsx&amp;sheet=U0&amp;row=2098&amp;col=6&amp;number=4.4&amp;sourceID=14","4.4")</f>
        <v>4.4</v>
      </c>
      <c r="G2098" s="4" t="str">
        <f>HYPERLINK("http://141.218.60.56/~jnz1568/getInfo.php?workbook=12_04.xlsx&amp;sheet=U0&amp;row=2098&amp;col=7&amp;number=0.0016&amp;sourceID=14","0.0016")</f>
        <v>0.0016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HYPERLINK("http://141.218.60.56/~jnz1568/getInfo.php?workbook=12_04.xlsx&amp;sheet=U0&amp;row=2099&amp;col=6&amp;number=4.5&amp;sourceID=14","4.5")</f>
        <v>4.5</v>
      </c>
      <c r="G2099" s="4" t="str">
        <f>HYPERLINK("http://141.218.60.56/~jnz1568/getInfo.php?workbook=12_04.xlsx&amp;sheet=U0&amp;row=2099&amp;col=7&amp;number=0.00161&amp;sourceID=14","0.00161")</f>
        <v>0.00161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HYPERLINK("http://141.218.60.56/~jnz1568/getInfo.php?workbook=12_04.xlsx&amp;sheet=U0&amp;row=2100&amp;col=6&amp;number=4.6&amp;sourceID=14","4.6")</f>
        <v>4.6</v>
      </c>
      <c r="G2100" s="4" t="str">
        <f>HYPERLINK("http://141.218.60.56/~jnz1568/getInfo.php?workbook=12_04.xlsx&amp;sheet=U0&amp;row=2100&amp;col=7&amp;number=0.00163&amp;sourceID=14","0.00163")</f>
        <v>0.00163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HYPERLINK("http://141.218.60.56/~jnz1568/getInfo.php?workbook=12_04.xlsx&amp;sheet=U0&amp;row=2101&amp;col=6&amp;number=4.7&amp;sourceID=14","4.7")</f>
        <v>4.7</v>
      </c>
      <c r="G2101" s="4" t="str">
        <f>HYPERLINK("http://141.218.60.56/~jnz1568/getInfo.php?workbook=12_04.xlsx&amp;sheet=U0&amp;row=2101&amp;col=7&amp;number=0.00165&amp;sourceID=14","0.00165")</f>
        <v>0.00165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HYPERLINK("http://141.218.60.56/~jnz1568/getInfo.php?workbook=12_04.xlsx&amp;sheet=U0&amp;row=2102&amp;col=6&amp;number=4.8&amp;sourceID=14","4.8")</f>
        <v>4.8</v>
      </c>
      <c r="G2102" s="4" t="str">
        <f>HYPERLINK("http://141.218.60.56/~jnz1568/getInfo.php?workbook=12_04.xlsx&amp;sheet=U0&amp;row=2102&amp;col=7&amp;number=0.00168&amp;sourceID=14","0.00168")</f>
        <v>0.00168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HYPERLINK("http://141.218.60.56/~jnz1568/getInfo.php?workbook=12_04.xlsx&amp;sheet=U0&amp;row=2103&amp;col=6&amp;number=4.9&amp;sourceID=14","4.9")</f>
        <v>4.9</v>
      </c>
      <c r="G2103" s="4" t="str">
        <f>HYPERLINK("http://141.218.60.56/~jnz1568/getInfo.php?workbook=12_04.xlsx&amp;sheet=U0&amp;row=2103&amp;col=7&amp;number=0.00172&amp;sourceID=14","0.00172")</f>
        <v>0.00172</v>
      </c>
    </row>
    <row r="2104" spans="1:7">
      <c r="A2104" s="3">
        <v>12</v>
      </c>
      <c r="B2104" s="3">
        <v>4</v>
      </c>
      <c r="C2104" s="3">
        <v>2</v>
      </c>
      <c r="D2104" s="3">
        <v>11</v>
      </c>
      <c r="E2104" s="3">
        <v>1</v>
      </c>
      <c r="F2104" s="4" t="str">
        <f>HYPERLINK("http://141.218.60.56/~jnz1568/getInfo.php?workbook=12_04.xlsx&amp;sheet=U0&amp;row=2104&amp;col=6&amp;number=3&amp;sourceID=14","3")</f>
        <v>3</v>
      </c>
      <c r="G2104" s="4" t="str">
        <f>HYPERLINK("http://141.218.60.56/~jnz1568/getInfo.php?workbook=12_04.xlsx&amp;sheet=U0&amp;row=2104&amp;col=7&amp;number=0.113&amp;sourceID=14","0.113")</f>
        <v>0.113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HYPERLINK("http://141.218.60.56/~jnz1568/getInfo.php?workbook=12_04.xlsx&amp;sheet=U0&amp;row=2105&amp;col=6&amp;number=3.1&amp;sourceID=14","3.1")</f>
        <v>3.1</v>
      </c>
      <c r="G2105" s="4" t="str">
        <f>HYPERLINK("http://141.218.60.56/~jnz1568/getInfo.php?workbook=12_04.xlsx&amp;sheet=U0&amp;row=2105&amp;col=7&amp;number=0.112&amp;sourceID=14","0.112")</f>
        <v>0.112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HYPERLINK("http://141.218.60.56/~jnz1568/getInfo.php?workbook=12_04.xlsx&amp;sheet=U0&amp;row=2106&amp;col=6&amp;number=3.2&amp;sourceID=14","3.2")</f>
        <v>3.2</v>
      </c>
      <c r="G2106" s="4" t="str">
        <f>HYPERLINK("http://141.218.60.56/~jnz1568/getInfo.php?workbook=12_04.xlsx&amp;sheet=U0&amp;row=2106&amp;col=7&amp;number=0.112&amp;sourceID=14","0.112")</f>
        <v>0.112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HYPERLINK("http://141.218.60.56/~jnz1568/getInfo.php?workbook=12_04.xlsx&amp;sheet=U0&amp;row=2107&amp;col=6&amp;number=3.3&amp;sourceID=14","3.3")</f>
        <v>3.3</v>
      </c>
      <c r="G2107" s="4" t="str">
        <f>HYPERLINK("http://141.218.60.56/~jnz1568/getInfo.php?workbook=12_04.xlsx&amp;sheet=U0&amp;row=2107&amp;col=7&amp;number=0.112&amp;sourceID=14","0.112")</f>
        <v>0.112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HYPERLINK("http://141.218.60.56/~jnz1568/getInfo.php?workbook=12_04.xlsx&amp;sheet=U0&amp;row=2108&amp;col=6&amp;number=3.4&amp;sourceID=14","3.4")</f>
        <v>3.4</v>
      </c>
      <c r="G2108" s="4" t="str">
        <f>HYPERLINK("http://141.218.60.56/~jnz1568/getInfo.php?workbook=12_04.xlsx&amp;sheet=U0&amp;row=2108&amp;col=7&amp;number=0.112&amp;sourceID=14","0.112")</f>
        <v>0.112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HYPERLINK("http://141.218.60.56/~jnz1568/getInfo.php?workbook=12_04.xlsx&amp;sheet=U0&amp;row=2109&amp;col=6&amp;number=3.5&amp;sourceID=14","3.5")</f>
        <v>3.5</v>
      </c>
      <c r="G2109" s="4" t="str">
        <f>HYPERLINK("http://141.218.60.56/~jnz1568/getInfo.php?workbook=12_04.xlsx&amp;sheet=U0&amp;row=2109&amp;col=7&amp;number=0.112&amp;sourceID=14","0.112")</f>
        <v>0.112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HYPERLINK("http://141.218.60.56/~jnz1568/getInfo.php?workbook=12_04.xlsx&amp;sheet=U0&amp;row=2110&amp;col=6&amp;number=3.6&amp;sourceID=14","3.6")</f>
        <v>3.6</v>
      </c>
      <c r="G2110" s="4" t="str">
        <f>HYPERLINK("http://141.218.60.56/~jnz1568/getInfo.php?workbook=12_04.xlsx&amp;sheet=U0&amp;row=2110&amp;col=7&amp;number=0.112&amp;sourceID=14","0.112")</f>
        <v>0.112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HYPERLINK("http://141.218.60.56/~jnz1568/getInfo.php?workbook=12_04.xlsx&amp;sheet=U0&amp;row=2111&amp;col=6&amp;number=3.7&amp;sourceID=14","3.7")</f>
        <v>3.7</v>
      </c>
      <c r="G2111" s="4" t="str">
        <f>HYPERLINK("http://141.218.60.56/~jnz1568/getInfo.php?workbook=12_04.xlsx&amp;sheet=U0&amp;row=2111&amp;col=7&amp;number=0.111&amp;sourceID=14","0.111")</f>
        <v>0.111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HYPERLINK("http://141.218.60.56/~jnz1568/getInfo.php?workbook=12_04.xlsx&amp;sheet=U0&amp;row=2112&amp;col=6&amp;number=3.8&amp;sourceID=14","3.8")</f>
        <v>3.8</v>
      </c>
      <c r="G2112" s="4" t="str">
        <f>HYPERLINK("http://141.218.60.56/~jnz1568/getInfo.php?workbook=12_04.xlsx&amp;sheet=U0&amp;row=2112&amp;col=7&amp;number=0.111&amp;sourceID=14","0.111")</f>
        <v>0.111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HYPERLINK("http://141.218.60.56/~jnz1568/getInfo.php?workbook=12_04.xlsx&amp;sheet=U0&amp;row=2113&amp;col=6&amp;number=3.9&amp;sourceID=14","3.9")</f>
        <v>3.9</v>
      </c>
      <c r="G2113" s="4" t="str">
        <f>HYPERLINK("http://141.218.60.56/~jnz1568/getInfo.php?workbook=12_04.xlsx&amp;sheet=U0&amp;row=2113&amp;col=7&amp;number=0.11&amp;sourceID=14","0.11")</f>
        <v>0.11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HYPERLINK("http://141.218.60.56/~jnz1568/getInfo.php?workbook=12_04.xlsx&amp;sheet=U0&amp;row=2114&amp;col=6&amp;number=4&amp;sourceID=14","4")</f>
        <v>4</v>
      </c>
      <c r="G2114" s="4" t="str">
        <f>HYPERLINK("http://141.218.60.56/~jnz1568/getInfo.php?workbook=12_04.xlsx&amp;sheet=U0&amp;row=2114&amp;col=7&amp;number=0.11&amp;sourceID=14","0.11")</f>
        <v>0.11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HYPERLINK("http://141.218.60.56/~jnz1568/getInfo.php?workbook=12_04.xlsx&amp;sheet=U0&amp;row=2115&amp;col=6&amp;number=4.1&amp;sourceID=14","4.1")</f>
        <v>4.1</v>
      </c>
      <c r="G2115" s="4" t="str">
        <f>HYPERLINK("http://141.218.60.56/~jnz1568/getInfo.php?workbook=12_04.xlsx&amp;sheet=U0&amp;row=2115&amp;col=7&amp;number=0.109&amp;sourceID=14","0.109")</f>
        <v>0.109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HYPERLINK("http://141.218.60.56/~jnz1568/getInfo.php?workbook=12_04.xlsx&amp;sheet=U0&amp;row=2116&amp;col=6&amp;number=4.2&amp;sourceID=14","4.2")</f>
        <v>4.2</v>
      </c>
      <c r="G2116" s="4" t="str">
        <f>HYPERLINK("http://141.218.60.56/~jnz1568/getInfo.php?workbook=12_04.xlsx&amp;sheet=U0&amp;row=2116&amp;col=7&amp;number=0.108&amp;sourceID=14","0.108")</f>
        <v>0.108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HYPERLINK("http://141.218.60.56/~jnz1568/getInfo.php?workbook=12_04.xlsx&amp;sheet=U0&amp;row=2117&amp;col=6&amp;number=4.3&amp;sourceID=14","4.3")</f>
        <v>4.3</v>
      </c>
      <c r="G2117" s="4" t="str">
        <f>HYPERLINK("http://141.218.60.56/~jnz1568/getInfo.php?workbook=12_04.xlsx&amp;sheet=U0&amp;row=2117&amp;col=7&amp;number=0.107&amp;sourceID=14","0.107")</f>
        <v>0.107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HYPERLINK("http://141.218.60.56/~jnz1568/getInfo.php?workbook=12_04.xlsx&amp;sheet=U0&amp;row=2118&amp;col=6&amp;number=4.4&amp;sourceID=14","4.4")</f>
        <v>4.4</v>
      </c>
      <c r="G2118" s="4" t="str">
        <f>HYPERLINK("http://141.218.60.56/~jnz1568/getInfo.php?workbook=12_04.xlsx&amp;sheet=U0&amp;row=2118&amp;col=7&amp;number=0.105&amp;sourceID=14","0.105")</f>
        <v>0.105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HYPERLINK("http://141.218.60.56/~jnz1568/getInfo.php?workbook=12_04.xlsx&amp;sheet=U0&amp;row=2119&amp;col=6&amp;number=4.5&amp;sourceID=14","4.5")</f>
        <v>4.5</v>
      </c>
      <c r="G2119" s="4" t="str">
        <f>HYPERLINK("http://141.218.60.56/~jnz1568/getInfo.php?workbook=12_04.xlsx&amp;sheet=U0&amp;row=2119&amp;col=7&amp;number=0.103&amp;sourceID=14","0.103")</f>
        <v>0.103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HYPERLINK("http://141.218.60.56/~jnz1568/getInfo.php?workbook=12_04.xlsx&amp;sheet=U0&amp;row=2120&amp;col=6&amp;number=4.6&amp;sourceID=14","4.6")</f>
        <v>4.6</v>
      </c>
      <c r="G2120" s="4" t="str">
        <f>HYPERLINK("http://141.218.60.56/~jnz1568/getInfo.php?workbook=12_04.xlsx&amp;sheet=U0&amp;row=2120&amp;col=7&amp;number=0.101&amp;sourceID=14","0.101")</f>
        <v>0.101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HYPERLINK("http://141.218.60.56/~jnz1568/getInfo.php?workbook=12_04.xlsx&amp;sheet=U0&amp;row=2121&amp;col=6&amp;number=4.7&amp;sourceID=14","4.7")</f>
        <v>4.7</v>
      </c>
      <c r="G2121" s="4" t="str">
        <f>HYPERLINK("http://141.218.60.56/~jnz1568/getInfo.php?workbook=12_04.xlsx&amp;sheet=U0&amp;row=2121&amp;col=7&amp;number=0.0974&amp;sourceID=14","0.0974")</f>
        <v>0.0974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HYPERLINK("http://141.218.60.56/~jnz1568/getInfo.php?workbook=12_04.xlsx&amp;sheet=U0&amp;row=2122&amp;col=6&amp;number=4.8&amp;sourceID=14","4.8")</f>
        <v>4.8</v>
      </c>
      <c r="G2122" s="4" t="str">
        <f>HYPERLINK("http://141.218.60.56/~jnz1568/getInfo.php?workbook=12_04.xlsx&amp;sheet=U0&amp;row=2122&amp;col=7&amp;number=0.0935&amp;sourceID=14","0.0935")</f>
        <v>0.0935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HYPERLINK("http://141.218.60.56/~jnz1568/getInfo.php?workbook=12_04.xlsx&amp;sheet=U0&amp;row=2123&amp;col=6&amp;number=4.9&amp;sourceID=14","4.9")</f>
        <v>4.9</v>
      </c>
      <c r="G2123" s="4" t="str">
        <f>HYPERLINK("http://141.218.60.56/~jnz1568/getInfo.php?workbook=12_04.xlsx&amp;sheet=U0&amp;row=2123&amp;col=7&amp;number=0.0888&amp;sourceID=14","0.0888")</f>
        <v>0.0888</v>
      </c>
    </row>
    <row r="2124" spans="1:7">
      <c r="A2124" s="3">
        <v>12</v>
      </c>
      <c r="B2124" s="3">
        <v>4</v>
      </c>
      <c r="C2124" s="3">
        <v>2</v>
      </c>
      <c r="D2124" s="3">
        <v>12</v>
      </c>
      <c r="E2124" s="3">
        <v>1</v>
      </c>
      <c r="F2124" s="4" t="str">
        <f>HYPERLINK("http://141.218.60.56/~jnz1568/getInfo.php?workbook=12_04.xlsx&amp;sheet=U0&amp;row=2124&amp;col=6&amp;number=3&amp;sourceID=14","3")</f>
        <v>3</v>
      </c>
      <c r="G2124" s="4" t="str">
        <f>HYPERLINK("http://141.218.60.56/~jnz1568/getInfo.php?workbook=12_04.xlsx&amp;sheet=U0&amp;row=2124&amp;col=7&amp;number=0.0254&amp;sourceID=14","0.0254")</f>
        <v>0.0254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HYPERLINK("http://141.218.60.56/~jnz1568/getInfo.php?workbook=12_04.xlsx&amp;sheet=U0&amp;row=2125&amp;col=6&amp;number=3.1&amp;sourceID=14","3.1")</f>
        <v>3.1</v>
      </c>
      <c r="G2125" s="4" t="str">
        <f>HYPERLINK("http://141.218.60.56/~jnz1568/getInfo.php?workbook=12_04.xlsx&amp;sheet=U0&amp;row=2125&amp;col=7&amp;number=0.0253&amp;sourceID=14","0.0253")</f>
        <v>0.0253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HYPERLINK("http://141.218.60.56/~jnz1568/getInfo.php?workbook=12_04.xlsx&amp;sheet=U0&amp;row=2126&amp;col=6&amp;number=3.2&amp;sourceID=14","3.2")</f>
        <v>3.2</v>
      </c>
      <c r="G2126" s="4" t="str">
        <f>HYPERLINK("http://141.218.60.56/~jnz1568/getInfo.php?workbook=12_04.xlsx&amp;sheet=U0&amp;row=2126&amp;col=7&amp;number=0.0253&amp;sourceID=14","0.0253")</f>
        <v>0.0253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HYPERLINK("http://141.218.60.56/~jnz1568/getInfo.php?workbook=12_04.xlsx&amp;sheet=U0&amp;row=2127&amp;col=6&amp;number=3.3&amp;sourceID=14","3.3")</f>
        <v>3.3</v>
      </c>
      <c r="G2127" s="4" t="str">
        <f>HYPERLINK("http://141.218.60.56/~jnz1568/getInfo.php?workbook=12_04.xlsx&amp;sheet=U0&amp;row=2127&amp;col=7&amp;number=0.0252&amp;sourceID=14","0.0252")</f>
        <v>0.0252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HYPERLINK("http://141.218.60.56/~jnz1568/getInfo.php?workbook=12_04.xlsx&amp;sheet=U0&amp;row=2128&amp;col=6&amp;number=3.4&amp;sourceID=14","3.4")</f>
        <v>3.4</v>
      </c>
      <c r="G2128" s="4" t="str">
        <f>HYPERLINK("http://141.218.60.56/~jnz1568/getInfo.php?workbook=12_04.xlsx&amp;sheet=U0&amp;row=2128&amp;col=7&amp;number=0.0252&amp;sourceID=14","0.0252")</f>
        <v>0.0252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HYPERLINK("http://141.218.60.56/~jnz1568/getInfo.php?workbook=12_04.xlsx&amp;sheet=U0&amp;row=2129&amp;col=6&amp;number=3.5&amp;sourceID=14","3.5")</f>
        <v>3.5</v>
      </c>
      <c r="G2129" s="4" t="str">
        <f>HYPERLINK("http://141.218.60.56/~jnz1568/getInfo.php?workbook=12_04.xlsx&amp;sheet=U0&amp;row=2129&amp;col=7&amp;number=0.0251&amp;sourceID=14","0.0251")</f>
        <v>0.0251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HYPERLINK("http://141.218.60.56/~jnz1568/getInfo.php?workbook=12_04.xlsx&amp;sheet=U0&amp;row=2130&amp;col=6&amp;number=3.6&amp;sourceID=14","3.6")</f>
        <v>3.6</v>
      </c>
      <c r="G2130" s="4" t="str">
        <f>HYPERLINK("http://141.218.60.56/~jnz1568/getInfo.php?workbook=12_04.xlsx&amp;sheet=U0&amp;row=2130&amp;col=7&amp;number=0.025&amp;sourceID=14","0.025")</f>
        <v>0.025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HYPERLINK("http://141.218.60.56/~jnz1568/getInfo.php?workbook=12_04.xlsx&amp;sheet=U0&amp;row=2131&amp;col=6&amp;number=3.7&amp;sourceID=14","3.7")</f>
        <v>3.7</v>
      </c>
      <c r="G2131" s="4" t="str">
        <f>HYPERLINK("http://141.218.60.56/~jnz1568/getInfo.php?workbook=12_04.xlsx&amp;sheet=U0&amp;row=2131&amp;col=7&amp;number=0.0248&amp;sourceID=14","0.0248")</f>
        <v>0.0248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HYPERLINK("http://141.218.60.56/~jnz1568/getInfo.php?workbook=12_04.xlsx&amp;sheet=U0&amp;row=2132&amp;col=6&amp;number=3.8&amp;sourceID=14","3.8")</f>
        <v>3.8</v>
      </c>
      <c r="G2132" s="4" t="str">
        <f>HYPERLINK("http://141.218.60.56/~jnz1568/getInfo.php?workbook=12_04.xlsx&amp;sheet=U0&amp;row=2132&amp;col=7&amp;number=0.0246&amp;sourceID=14","0.0246")</f>
        <v>0.0246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HYPERLINK("http://141.218.60.56/~jnz1568/getInfo.php?workbook=12_04.xlsx&amp;sheet=U0&amp;row=2133&amp;col=6&amp;number=3.9&amp;sourceID=14","3.9")</f>
        <v>3.9</v>
      </c>
      <c r="G2133" s="4" t="str">
        <f>HYPERLINK("http://141.218.60.56/~jnz1568/getInfo.php?workbook=12_04.xlsx&amp;sheet=U0&amp;row=2133&amp;col=7&amp;number=0.0244&amp;sourceID=14","0.0244")</f>
        <v>0.0244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HYPERLINK("http://141.218.60.56/~jnz1568/getInfo.php?workbook=12_04.xlsx&amp;sheet=U0&amp;row=2134&amp;col=6&amp;number=4&amp;sourceID=14","4")</f>
        <v>4</v>
      </c>
      <c r="G2134" s="4" t="str">
        <f>HYPERLINK("http://141.218.60.56/~jnz1568/getInfo.php?workbook=12_04.xlsx&amp;sheet=U0&amp;row=2134&amp;col=7&amp;number=0.0241&amp;sourceID=14","0.0241")</f>
        <v>0.0241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HYPERLINK("http://141.218.60.56/~jnz1568/getInfo.php?workbook=12_04.xlsx&amp;sheet=U0&amp;row=2135&amp;col=6&amp;number=4.1&amp;sourceID=14","4.1")</f>
        <v>4.1</v>
      </c>
      <c r="G2135" s="4" t="str">
        <f>HYPERLINK("http://141.218.60.56/~jnz1568/getInfo.php?workbook=12_04.xlsx&amp;sheet=U0&amp;row=2135&amp;col=7&amp;number=0.0238&amp;sourceID=14","0.0238")</f>
        <v>0.0238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HYPERLINK("http://141.218.60.56/~jnz1568/getInfo.php?workbook=12_04.xlsx&amp;sheet=U0&amp;row=2136&amp;col=6&amp;number=4.2&amp;sourceID=14","4.2")</f>
        <v>4.2</v>
      </c>
      <c r="G2136" s="4" t="str">
        <f>HYPERLINK("http://141.218.60.56/~jnz1568/getInfo.php?workbook=12_04.xlsx&amp;sheet=U0&amp;row=2136&amp;col=7&amp;number=0.0233&amp;sourceID=14","0.0233")</f>
        <v>0.0233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HYPERLINK("http://141.218.60.56/~jnz1568/getInfo.php?workbook=12_04.xlsx&amp;sheet=U0&amp;row=2137&amp;col=6&amp;number=4.3&amp;sourceID=14","4.3")</f>
        <v>4.3</v>
      </c>
      <c r="G2137" s="4" t="str">
        <f>HYPERLINK("http://141.218.60.56/~jnz1568/getInfo.php?workbook=12_04.xlsx&amp;sheet=U0&amp;row=2137&amp;col=7&amp;number=0.0228&amp;sourceID=14","0.0228")</f>
        <v>0.0228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HYPERLINK("http://141.218.60.56/~jnz1568/getInfo.php?workbook=12_04.xlsx&amp;sheet=U0&amp;row=2138&amp;col=6&amp;number=4.4&amp;sourceID=14","4.4")</f>
        <v>4.4</v>
      </c>
      <c r="G2138" s="4" t="str">
        <f>HYPERLINK("http://141.218.60.56/~jnz1568/getInfo.php?workbook=12_04.xlsx&amp;sheet=U0&amp;row=2138&amp;col=7&amp;number=0.0221&amp;sourceID=14","0.0221")</f>
        <v>0.0221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HYPERLINK("http://141.218.60.56/~jnz1568/getInfo.php?workbook=12_04.xlsx&amp;sheet=U0&amp;row=2139&amp;col=6&amp;number=4.5&amp;sourceID=14","4.5")</f>
        <v>4.5</v>
      </c>
      <c r="G2139" s="4" t="str">
        <f>HYPERLINK("http://141.218.60.56/~jnz1568/getInfo.php?workbook=12_04.xlsx&amp;sheet=U0&amp;row=2139&amp;col=7&amp;number=0.0213&amp;sourceID=14","0.0213")</f>
        <v>0.0213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HYPERLINK("http://141.218.60.56/~jnz1568/getInfo.php?workbook=12_04.xlsx&amp;sheet=U0&amp;row=2140&amp;col=6&amp;number=4.6&amp;sourceID=14","4.6")</f>
        <v>4.6</v>
      </c>
      <c r="G2140" s="4" t="str">
        <f>HYPERLINK("http://141.218.60.56/~jnz1568/getInfo.php?workbook=12_04.xlsx&amp;sheet=U0&amp;row=2140&amp;col=7&amp;number=0.0203&amp;sourceID=14","0.0203")</f>
        <v>0.0203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HYPERLINK("http://141.218.60.56/~jnz1568/getInfo.php?workbook=12_04.xlsx&amp;sheet=U0&amp;row=2141&amp;col=6&amp;number=4.7&amp;sourceID=14","4.7")</f>
        <v>4.7</v>
      </c>
      <c r="G2141" s="4" t="str">
        <f>HYPERLINK("http://141.218.60.56/~jnz1568/getInfo.php?workbook=12_04.xlsx&amp;sheet=U0&amp;row=2141&amp;col=7&amp;number=0.019&amp;sourceID=14","0.019")</f>
        <v>0.019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HYPERLINK("http://141.218.60.56/~jnz1568/getInfo.php?workbook=12_04.xlsx&amp;sheet=U0&amp;row=2142&amp;col=6&amp;number=4.8&amp;sourceID=14","4.8")</f>
        <v>4.8</v>
      </c>
      <c r="G2142" s="4" t="str">
        <f>HYPERLINK("http://141.218.60.56/~jnz1568/getInfo.php?workbook=12_04.xlsx&amp;sheet=U0&amp;row=2142&amp;col=7&amp;number=0.0176&amp;sourceID=14","0.0176")</f>
        <v>0.0176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HYPERLINK("http://141.218.60.56/~jnz1568/getInfo.php?workbook=12_04.xlsx&amp;sheet=U0&amp;row=2143&amp;col=6&amp;number=4.9&amp;sourceID=14","4.9")</f>
        <v>4.9</v>
      </c>
      <c r="G2143" s="4" t="str">
        <f>HYPERLINK("http://141.218.60.56/~jnz1568/getInfo.php?workbook=12_04.xlsx&amp;sheet=U0&amp;row=2143&amp;col=7&amp;number=0.0159&amp;sourceID=14","0.0159")</f>
        <v>0.0159</v>
      </c>
    </row>
    <row r="2144" spans="1:7">
      <c r="A2144" s="3">
        <v>12</v>
      </c>
      <c r="B2144" s="3">
        <v>4</v>
      </c>
      <c r="C2144" s="3">
        <v>2</v>
      </c>
      <c r="D2144" s="3">
        <v>13</v>
      </c>
      <c r="E2144" s="3">
        <v>1</v>
      </c>
      <c r="F2144" s="4" t="str">
        <f>HYPERLINK("http://141.218.60.56/~jnz1568/getInfo.php?workbook=12_04.xlsx&amp;sheet=U0&amp;row=2144&amp;col=6&amp;number=3&amp;sourceID=14","3")</f>
        <v>3</v>
      </c>
      <c r="G2144" s="4" t="str">
        <f>HYPERLINK("http://141.218.60.56/~jnz1568/getInfo.php?workbook=12_04.xlsx&amp;sheet=U0&amp;row=2144&amp;col=7&amp;number=0.0425&amp;sourceID=14","0.0425")</f>
        <v>0.0425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HYPERLINK("http://141.218.60.56/~jnz1568/getInfo.php?workbook=12_04.xlsx&amp;sheet=U0&amp;row=2145&amp;col=6&amp;number=3.1&amp;sourceID=14","3.1")</f>
        <v>3.1</v>
      </c>
      <c r="G2145" s="4" t="str">
        <f>HYPERLINK("http://141.218.60.56/~jnz1568/getInfo.php?workbook=12_04.xlsx&amp;sheet=U0&amp;row=2145&amp;col=7&amp;number=0.0425&amp;sourceID=14","0.0425")</f>
        <v>0.0425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HYPERLINK("http://141.218.60.56/~jnz1568/getInfo.php?workbook=12_04.xlsx&amp;sheet=U0&amp;row=2146&amp;col=6&amp;number=3.2&amp;sourceID=14","3.2")</f>
        <v>3.2</v>
      </c>
      <c r="G2146" s="4" t="str">
        <f>HYPERLINK("http://141.218.60.56/~jnz1568/getInfo.php?workbook=12_04.xlsx&amp;sheet=U0&amp;row=2146&amp;col=7&amp;number=0.0424&amp;sourceID=14","0.0424")</f>
        <v>0.0424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HYPERLINK("http://141.218.60.56/~jnz1568/getInfo.php?workbook=12_04.xlsx&amp;sheet=U0&amp;row=2147&amp;col=6&amp;number=3.3&amp;sourceID=14","3.3")</f>
        <v>3.3</v>
      </c>
      <c r="G2147" s="4" t="str">
        <f>HYPERLINK("http://141.218.60.56/~jnz1568/getInfo.php?workbook=12_04.xlsx&amp;sheet=U0&amp;row=2147&amp;col=7&amp;number=0.0423&amp;sourceID=14","0.0423")</f>
        <v>0.0423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HYPERLINK("http://141.218.60.56/~jnz1568/getInfo.php?workbook=12_04.xlsx&amp;sheet=U0&amp;row=2148&amp;col=6&amp;number=3.4&amp;sourceID=14","3.4")</f>
        <v>3.4</v>
      </c>
      <c r="G2148" s="4" t="str">
        <f>HYPERLINK("http://141.218.60.56/~jnz1568/getInfo.php?workbook=12_04.xlsx&amp;sheet=U0&amp;row=2148&amp;col=7&amp;number=0.0421&amp;sourceID=14","0.0421")</f>
        <v>0.0421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HYPERLINK("http://141.218.60.56/~jnz1568/getInfo.php?workbook=12_04.xlsx&amp;sheet=U0&amp;row=2149&amp;col=6&amp;number=3.5&amp;sourceID=14","3.5")</f>
        <v>3.5</v>
      </c>
      <c r="G2149" s="4" t="str">
        <f>HYPERLINK("http://141.218.60.56/~jnz1568/getInfo.php?workbook=12_04.xlsx&amp;sheet=U0&amp;row=2149&amp;col=7&amp;number=0.0419&amp;sourceID=14","0.0419")</f>
        <v>0.0419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HYPERLINK("http://141.218.60.56/~jnz1568/getInfo.php?workbook=12_04.xlsx&amp;sheet=U0&amp;row=2150&amp;col=6&amp;number=3.6&amp;sourceID=14","3.6")</f>
        <v>3.6</v>
      </c>
      <c r="G2150" s="4" t="str">
        <f>HYPERLINK("http://141.218.60.56/~jnz1568/getInfo.php?workbook=12_04.xlsx&amp;sheet=U0&amp;row=2150&amp;col=7&amp;number=0.0417&amp;sourceID=14","0.0417")</f>
        <v>0.0417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HYPERLINK("http://141.218.60.56/~jnz1568/getInfo.php?workbook=12_04.xlsx&amp;sheet=U0&amp;row=2151&amp;col=6&amp;number=3.7&amp;sourceID=14","3.7")</f>
        <v>3.7</v>
      </c>
      <c r="G2151" s="4" t="str">
        <f>HYPERLINK("http://141.218.60.56/~jnz1568/getInfo.php?workbook=12_04.xlsx&amp;sheet=U0&amp;row=2151&amp;col=7&amp;number=0.0414&amp;sourceID=14","0.0414")</f>
        <v>0.0414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HYPERLINK("http://141.218.60.56/~jnz1568/getInfo.php?workbook=12_04.xlsx&amp;sheet=U0&amp;row=2152&amp;col=6&amp;number=3.8&amp;sourceID=14","3.8")</f>
        <v>3.8</v>
      </c>
      <c r="G2152" s="4" t="str">
        <f>HYPERLINK("http://141.218.60.56/~jnz1568/getInfo.php?workbook=12_04.xlsx&amp;sheet=U0&amp;row=2152&amp;col=7&amp;number=0.041&amp;sourceID=14","0.041")</f>
        <v>0.041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HYPERLINK("http://141.218.60.56/~jnz1568/getInfo.php?workbook=12_04.xlsx&amp;sheet=U0&amp;row=2153&amp;col=6&amp;number=3.9&amp;sourceID=14","3.9")</f>
        <v>3.9</v>
      </c>
      <c r="G2153" s="4" t="str">
        <f>HYPERLINK("http://141.218.60.56/~jnz1568/getInfo.php?workbook=12_04.xlsx&amp;sheet=U0&amp;row=2153&amp;col=7&amp;number=0.0406&amp;sourceID=14","0.0406")</f>
        <v>0.0406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HYPERLINK("http://141.218.60.56/~jnz1568/getInfo.php?workbook=12_04.xlsx&amp;sheet=U0&amp;row=2154&amp;col=6&amp;number=4&amp;sourceID=14","4")</f>
        <v>4</v>
      </c>
      <c r="G2154" s="4" t="str">
        <f>HYPERLINK("http://141.218.60.56/~jnz1568/getInfo.php?workbook=12_04.xlsx&amp;sheet=U0&amp;row=2154&amp;col=7&amp;number=0.04&amp;sourceID=14","0.04")</f>
        <v>0.04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HYPERLINK("http://141.218.60.56/~jnz1568/getInfo.php?workbook=12_04.xlsx&amp;sheet=U0&amp;row=2155&amp;col=6&amp;number=4.1&amp;sourceID=14","4.1")</f>
        <v>4.1</v>
      </c>
      <c r="G2155" s="4" t="str">
        <f>HYPERLINK("http://141.218.60.56/~jnz1568/getInfo.php?workbook=12_04.xlsx&amp;sheet=U0&amp;row=2155&amp;col=7&amp;number=0.0393&amp;sourceID=14","0.0393")</f>
        <v>0.0393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HYPERLINK("http://141.218.60.56/~jnz1568/getInfo.php?workbook=12_04.xlsx&amp;sheet=U0&amp;row=2156&amp;col=6&amp;number=4.2&amp;sourceID=14","4.2")</f>
        <v>4.2</v>
      </c>
      <c r="G2156" s="4" t="str">
        <f>HYPERLINK("http://141.218.60.56/~jnz1568/getInfo.php?workbook=12_04.xlsx&amp;sheet=U0&amp;row=2156&amp;col=7&amp;number=0.0384&amp;sourceID=14","0.0384")</f>
        <v>0.0384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HYPERLINK("http://141.218.60.56/~jnz1568/getInfo.php?workbook=12_04.xlsx&amp;sheet=U0&amp;row=2157&amp;col=6&amp;number=4.3&amp;sourceID=14","4.3")</f>
        <v>4.3</v>
      </c>
      <c r="G2157" s="4" t="str">
        <f>HYPERLINK("http://141.218.60.56/~jnz1568/getInfo.php?workbook=12_04.xlsx&amp;sheet=U0&amp;row=2157&amp;col=7&amp;number=0.0374&amp;sourceID=14","0.0374")</f>
        <v>0.0374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HYPERLINK("http://141.218.60.56/~jnz1568/getInfo.php?workbook=12_04.xlsx&amp;sheet=U0&amp;row=2158&amp;col=6&amp;number=4.4&amp;sourceID=14","4.4")</f>
        <v>4.4</v>
      </c>
      <c r="G2158" s="4" t="str">
        <f>HYPERLINK("http://141.218.60.56/~jnz1568/getInfo.php?workbook=12_04.xlsx&amp;sheet=U0&amp;row=2158&amp;col=7&amp;number=0.036&amp;sourceID=14","0.036")</f>
        <v>0.036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HYPERLINK("http://141.218.60.56/~jnz1568/getInfo.php?workbook=12_04.xlsx&amp;sheet=U0&amp;row=2159&amp;col=6&amp;number=4.5&amp;sourceID=14","4.5")</f>
        <v>4.5</v>
      </c>
      <c r="G2159" s="4" t="str">
        <f>HYPERLINK("http://141.218.60.56/~jnz1568/getInfo.php?workbook=12_04.xlsx&amp;sheet=U0&amp;row=2159&amp;col=7&amp;number=0.0344&amp;sourceID=14","0.0344")</f>
        <v>0.0344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HYPERLINK("http://141.218.60.56/~jnz1568/getInfo.php?workbook=12_04.xlsx&amp;sheet=U0&amp;row=2160&amp;col=6&amp;number=4.6&amp;sourceID=14","4.6")</f>
        <v>4.6</v>
      </c>
      <c r="G2160" s="4" t="str">
        <f>HYPERLINK("http://141.218.60.56/~jnz1568/getInfo.php?workbook=12_04.xlsx&amp;sheet=U0&amp;row=2160&amp;col=7&amp;number=0.0325&amp;sourceID=14","0.0325")</f>
        <v>0.0325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HYPERLINK("http://141.218.60.56/~jnz1568/getInfo.php?workbook=12_04.xlsx&amp;sheet=U0&amp;row=2161&amp;col=6&amp;number=4.7&amp;sourceID=14","4.7")</f>
        <v>4.7</v>
      </c>
      <c r="G2161" s="4" t="str">
        <f>HYPERLINK("http://141.218.60.56/~jnz1568/getInfo.php?workbook=12_04.xlsx&amp;sheet=U0&amp;row=2161&amp;col=7&amp;number=0.0302&amp;sourceID=14","0.0302")</f>
        <v>0.0302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HYPERLINK("http://141.218.60.56/~jnz1568/getInfo.php?workbook=12_04.xlsx&amp;sheet=U0&amp;row=2162&amp;col=6&amp;number=4.8&amp;sourceID=14","4.8")</f>
        <v>4.8</v>
      </c>
      <c r="G2162" s="4" t="str">
        <f>HYPERLINK("http://141.218.60.56/~jnz1568/getInfo.php?workbook=12_04.xlsx&amp;sheet=U0&amp;row=2162&amp;col=7&amp;number=0.0275&amp;sourceID=14","0.0275")</f>
        <v>0.0275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HYPERLINK("http://141.218.60.56/~jnz1568/getInfo.php?workbook=12_04.xlsx&amp;sheet=U0&amp;row=2163&amp;col=6&amp;number=4.9&amp;sourceID=14","4.9")</f>
        <v>4.9</v>
      </c>
      <c r="G2163" s="4" t="str">
        <f>HYPERLINK("http://141.218.60.56/~jnz1568/getInfo.php?workbook=12_04.xlsx&amp;sheet=U0&amp;row=2163&amp;col=7&amp;number=0.0246&amp;sourceID=14","0.0246")</f>
        <v>0.0246</v>
      </c>
    </row>
    <row r="2164" spans="1:7">
      <c r="A2164" s="3">
        <v>12</v>
      </c>
      <c r="B2164" s="3">
        <v>4</v>
      </c>
      <c r="C2164" s="3">
        <v>2</v>
      </c>
      <c r="D2164" s="3">
        <v>14</v>
      </c>
      <c r="E2164" s="3">
        <v>1</v>
      </c>
      <c r="F2164" s="4" t="str">
        <f>HYPERLINK("http://141.218.60.56/~jnz1568/getInfo.php?workbook=12_04.xlsx&amp;sheet=U0&amp;row=2164&amp;col=6&amp;number=3&amp;sourceID=14","3")</f>
        <v>3</v>
      </c>
      <c r="G2164" s="4" t="str">
        <f>HYPERLINK("http://141.218.60.56/~jnz1568/getInfo.php?workbook=12_04.xlsx&amp;sheet=U0&amp;row=2164&amp;col=7&amp;number=0.0771&amp;sourceID=14","0.0771")</f>
        <v>0.0771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HYPERLINK("http://141.218.60.56/~jnz1568/getInfo.php?workbook=12_04.xlsx&amp;sheet=U0&amp;row=2165&amp;col=6&amp;number=3.1&amp;sourceID=14","3.1")</f>
        <v>3.1</v>
      </c>
      <c r="G2165" s="4" t="str">
        <f>HYPERLINK("http://141.218.60.56/~jnz1568/getInfo.php?workbook=12_04.xlsx&amp;sheet=U0&amp;row=2165&amp;col=7&amp;number=0.077&amp;sourceID=14","0.077")</f>
        <v>0.077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HYPERLINK("http://141.218.60.56/~jnz1568/getInfo.php?workbook=12_04.xlsx&amp;sheet=U0&amp;row=2166&amp;col=6&amp;number=3.2&amp;sourceID=14","3.2")</f>
        <v>3.2</v>
      </c>
      <c r="G2166" s="4" t="str">
        <f>HYPERLINK("http://141.218.60.56/~jnz1568/getInfo.php?workbook=12_04.xlsx&amp;sheet=U0&amp;row=2166&amp;col=7&amp;number=0.0769&amp;sourceID=14","0.0769")</f>
        <v>0.0769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HYPERLINK("http://141.218.60.56/~jnz1568/getInfo.php?workbook=12_04.xlsx&amp;sheet=U0&amp;row=2167&amp;col=6&amp;number=3.3&amp;sourceID=14","3.3")</f>
        <v>3.3</v>
      </c>
      <c r="G2167" s="4" t="str">
        <f>HYPERLINK("http://141.218.60.56/~jnz1568/getInfo.php?workbook=12_04.xlsx&amp;sheet=U0&amp;row=2167&amp;col=7&amp;number=0.0768&amp;sourceID=14","0.0768")</f>
        <v>0.0768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HYPERLINK("http://141.218.60.56/~jnz1568/getInfo.php?workbook=12_04.xlsx&amp;sheet=U0&amp;row=2168&amp;col=6&amp;number=3.4&amp;sourceID=14","3.4")</f>
        <v>3.4</v>
      </c>
      <c r="G2168" s="4" t="str">
        <f>HYPERLINK("http://141.218.60.56/~jnz1568/getInfo.php?workbook=12_04.xlsx&amp;sheet=U0&amp;row=2168&amp;col=7&amp;number=0.0766&amp;sourceID=14","0.0766")</f>
        <v>0.0766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HYPERLINK("http://141.218.60.56/~jnz1568/getInfo.php?workbook=12_04.xlsx&amp;sheet=U0&amp;row=2169&amp;col=6&amp;number=3.5&amp;sourceID=14","3.5")</f>
        <v>3.5</v>
      </c>
      <c r="G2169" s="4" t="str">
        <f>HYPERLINK("http://141.218.60.56/~jnz1568/getInfo.php?workbook=12_04.xlsx&amp;sheet=U0&amp;row=2169&amp;col=7&amp;number=0.0763&amp;sourceID=14","0.0763")</f>
        <v>0.0763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HYPERLINK("http://141.218.60.56/~jnz1568/getInfo.php?workbook=12_04.xlsx&amp;sheet=U0&amp;row=2170&amp;col=6&amp;number=3.6&amp;sourceID=14","3.6")</f>
        <v>3.6</v>
      </c>
      <c r="G2170" s="4" t="str">
        <f>HYPERLINK("http://141.218.60.56/~jnz1568/getInfo.php?workbook=12_04.xlsx&amp;sheet=U0&amp;row=2170&amp;col=7&amp;number=0.076&amp;sourceID=14","0.076")</f>
        <v>0.076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HYPERLINK("http://141.218.60.56/~jnz1568/getInfo.php?workbook=12_04.xlsx&amp;sheet=U0&amp;row=2171&amp;col=6&amp;number=3.7&amp;sourceID=14","3.7")</f>
        <v>3.7</v>
      </c>
      <c r="G2171" s="4" t="str">
        <f>HYPERLINK("http://141.218.60.56/~jnz1568/getInfo.php?workbook=12_04.xlsx&amp;sheet=U0&amp;row=2171&amp;col=7&amp;number=0.0756&amp;sourceID=14","0.0756")</f>
        <v>0.0756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HYPERLINK("http://141.218.60.56/~jnz1568/getInfo.php?workbook=12_04.xlsx&amp;sheet=U0&amp;row=2172&amp;col=6&amp;number=3.8&amp;sourceID=14","3.8")</f>
        <v>3.8</v>
      </c>
      <c r="G2172" s="4" t="str">
        <f>HYPERLINK("http://141.218.60.56/~jnz1568/getInfo.php?workbook=12_04.xlsx&amp;sheet=U0&amp;row=2172&amp;col=7&amp;number=0.0752&amp;sourceID=14","0.0752")</f>
        <v>0.0752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HYPERLINK("http://141.218.60.56/~jnz1568/getInfo.php?workbook=12_04.xlsx&amp;sheet=U0&amp;row=2173&amp;col=6&amp;number=3.9&amp;sourceID=14","3.9")</f>
        <v>3.9</v>
      </c>
      <c r="G2173" s="4" t="str">
        <f>HYPERLINK("http://141.218.60.56/~jnz1568/getInfo.php?workbook=12_04.xlsx&amp;sheet=U0&amp;row=2173&amp;col=7&amp;number=0.0746&amp;sourceID=14","0.0746")</f>
        <v>0.0746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HYPERLINK("http://141.218.60.56/~jnz1568/getInfo.php?workbook=12_04.xlsx&amp;sheet=U0&amp;row=2174&amp;col=6&amp;number=4&amp;sourceID=14","4")</f>
        <v>4</v>
      </c>
      <c r="G2174" s="4" t="str">
        <f>HYPERLINK("http://141.218.60.56/~jnz1568/getInfo.php?workbook=12_04.xlsx&amp;sheet=U0&amp;row=2174&amp;col=7&amp;number=0.0738&amp;sourceID=14","0.0738")</f>
        <v>0.0738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HYPERLINK("http://141.218.60.56/~jnz1568/getInfo.php?workbook=12_04.xlsx&amp;sheet=U0&amp;row=2175&amp;col=6&amp;number=4.1&amp;sourceID=14","4.1")</f>
        <v>4.1</v>
      </c>
      <c r="G2175" s="4" t="str">
        <f>HYPERLINK("http://141.218.60.56/~jnz1568/getInfo.php?workbook=12_04.xlsx&amp;sheet=U0&amp;row=2175&amp;col=7&amp;number=0.0729&amp;sourceID=14","0.0729")</f>
        <v>0.0729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HYPERLINK("http://141.218.60.56/~jnz1568/getInfo.php?workbook=12_04.xlsx&amp;sheet=U0&amp;row=2176&amp;col=6&amp;number=4.2&amp;sourceID=14","4.2")</f>
        <v>4.2</v>
      </c>
      <c r="G2176" s="4" t="str">
        <f>HYPERLINK("http://141.218.60.56/~jnz1568/getInfo.php?workbook=12_04.xlsx&amp;sheet=U0&amp;row=2176&amp;col=7&amp;number=0.0718&amp;sourceID=14","0.0718")</f>
        <v>0.0718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HYPERLINK("http://141.218.60.56/~jnz1568/getInfo.php?workbook=12_04.xlsx&amp;sheet=U0&amp;row=2177&amp;col=6&amp;number=4.3&amp;sourceID=14","4.3")</f>
        <v>4.3</v>
      </c>
      <c r="G2177" s="4" t="str">
        <f>HYPERLINK("http://141.218.60.56/~jnz1568/getInfo.php?workbook=12_04.xlsx&amp;sheet=U0&amp;row=2177&amp;col=7&amp;number=0.0704&amp;sourceID=14","0.0704")</f>
        <v>0.0704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HYPERLINK("http://141.218.60.56/~jnz1568/getInfo.php?workbook=12_04.xlsx&amp;sheet=U0&amp;row=2178&amp;col=6&amp;number=4.4&amp;sourceID=14","4.4")</f>
        <v>4.4</v>
      </c>
      <c r="G2178" s="4" t="str">
        <f>HYPERLINK("http://141.218.60.56/~jnz1568/getInfo.php?workbook=12_04.xlsx&amp;sheet=U0&amp;row=2178&amp;col=7&amp;number=0.0687&amp;sourceID=14","0.0687")</f>
        <v>0.0687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HYPERLINK("http://141.218.60.56/~jnz1568/getInfo.php?workbook=12_04.xlsx&amp;sheet=U0&amp;row=2179&amp;col=6&amp;number=4.5&amp;sourceID=14","4.5")</f>
        <v>4.5</v>
      </c>
      <c r="G2179" s="4" t="str">
        <f>HYPERLINK("http://141.218.60.56/~jnz1568/getInfo.php?workbook=12_04.xlsx&amp;sheet=U0&amp;row=2179&amp;col=7&amp;number=0.0666&amp;sourceID=14","0.0666")</f>
        <v>0.0666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HYPERLINK("http://141.218.60.56/~jnz1568/getInfo.php?workbook=12_04.xlsx&amp;sheet=U0&amp;row=2180&amp;col=6&amp;number=4.6&amp;sourceID=14","4.6")</f>
        <v>4.6</v>
      </c>
      <c r="G2180" s="4" t="str">
        <f>HYPERLINK("http://141.218.60.56/~jnz1568/getInfo.php?workbook=12_04.xlsx&amp;sheet=U0&amp;row=2180&amp;col=7&amp;number=0.0642&amp;sourceID=14","0.0642")</f>
        <v>0.0642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HYPERLINK("http://141.218.60.56/~jnz1568/getInfo.php?workbook=12_04.xlsx&amp;sheet=U0&amp;row=2181&amp;col=6&amp;number=4.7&amp;sourceID=14","4.7")</f>
        <v>4.7</v>
      </c>
      <c r="G2181" s="4" t="str">
        <f>HYPERLINK("http://141.218.60.56/~jnz1568/getInfo.php?workbook=12_04.xlsx&amp;sheet=U0&amp;row=2181&amp;col=7&amp;number=0.0614&amp;sourceID=14","0.0614")</f>
        <v>0.0614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HYPERLINK("http://141.218.60.56/~jnz1568/getInfo.php?workbook=12_04.xlsx&amp;sheet=U0&amp;row=2182&amp;col=6&amp;number=4.8&amp;sourceID=14","4.8")</f>
        <v>4.8</v>
      </c>
      <c r="G2182" s="4" t="str">
        <f>HYPERLINK("http://141.218.60.56/~jnz1568/getInfo.php?workbook=12_04.xlsx&amp;sheet=U0&amp;row=2182&amp;col=7&amp;number=0.0583&amp;sourceID=14","0.0583")</f>
        <v>0.0583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HYPERLINK("http://141.218.60.56/~jnz1568/getInfo.php?workbook=12_04.xlsx&amp;sheet=U0&amp;row=2183&amp;col=6&amp;number=4.9&amp;sourceID=14","4.9")</f>
        <v>4.9</v>
      </c>
      <c r="G2183" s="4" t="str">
        <f>HYPERLINK("http://141.218.60.56/~jnz1568/getInfo.php?workbook=12_04.xlsx&amp;sheet=U0&amp;row=2183&amp;col=7&amp;number=0.0552&amp;sourceID=14","0.0552")</f>
        <v>0.0552</v>
      </c>
    </row>
    <row r="2184" spans="1:7">
      <c r="A2184" s="3">
        <v>12</v>
      </c>
      <c r="B2184" s="3">
        <v>4</v>
      </c>
      <c r="C2184" s="3">
        <v>2</v>
      </c>
      <c r="D2184" s="3">
        <v>15</v>
      </c>
      <c r="E2184" s="3">
        <v>1</v>
      </c>
      <c r="F2184" s="4" t="str">
        <f>HYPERLINK("http://141.218.60.56/~jnz1568/getInfo.php?workbook=12_04.xlsx&amp;sheet=U0&amp;row=2184&amp;col=6&amp;number=3&amp;sourceID=14","3")</f>
        <v>3</v>
      </c>
      <c r="G2184" s="4" t="str">
        <f>HYPERLINK("http://141.218.60.56/~jnz1568/getInfo.php?workbook=12_04.xlsx&amp;sheet=U0&amp;row=2184&amp;col=7&amp;number=0.0668&amp;sourceID=14","0.0668")</f>
        <v>0.0668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HYPERLINK("http://141.218.60.56/~jnz1568/getInfo.php?workbook=12_04.xlsx&amp;sheet=U0&amp;row=2185&amp;col=6&amp;number=3.1&amp;sourceID=14","3.1")</f>
        <v>3.1</v>
      </c>
      <c r="G2185" s="4" t="str">
        <f>HYPERLINK("http://141.218.60.56/~jnz1568/getInfo.php?workbook=12_04.xlsx&amp;sheet=U0&amp;row=2185&amp;col=7&amp;number=0.0667&amp;sourceID=14","0.0667")</f>
        <v>0.0667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HYPERLINK("http://141.218.60.56/~jnz1568/getInfo.php?workbook=12_04.xlsx&amp;sheet=U0&amp;row=2186&amp;col=6&amp;number=3.2&amp;sourceID=14","3.2")</f>
        <v>3.2</v>
      </c>
      <c r="G2186" s="4" t="str">
        <f>HYPERLINK("http://141.218.60.56/~jnz1568/getInfo.php?workbook=12_04.xlsx&amp;sheet=U0&amp;row=2186&amp;col=7&amp;number=0.0665&amp;sourceID=14","0.0665")</f>
        <v>0.0665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HYPERLINK("http://141.218.60.56/~jnz1568/getInfo.php?workbook=12_04.xlsx&amp;sheet=U0&amp;row=2187&amp;col=6&amp;number=3.3&amp;sourceID=14","3.3")</f>
        <v>3.3</v>
      </c>
      <c r="G2187" s="4" t="str">
        <f>HYPERLINK("http://141.218.60.56/~jnz1568/getInfo.php?workbook=12_04.xlsx&amp;sheet=U0&amp;row=2187&amp;col=7&amp;number=0.0663&amp;sourceID=14","0.0663")</f>
        <v>0.0663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HYPERLINK("http://141.218.60.56/~jnz1568/getInfo.php?workbook=12_04.xlsx&amp;sheet=U0&amp;row=2188&amp;col=6&amp;number=3.4&amp;sourceID=14","3.4")</f>
        <v>3.4</v>
      </c>
      <c r="G2188" s="4" t="str">
        <f>HYPERLINK("http://141.218.60.56/~jnz1568/getInfo.php?workbook=12_04.xlsx&amp;sheet=U0&amp;row=2188&amp;col=7&amp;number=0.066&amp;sourceID=14","0.066")</f>
        <v>0.066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HYPERLINK("http://141.218.60.56/~jnz1568/getInfo.php?workbook=12_04.xlsx&amp;sheet=U0&amp;row=2189&amp;col=6&amp;number=3.5&amp;sourceID=14","3.5")</f>
        <v>3.5</v>
      </c>
      <c r="G2189" s="4" t="str">
        <f>HYPERLINK("http://141.218.60.56/~jnz1568/getInfo.php?workbook=12_04.xlsx&amp;sheet=U0&amp;row=2189&amp;col=7&amp;number=0.0657&amp;sourceID=14","0.0657")</f>
        <v>0.0657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HYPERLINK("http://141.218.60.56/~jnz1568/getInfo.php?workbook=12_04.xlsx&amp;sheet=U0&amp;row=2190&amp;col=6&amp;number=3.6&amp;sourceID=14","3.6")</f>
        <v>3.6</v>
      </c>
      <c r="G2190" s="4" t="str">
        <f>HYPERLINK("http://141.218.60.56/~jnz1568/getInfo.php?workbook=12_04.xlsx&amp;sheet=U0&amp;row=2190&amp;col=7&amp;number=0.0652&amp;sourceID=14","0.0652")</f>
        <v>0.0652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HYPERLINK("http://141.218.60.56/~jnz1568/getInfo.php?workbook=12_04.xlsx&amp;sheet=U0&amp;row=2191&amp;col=6&amp;number=3.7&amp;sourceID=14","3.7")</f>
        <v>3.7</v>
      </c>
      <c r="G2191" s="4" t="str">
        <f>HYPERLINK("http://141.218.60.56/~jnz1568/getInfo.php?workbook=12_04.xlsx&amp;sheet=U0&amp;row=2191&amp;col=7&amp;number=0.0647&amp;sourceID=14","0.0647")</f>
        <v>0.0647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HYPERLINK("http://141.218.60.56/~jnz1568/getInfo.php?workbook=12_04.xlsx&amp;sheet=U0&amp;row=2192&amp;col=6&amp;number=3.8&amp;sourceID=14","3.8")</f>
        <v>3.8</v>
      </c>
      <c r="G2192" s="4" t="str">
        <f>HYPERLINK("http://141.218.60.56/~jnz1568/getInfo.php?workbook=12_04.xlsx&amp;sheet=U0&amp;row=2192&amp;col=7&amp;number=0.064&amp;sourceID=14","0.064")</f>
        <v>0.064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HYPERLINK("http://141.218.60.56/~jnz1568/getInfo.php?workbook=12_04.xlsx&amp;sheet=U0&amp;row=2193&amp;col=6&amp;number=3.9&amp;sourceID=14","3.9")</f>
        <v>3.9</v>
      </c>
      <c r="G2193" s="4" t="str">
        <f>HYPERLINK("http://141.218.60.56/~jnz1568/getInfo.php?workbook=12_04.xlsx&amp;sheet=U0&amp;row=2193&amp;col=7&amp;number=0.0632&amp;sourceID=14","0.0632")</f>
        <v>0.0632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HYPERLINK("http://141.218.60.56/~jnz1568/getInfo.php?workbook=12_04.xlsx&amp;sheet=U0&amp;row=2194&amp;col=6&amp;number=4&amp;sourceID=14","4")</f>
        <v>4</v>
      </c>
      <c r="G2194" s="4" t="str">
        <f>HYPERLINK("http://141.218.60.56/~jnz1568/getInfo.php?workbook=12_04.xlsx&amp;sheet=U0&amp;row=2194&amp;col=7&amp;number=0.0621&amp;sourceID=14","0.0621")</f>
        <v>0.0621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HYPERLINK("http://141.218.60.56/~jnz1568/getInfo.php?workbook=12_04.xlsx&amp;sheet=U0&amp;row=2195&amp;col=6&amp;number=4.1&amp;sourceID=14","4.1")</f>
        <v>4.1</v>
      </c>
      <c r="G2195" s="4" t="str">
        <f>HYPERLINK("http://141.218.60.56/~jnz1568/getInfo.php?workbook=12_04.xlsx&amp;sheet=U0&amp;row=2195&amp;col=7&amp;number=0.0608&amp;sourceID=14","0.0608")</f>
        <v>0.0608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HYPERLINK("http://141.218.60.56/~jnz1568/getInfo.php?workbook=12_04.xlsx&amp;sheet=U0&amp;row=2196&amp;col=6&amp;number=4.2&amp;sourceID=14","4.2")</f>
        <v>4.2</v>
      </c>
      <c r="G2196" s="4" t="str">
        <f>HYPERLINK("http://141.218.60.56/~jnz1568/getInfo.php?workbook=12_04.xlsx&amp;sheet=U0&amp;row=2196&amp;col=7&amp;number=0.0592&amp;sourceID=14","0.0592")</f>
        <v>0.0592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HYPERLINK("http://141.218.60.56/~jnz1568/getInfo.php?workbook=12_04.xlsx&amp;sheet=U0&amp;row=2197&amp;col=6&amp;number=4.3&amp;sourceID=14","4.3")</f>
        <v>4.3</v>
      </c>
      <c r="G2197" s="4" t="str">
        <f>HYPERLINK("http://141.218.60.56/~jnz1568/getInfo.php?workbook=12_04.xlsx&amp;sheet=U0&amp;row=2197&amp;col=7&amp;number=0.0572&amp;sourceID=14","0.0572")</f>
        <v>0.0572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HYPERLINK("http://141.218.60.56/~jnz1568/getInfo.php?workbook=12_04.xlsx&amp;sheet=U0&amp;row=2198&amp;col=6&amp;number=4.4&amp;sourceID=14","4.4")</f>
        <v>4.4</v>
      </c>
      <c r="G2198" s="4" t="str">
        <f>HYPERLINK("http://141.218.60.56/~jnz1568/getInfo.php?workbook=12_04.xlsx&amp;sheet=U0&amp;row=2198&amp;col=7&amp;number=0.0547&amp;sourceID=14","0.0547")</f>
        <v>0.0547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HYPERLINK("http://141.218.60.56/~jnz1568/getInfo.php?workbook=12_04.xlsx&amp;sheet=U0&amp;row=2199&amp;col=6&amp;number=4.5&amp;sourceID=14","4.5")</f>
        <v>4.5</v>
      </c>
      <c r="G2199" s="4" t="str">
        <f>HYPERLINK("http://141.218.60.56/~jnz1568/getInfo.php?workbook=12_04.xlsx&amp;sheet=U0&amp;row=2199&amp;col=7&amp;number=0.0517&amp;sourceID=14","0.0517")</f>
        <v>0.0517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HYPERLINK("http://141.218.60.56/~jnz1568/getInfo.php?workbook=12_04.xlsx&amp;sheet=U0&amp;row=2200&amp;col=6&amp;number=4.6&amp;sourceID=14","4.6")</f>
        <v>4.6</v>
      </c>
      <c r="G2200" s="4" t="str">
        <f>HYPERLINK("http://141.218.60.56/~jnz1568/getInfo.php?workbook=12_04.xlsx&amp;sheet=U0&amp;row=2200&amp;col=7&amp;number=0.0481&amp;sourceID=14","0.0481")</f>
        <v>0.0481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HYPERLINK("http://141.218.60.56/~jnz1568/getInfo.php?workbook=12_04.xlsx&amp;sheet=U0&amp;row=2201&amp;col=6&amp;number=4.7&amp;sourceID=14","4.7")</f>
        <v>4.7</v>
      </c>
      <c r="G2201" s="4" t="str">
        <f>HYPERLINK("http://141.218.60.56/~jnz1568/getInfo.php?workbook=12_04.xlsx&amp;sheet=U0&amp;row=2201&amp;col=7&amp;number=0.044&amp;sourceID=14","0.044")</f>
        <v>0.044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HYPERLINK("http://141.218.60.56/~jnz1568/getInfo.php?workbook=12_04.xlsx&amp;sheet=U0&amp;row=2202&amp;col=6&amp;number=4.8&amp;sourceID=14","4.8")</f>
        <v>4.8</v>
      </c>
      <c r="G2202" s="4" t="str">
        <f>HYPERLINK("http://141.218.60.56/~jnz1568/getInfo.php?workbook=12_04.xlsx&amp;sheet=U0&amp;row=2202&amp;col=7&amp;number=0.0392&amp;sourceID=14","0.0392")</f>
        <v>0.0392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HYPERLINK("http://141.218.60.56/~jnz1568/getInfo.php?workbook=12_04.xlsx&amp;sheet=U0&amp;row=2203&amp;col=6&amp;number=4.9&amp;sourceID=14","4.9")</f>
        <v>4.9</v>
      </c>
      <c r="G2203" s="4" t="str">
        <f>HYPERLINK("http://141.218.60.56/~jnz1568/getInfo.php?workbook=12_04.xlsx&amp;sheet=U0&amp;row=2203&amp;col=7&amp;number=0.0341&amp;sourceID=14","0.0341")</f>
        <v>0.0341</v>
      </c>
    </row>
    <row r="2204" spans="1:7">
      <c r="A2204" s="3">
        <v>12</v>
      </c>
      <c r="B2204" s="3">
        <v>4</v>
      </c>
      <c r="C2204" s="3">
        <v>2</v>
      </c>
      <c r="D2204" s="3">
        <v>16</v>
      </c>
      <c r="E2204" s="3">
        <v>1</v>
      </c>
      <c r="F2204" s="4" t="str">
        <f>HYPERLINK("http://141.218.60.56/~jnz1568/getInfo.php?workbook=12_04.xlsx&amp;sheet=U0&amp;row=2204&amp;col=6&amp;number=3&amp;sourceID=14","3")</f>
        <v>3</v>
      </c>
      <c r="G2204" s="4" t="str">
        <f>HYPERLINK("http://141.218.60.56/~jnz1568/getInfo.php?workbook=12_04.xlsx&amp;sheet=U0&amp;row=2204&amp;col=7&amp;number=0.0737&amp;sourceID=14","0.0737")</f>
        <v>0.0737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HYPERLINK("http://141.218.60.56/~jnz1568/getInfo.php?workbook=12_04.xlsx&amp;sheet=U0&amp;row=2205&amp;col=6&amp;number=3.1&amp;sourceID=14","3.1")</f>
        <v>3.1</v>
      </c>
      <c r="G2205" s="4" t="str">
        <f>HYPERLINK("http://141.218.60.56/~jnz1568/getInfo.php?workbook=12_04.xlsx&amp;sheet=U0&amp;row=2205&amp;col=7&amp;number=0.0736&amp;sourceID=14","0.0736")</f>
        <v>0.0736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HYPERLINK("http://141.218.60.56/~jnz1568/getInfo.php?workbook=12_04.xlsx&amp;sheet=U0&amp;row=2206&amp;col=6&amp;number=3.2&amp;sourceID=14","3.2")</f>
        <v>3.2</v>
      </c>
      <c r="G2206" s="4" t="str">
        <f>HYPERLINK("http://141.218.60.56/~jnz1568/getInfo.php?workbook=12_04.xlsx&amp;sheet=U0&amp;row=2206&amp;col=7&amp;number=0.0734&amp;sourceID=14","0.0734")</f>
        <v>0.0734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HYPERLINK("http://141.218.60.56/~jnz1568/getInfo.php?workbook=12_04.xlsx&amp;sheet=U0&amp;row=2207&amp;col=6&amp;number=3.3&amp;sourceID=14","3.3")</f>
        <v>3.3</v>
      </c>
      <c r="G2207" s="4" t="str">
        <f>HYPERLINK("http://141.218.60.56/~jnz1568/getInfo.php?workbook=12_04.xlsx&amp;sheet=U0&amp;row=2207&amp;col=7&amp;number=0.0732&amp;sourceID=14","0.0732")</f>
        <v>0.0732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HYPERLINK("http://141.218.60.56/~jnz1568/getInfo.php?workbook=12_04.xlsx&amp;sheet=U0&amp;row=2208&amp;col=6&amp;number=3.4&amp;sourceID=14","3.4")</f>
        <v>3.4</v>
      </c>
      <c r="G2208" s="4" t="str">
        <f>HYPERLINK("http://141.218.60.56/~jnz1568/getInfo.php?workbook=12_04.xlsx&amp;sheet=U0&amp;row=2208&amp;col=7&amp;number=0.0729&amp;sourceID=14","0.0729")</f>
        <v>0.0729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HYPERLINK("http://141.218.60.56/~jnz1568/getInfo.php?workbook=12_04.xlsx&amp;sheet=U0&amp;row=2209&amp;col=6&amp;number=3.5&amp;sourceID=14","3.5")</f>
        <v>3.5</v>
      </c>
      <c r="G2209" s="4" t="str">
        <f>HYPERLINK("http://141.218.60.56/~jnz1568/getInfo.php?workbook=12_04.xlsx&amp;sheet=U0&amp;row=2209&amp;col=7&amp;number=0.0725&amp;sourceID=14","0.0725")</f>
        <v>0.0725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HYPERLINK("http://141.218.60.56/~jnz1568/getInfo.php?workbook=12_04.xlsx&amp;sheet=U0&amp;row=2210&amp;col=6&amp;number=3.6&amp;sourceID=14","3.6")</f>
        <v>3.6</v>
      </c>
      <c r="G2210" s="4" t="str">
        <f>HYPERLINK("http://141.218.60.56/~jnz1568/getInfo.php?workbook=12_04.xlsx&amp;sheet=U0&amp;row=2210&amp;col=7&amp;number=0.0721&amp;sourceID=14","0.0721")</f>
        <v>0.0721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HYPERLINK("http://141.218.60.56/~jnz1568/getInfo.php?workbook=12_04.xlsx&amp;sheet=U0&amp;row=2211&amp;col=6&amp;number=3.7&amp;sourceID=14","3.7")</f>
        <v>3.7</v>
      </c>
      <c r="G2211" s="4" t="str">
        <f>HYPERLINK("http://141.218.60.56/~jnz1568/getInfo.php?workbook=12_04.xlsx&amp;sheet=U0&amp;row=2211&amp;col=7&amp;number=0.0715&amp;sourceID=14","0.0715")</f>
        <v>0.0715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HYPERLINK("http://141.218.60.56/~jnz1568/getInfo.php?workbook=12_04.xlsx&amp;sheet=U0&amp;row=2212&amp;col=6&amp;number=3.8&amp;sourceID=14","3.8")</f>
        <v>3.8</v>
      </c>
      <c r="G2212" s="4" t="str">
        <f>HYPERLINK("http://141.218.60.56/~jnz1568/getInfo.php?workbook=12_04.xlsx&amp;sheet=U0&amp;row=2212&amp;col=7&amp;number=0.0708&amp;sourceID=14","0.0708")</f>
        <v>0.0708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HYPERLINK("http://141.218.60.56/~jnz1568/getInfo.php?workbook=12_04.xlsx&amp;sheet=U0&amp;row=2213&amp;col=6&amp;number=3.9&amp;sourceID=14","3.9")</f>
        <v>3.9</v>
      </c>
      <c r="G2213" s="4" t="str">
        <f>HYPERLINK("http://141.218.60.56/~jnz1568/getInfo.php?workbook=12_04.xlsx&amp;sheet=U0&amp;row=2213&amp;col=7&amp;number=0.07&amp;sourceID=14","0.07")</f>
        <v>0.07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HYPERLINK("http://141.218.60.56/~jnz1568/getInfo.php?workbook=12_04.xlsx&amp;sheet=U0&amp;row=2214&amp;col=6&amp;number=4&amp;sourceID=14","4")</f>
        <v>4</v>
      </c>
      <c r="G2214" s="4" t="str">
        <f>HYPERLINK("http://141.218.60.56/~jnz1568/getInfo.php?workbook=12_04.xlsx&amp;sheet=U0&amp;row=2214&amp;col=7&amp;number=0.0689&amp;sourceID=14","0.0689")</f>
        <v>0.0689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HYPERLINK("http://141.218.60.56/~jnz1568/getInfo.php?workbook=12_04.xlsx&amp;sheet=U0&amp;row=2215&amp;col=6&amp;number=4.1&amp;sourceID=14","4.1")</f>
        <v>4.1</v>
      </c>
      <c r="G2215" s="4" t="str">
        <f>HYPERLINK("http://141.218.60.56/~jnz1568/getInfo.php?workbook=12_04.xlsx&amp;sheet=U0&amp;row=2215&amp;col=7&amp;number=0.0675&amp;sourceID=14","0.0675")</f>
        <v>0.0675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HYPERLINK("http://141.218.60.56/~jnz1568/getInfo.php?workbook=12_04.xlsx&amp;sheet=U0&amp;row=2216&amp;col=6&amp;number=4.2&amp;sourceID=14","4.2")</f>
        <v>4.2</v>
      </c>
      <c r="G2216" s="4" t="str">
        <f>HYPERLINK("http://141.218.60.56/~jnz1568/getInfo.php?workbook=12_04.xlsx&amp;sheet=U0&amp;row=2216&amp;col=7&amp;number=0.0658&amp;sourceID=14","0.0658")</f>
        <v>0.0658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HYPERLINK("http://141.218.60.56/~jnz1568/getInfo.php?workbook=12_04.xlsx&amp;sheet=U0&amp;row=2217&amp;col=6&amp;number=4.3&amp;sourceID=14","4.3")</f>
        <v>4.3</v>
      </c>
      <c r="G2217" s="4" t="str">
        <f>HYPERLINK("http://141.218.60.56/~jnz1568/getInfo.php?workbook=12_04.xlsx&amp;sheet=U0&amp;row=2217&amp;col=7&amp;number=0.0637&amp;sourceID=14","0.0637")</f>
        <v>0.0637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HYPERLINK("http://141.218.60.56/~jnz1568/getInfo.php?workbook=12_04.xlsx&amp;sheet=U0&amp;row=2218&amp;col=6&amp;number=4.4&amp;sourceID=14","4.4")</f>
        <v>4.4</v>
      </c>
      <c r="G2218" s="4" t="str">
        <f>HYPERLINK("http://141.218.60.56/~jnz1568/getInfo.php?workbook=12_04.xlsx&amp;sheet=U0&amp;row=2218&amp;col=7&amp;number=0.0612&amp;sourceID=14","0.0612")</f>
        <v>0.0612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HYPERLINK("http://141.218.60.56/~jnz1568/getInfo.php?workbook=12_04.xlsx&amp;sheet=U0&amp;row=2219&amp;col=6&amp;number=4.5&amp;sourceID=14","4.5")</f>
        <v>4.5</v>
      </c>
      <c r="G2219" s="4" t="str">
        <f>HYPERLINK("http://141.218.60.56/~jnz1568/getInfo.php?workbook=12_04.xlsx&amp;sheet=U0&amp;row=2219&amp;col=7&amp;number=0.058&amp;sourceID=14","0.058")</f>
        <v>0.058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HYPERLINK("http://141.218.60.56/~jnz1568/getInfo.php?workbook=12_04.xlsx&amp;sheet=U0&amp;row=2220&amp;col=6&amp;number=4.6&amp;sourceID=14","4.6")</f>
        <v>4.6</v>
      </c>
      <c r="G2220" s="4" t="str">
        <f>HYPERLINK("http://141.218.60.56/~jnz1568/getInfo.php?workbook=12_04.xlsx&amp;sheet=U0&amp;row=2220&amp;col=7&amp;number=0.0542&amp;sourceID=14","0.0542")</f>
        <v>0.0542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HYPERLINK("http://141.218.60.56/~jnz1568/getInfo.php?workbook=12_04.xlsx&amp;sheet=U0&amp;row=2221&amp;col=6&amp;number=4.7&amp;sourceID=14","4.7")</f>
        <v>4.7</v>
      </c>
      <c r="G2221" s="4" t="str">
        <f>HYPERLINK("http://141.218.60.56/~jnz1568/getInfo.php?workbook=12_04.xlsx&amp;sheet=U0&amp;row=2221&amp;col=7&amp;number=0.0498&amp;sourceID=14","0.0498")</f>
        <v>0.0498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HYPERLINK("http://141.218.60.56/~jnz1568/getInfo.php?workbook=12_04.xlsx&amp;sheet=U0&amp;row=2222&amp;col=6&amp;number=4.8&amp;sourceID=14","4.8")</f>
        <v>4.8</v>
      </c>
      <c r="G2222" s="4" t="str">
        <f>HYPERLINK("http://141.218.60.56/~jnz1568/getInfo.php?workbook=12_04.xlsx&amp;sheet=U0&amp;row=2222&amp;col=7&amp;number=0.0447&amp;sourceID=14","0.0447")</f>
        <v>0.0447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HYPERLINK("http://141.218.60.56/~jnz1568/getInfo.php?workbook=12_04.xlsx&amp;sheet=U0&amp;row=2223&amp;col=6&amp;number=4.9&amp;sourceID=14","4.9")</f>
        <v>4.9</v>
      </c>
      <c r="G2223" s="4" t="str">
        <f>HYPERLINK("http://141.218.60.56/~jnz1568/getInfo.php?workbook=12_04.xlsx&amp;sheet=U0&amp;row=2223&amp;col=7&amp;number=0.0392&amp;sourceID=14","0.0392")</f>
        <v>0.0392</v>
      </c>
    </row>
    <row r="2224" spans="1:7">
      <c r="A2224" s="3">
        <v>12</v>
      </c>
      <c r="B2224" s="3">
        <v>4</v>
      </c>
      <c r="C2224" s="3">
        <v>2</v>
      </c>
      <c r="D2224" s="3">
        <v>17</v>
      </c>
      <c r="E2224" s="3">
        <v>1</v>
      </c>
      <c r="F2224" s="4" t="str">
        <f>HYPERLINK("http://141.218.60.56/~jnz1568/getInfo.php?workbook=12_04.xlsx&amp;sheet=U0&amp;row=2224&amp;col=6&amp;number=3&amp;sourceID=14","3")</f>
        <v>3</v>
      </c>
      <c r="G2224" s="4" t="str">
        <f>HYPERLINK("http://141.218.60.56/~jnz1568/getInfo.php?workbook=12_04.xlsx&amp;sheet=U0&amp;row=2224&amp;col=7&amp;number=0.135&amp;sourceID=14","0.135")</f>
        <v>0.135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HYPERLINK("http://141.218.60.56/~jnz1568/getInfo.php?workbook=12_04.xlsx&amp;sheet=U0&amp;row=2225&amp;col=6&amp;number=3.1&amp;sourceID=14","3.1")</f>
        <v>3.1</v>
      </c>
      <c r="G2225" s="4" t="str">
        <f>HYPERLINK("http://141.218.60.56/~jnz1568/getInfo.php?workbook=12_04.xlsx&amp;sheet=U0&amp;row=2225&amp;col=7&amp;number=0.135&amp;sourceID=14","0.135")</f>
        <v>0.135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HYPERLINK("http://141.218.60.56/~jnz1568/getInfo.php?workbook=12_04.xlsx&amp;sheet=U0&amp;row=2226&amp;col=6&amp;number=3.2&amp;sourceID=14","3.2")</f>
        <v>3.2</v>
      </c>
      <c r="G2226" s="4" t="str">
        <f>HYPERLINK("http://141.218.60.56/~jnz1568/getInfo.php?workbook=12_04.xlsx&amp;sheet=U0&amp;row=2226&amp;col=7&amp;number=0.135&amp;sourceID=14","0.135")</f>
        <v>0.135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HYPERLINK("http://141.218.60.56/~jnz1568/getInfo.php?workbook=12_04.xlsx&amp;sheet=U0&amp;row=2227&amp;col=6&amp;number=3.3&amp;sourceID=14","3.3")</f>
        <v>3.3</v>
      </c>
      <c r="G2227" s="4" t="str">
        <f>HYPERLINK("http://141.218.60.56/~jnz1568/getInfo.php?workbook=12_04.xlsx&amp;sheet=U0&amp;row=2227&amp;col=7&amp;number=0.135&amp;sourceID=14","0.135")</f>
        <v>0.135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HYPERLINK("http://141.218.60.56/~jnz1568/getInfo.php?workbook=12_04.xlsx&amp;sheet=U0&amp;row=2228&amp;col=6&amp;number=3.4&amp;sourceID=14","3.4")</f>
        <v>3.4</v>
      </c>
      <c r="G2228" s="4" t="str">
        <f>HYPERLINK("http://141.218.60.56/~jnz1568/getInfo.php?workbook=12_04.xlsx&amp;sheet=U0&amp;row=2228&amp;col=7&amp;number=0.135&amp;sourceID=14","0.135")</f>
        <v>0.135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HYPERLINK("http://141.218.60.56/~jnz1568/getInfo.php?workbook=12_04.xlsx&amp;sheet=U0&amp;row=2229&amp;col=6&amp;number=3.5&amp;sourceID=14","3.5")</f>
        <v>3.5</v>
      </c>
      <c r="G2229" s="4" t="str">
        <f>HYPERLINK("http://141.218.60.56/~jnz1568/getInfo.php?workbook=12_04.xlsx&amp;sheet=U0&amp;row=2229&amp;col=7&amp;number=0.135&amp;sourceID=14","0.135")</f>
        <v>0.135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HYPERLINK("http://141.218.60.56/~jnz1568/getInfo.php?workbook=12_04.xlsx&amp;sheet=U0&amp;row=2230&amp;col=6&amp;number=3.6&amp;sourceID=14","3.6")</f>
        <v>3.6</v>
      </c>
      <c r="G2230" s="4" t="str">
        <f>HYPERLINK("http://141.218.60.56/~jnz1568/getInfo.php?workbook=12_04.xlsx&amp;sheet=U0&amp;row=2230&amp;col=7&amp;number=0.134&amp;sourceID=14","0.134")</f>
        <v>0.134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HYPERLINK("http://141.218.60.56/~jnz1568/getInfo.php?workbook=12_04.xlsx&amp;sheet=U0&amp;row=2231&amp;col=6&amp;number=3.7&amp;sourceID=14","3.7")</f>
        <v>3.7</v>
      </c>
      <c r="G2231" s="4" t="str">
        <f>HYPERLINK("http://141.218.60.56/~jnz1568/getInfo.php?workbook=12_04.xlsx&amp;sheet=U0&amp;row=2231&amp;col=7&amp;number=0.134&amp;sourceID=14","0.134")</f>
        <v>0.134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HYPERLINK("http://141.218.60.56/~jnz1568/getInfo.php?workbook=12_04.xlsx&amp;sheet=U0&amp;row=2232&amp;col=6&amp;number=3.8&amp;sourceID=14","3.8")</f>
        <v>3.8</v>
      </c>
      <c r="G2232" s="4" t="str">
        <f>HYPERLINK("http://141.218.60.56/~jnz1568/getInfo.php?workbook=12_04.xlsx&amp;sheet=U0&amp;row=2232&amp;col=7&amp;number=0.134&amp;sourceID=14","0.134")</f>
        <v>0.134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HYPERLINK("http://141.218.60.56/~jnz1568/getInfo.php?workbook=12_04.xlsx&amp;sheet=U0&amp;row=2233&amp;col=6&amp;number=3.9&amp;sourceID=14","3.9")</f>
        <v>3.9</v>
      </c>
      <c r="G2233" s="4" t="str">
        <f>HYPERLINK("http://141.218.60.56/~jnz1568/getInfo.php?workbook=12_04.xlsx&amp;sheet=U0&amp;row=2233&amp;col=7&amp;number=0.134&amp;sourceID=14","0.134")</f>
        <v>0.134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HYPERLINK("http://141.218.60.56/~jnz1568/getInfo.php?workbook=12_04.xlsx&amp;sheet=U0&amp;row=2234&amp;col=6&amp;number=4&amp;sourceID=14","4")</f>
        <v>4</v>
      </c>
      <c r="G2234" s="4" t="str">
        <f>HYPERLINK("http://141.218.60.56/~jnz1568/getInfo.php?workbook=12_04.xlsx&amp;sheet=U0&amp;row=2234&amp;col=7&amp;number=0.134&amp;sourceID=14","0.134")</f>
        <v>0.134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HYPERLINK("http://141.218.60.56/~jnz1568/getInfo.php?workbook=12_04.xlsx&amp;sheet=U0&amp;row=2235&amp;col=6&amp;number=4.1&amp;sourceID=14","4.1")</f>
        <v>4.1</v>
      </c>
      <c r="G2235" s="4" t="str">
        <f>HYPERLINK("http://141.218.60.56/~jnz1568/getInfo.php?workbook=12_04.xlsx&amp;sheet=U0&amp;row=2235&amp;col=7&amp;number=0.133&amp;sourceID=14","0.133")</f>
        <v>0.133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HYPERLINK("http://141.218.60.56/~jnz1568/getInfo.php?workbook=12_04.xlsx&amp;sheet=U0&amp;row=2236&amp;col=6&amp;number=4.2&amp;sourceID=14","4.2")</f>
        <v>4.2</v>
      </c>
      <c r="G2236" s="4" t="str">
        <f>HYPERLINK("http://141.218.60.56/~jnz1568/getInfo.php?workbook=12_04.xlsx&amp;sheet=U0&amp;row=2236&amp;col=7&amp;number=0.133&amp;sourceID=14","0.133")</f>
        <v>0.133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HYPERLINK("http://141.218.60.56/~jnz1568/getInfo.php?workbook=12_04.xlsx&amp;sheet=U0&amp;row=2237&amp;col=6&amp;number=4.3&amp;sourceID=14","4.3")</f>
        <v>4.3</v>
      </c>
      <c r="G2237" s="4" t="str">
        <f>HYPERLINK("http://141.218.60.56/~jnz1568/getInfo.php?workbook=12_04.xlsx&amp;sheet=U0&amp;row=2237&amp;col=7&amp;number=0.132&amp;sourceID=14","0.132")</f>
        <v>0.132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HYPERLINK("http://141.218.60.56/~jnz1568/getInfo.php?workbook=12_04.xlsx&amp;sheet=U0&amp;row=2238&amp;col=6&amp;number=4.4&amp;sourceID=14","4.4")</f>
        <v>4.4</v>
      </c>
      <c r="G2238" s="4" t="str">
        <f>HYPERLINK("http://141.218.60.56/~jnz1568/getInfo.php?workbook=12_04.xlsx&amp;sheet=U0&amp;row=2238&amp;col=7&amp;number=0.132&amp;sourceID=14","0.132")</f>
        <v>0.132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HYPERLINK("http://141.218.60.56/~jnz1568/getInfo.php?workbook=12_04.xlsx&amp;sheet=U0&amp;row=2239&amp;col=6&amp;number=4.5&amp;sourceID=14","4.5")</f>
        <v>4.5</v>
      </c>
      <c r="G2239" s="4" t="str">
        <f>HYPERLINK("http://141.218.60.56/~jnz1568/getInfo.php?workbook=12_04.xlsx&amp;sheet=U0&amp;row=2239&amp;col=7&amp;number=0.131&amp;sourceID=14","0.131")</f>
        <v>0.131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HYPERLINK("http://141.218.60.56/~jnz1568/getInfo.php?workbook=12_04.xlsx&amp;sheet=U0&amp;row=2240&amp;col=6&amp;number=4.6&amp;sourceID=14","4.6")</f>
        <v>4.6</v>
      </c>
      <c r="G2240" s="4" t="str">
        <f>HYPERLINK("http://141.218.60.56/~jnz1568/getInfo.php?workbook=12_04.xlsx&amp;sheet=U0&amp;row=2240&amp;col=7&amp;number=0.13&amp;sourceID=14","0.13")</f>
        <v>0.13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HYPERLINK("http://141.218.60.56/~jnz1568/getInfo.php?workbook=12_04.xlsx&amp;sheet=U0&amp;row=2241&amp;col=6&amp;number=4.7&amp;sourceID=14","4.7")</f>
        <v>4.7</v>
      </c>
      <c r="G2241" s="4" t="str">
        <f>HYPERLINK("http://141.218.60.56/~jnz1568/getInfo.php?workbook=12_04.xlsx&amp;sheet=U0&amp;row=2241&amp;col=7&amp;number=0.129&amp;sourceID=14","0.129")</f>
        <v>0.129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HYPERLINK("http://141.218.60.56/~jnz1568/getInfo.php?workbook=12_04.xlsx&amp;sheet=U0&amp;row=2242&amp;col=6&amp;number=4.8&amp;sourceID=14","4.8")</f>
        <v>4.8</v>
      </c>
      <c r="G2242" s="4" t="str">
        <f>HYPERLINK("http://141.218.60.56/~jnz1568/getInfo.php?workbook=12_04.xlsx&amp;sheet=U0&amp;row=2242&amp;col=7&amp;number=0.127&amp;sourceID=14","0.127")</f>
        <v>0.127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HYPERLINK("http://141.218.60.56/~jnz1568/getInfo.php?workbook=12_04.xlsx&amp;sheet=U0&amp;row=2243&amp;col=6&amp;number=4.9&amp;sourceID=14","4.9")</f>
        <v>4.9</v>
      </c>
      <c r="G2243" s="4" t="str">
        <f>HYPERLINK("http://141.218.60.56/~jnz1568/getInfo.php?workbook=12_04.xlsx&amp;sheet=U0&amp;row=2243&amp;col=7&amp;number=0.126&amp;sourceID=14","0.126")</f>
        <v>0.126</v>
      </c>
    </row>
    <row r="2244" spans="1:7">
      <c r="A2244" s="3">
        <v>12</v>
      </c>
      <c r="B2244" s="3">
        <v>4</v>
      </c>
      <c r="C2244" s="3">
        <v>2</v>
      </c>
      <c r="D2244" s="3">
        <v>18</v>
      </c>
      <c r="E2244" s="3">
        <v>1</v>
      </c>
      <c r="F2244" s="4" t="str">
        <f>HYPERLINK("http://141.218.60.56/~jnz1568/getInfo.php?workbook=12_04.xlsx&amp;sheet=U0&amp;row=2244&amp;col=6&amp;number=3&amp;sourceID=14","3")</f>
        <v>3</v>
      </c>
      <c r="G2244" s="4" t="str">
        <f>HYPERLINK("http://141.218.60.56/~jnz1568/getInfo.php?workbook=12_04.xlsx&amp;sheet=U0&amp;row=2244&amp;col=7&amp;number=0.0354&amp;sourceID=14","0.0354")</f>
        <v>0.0354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HYPERLINK("http://141.218.60.56/~jnz1568/getInfo.php?workbook=12_04.xlsx&amp;sheet=U0&amp;row=2245&amp;col=6&amp;number=3.1&amp;sourceID=14","3.1")</f>
        <v>3.1</v>
      </c>
      <c r="G2245" s="4" t="str">
        <f>HYPERLINK("http://141.218.60.56/~jnz1568/getInfo.php?workbook=12_04.xlsx&amp;sheet=U0&amp;row=2245&amp;col=7&amp;number=0.0354&amp;sourceID=14","0.0354")</f>
        <v>0.0354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HYPERLINK("http://141.218.60.56/~jnz1568/getInfo.php?workbook=12_04.xlsx&amp;sheet=U0&amp;row=2246&amp;col=6&amp;number=3.2&amp;sourceID=14","3.2")</f>
        <v>3.2</v>
      </c>
      <c r="G2246" s="4" t="str">
        <f>HYPERLINK("http://141.218.60.56/~jnz1568/getInfo.php?workbook=12_04.xlsx&amp;sheet=U0&amp;row=2246&amp;col=7&amp;number=0.0354&amp;sourceID=14","0.0354")</f>
        <v>0.0354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HYPERLINK("http://141.218.60.56/~jnz1568/getInfo.php?workbook=12_04.xlsx&amp;sheet=U0&amp;row=2247&amp;col=6&amp;number=3.3&amp;sourceID=14","3.3")</f>
        <v>3.3</v>
      </c>
      <c r="G2247" s="4" t="str">
        <f>HYPERLINK("http://141.218.60.56/~jnz1568/getInfo.php?workbook=12_04.xlsx&amp;sheet=U0&amp;row=2247&amp;col=7&amp;number=0.0353&amp;sourceID=14","0.0353")</f>
        <v>0.0353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HYPERLINK("http://141.218.60.56/~jnz1568/getInfo.php?workbook=12_04.xlsx&amp;sheet=U0&amp;row=2248&amp;col=6&amp;number=3.4&amp;sourceID=14","3.4")</f>
        <v>3.4</v>
      </c>
      <c r="G2248" s="4" t="str">
        <f>HYPERLINK("http://141.218.60.56/~jnz1568/getInfo.php?workbook=12_04.xlsx&amp;sheet=U0&amp;row=2248&amp;col=7&amp;number=0.0353&amp;sourceID=14","0.0353")</f>
        <v>0.0353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HYPERLINK("http://141.218.60.56/~jnz1568/getInfo.php?workbook=12_04.xlsx&amp;sheet=U0&amp;row=2249&amp;col=6&amp;number=3.5&amp;sourceID=14","3.5")</f>
        <v>3.5</v>
      </c>
      <c r="G2249" s="4" t="str">
        <f>HYPERLINK("http://141.218.60.56/~jnz1568/getInfo.php?workbook=12_04.xlsx&amp;sheet=U0&amp;row=2249&amp;col=7&amp;number=0.0352&amp;sourceID=14","0.0352")</f>
        <v>0.0352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HYPERLINK("http://141.218.60.56/~jnz1568/getInfo.php?workbook=12_04.xlsx&amp;sheet=U0&amp;row=2250&amp;col=6&amp;number=3.6&amp;sourceID=14","3.6")</f>
        <v>3.6</v>
      </c>
      <c r="G2250" s="4" t="str">
        <f>HYPERLINK("http://141.218.60.56/~jnz1568/getInfo.php?workbook=12_04.xlsx&amp;sheet=U0&amp;row=2250&amp;col=7&amp;number=0.0351&amp;sourceID=14","0.0351")</f>
        <v>0.0351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HYPERLINK("http://141.218.60.56/~jnz1568/getInfo.php?workbook=12_04.xlsx&amp;sheet=U0&amp;row=2251&amp;col=6&amp;number=3.7&amp;sourceID=14","3.7")</f>
        <v>3.7</v>
      </c>
      <c r="G2251" s="4" t="str">
        <f>HYPERLINK("http://141.218.60.56/~jnz1568/getInfo.php?workbook=12_04.xlsx&amp;sheet=U0&amp;row=2251&amp;col=7&amp;number=0.035&amp;sourceID=14","0.035")</f>
        <v>0.035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HYPERLINK("http://141.218.60.56/~jnz1568/getInfo.php?workbook=12_04.xlsx&amp;sheet=U0&amp;row=2252&amp;col=6&amp;number=3.8&amp;sourceID=14","3.8")</f>
        <v>3.8</v>
      </c>
      <c r="G2252" s="4" t="str">
        <f>HYPERLINK("http://141.218.60.56/~jnz1568/getInfo.php?workbook=12_04.xlsx&amp;sheet=U0&amp;row=2252&amp;col=7&amp;number=0.0349&amp;sourceID=14","0.0349")</f>
        <v>0.0349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HYPERLINK("http://141.218.60.56/~jnz1568/getInfo.php?workbook=12_04.xlsx&amp;sheet=U0&amp;row=2253&amp;col=6&amp;number=3.9&amp;sourceID=14","3.9")</f>
        <v>3.9</v>
      </c>
      <c r="G2253" s="4" t="str">
        <f>HYPERLINK("http://141.218.60.56/~jnz1568/getInfo.php?workbook=12_04.xlsx&amp;sheet=U0&amp;row=2253&amp;col=7&amp;number=0.0348&amp;sourceID=14","0.0348")</f>
        <v>0.0348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HYPERLINK("http://141.218.60.56/~jnz1568/getInfo.php?workbook=12_04.xlsx&amp;sheet=U0&amp;row=2254&amp;col=6&amp;number=4&amp;sourceID=14","4")</f>
        <v>4</v>
      </c>
      <c r="G2254" s="4" t="str">
        <f>HYPERLINK("http://141.218.60.56/~jnz1568/getInfo.php?workbook=12_04.xlsx&amp;sheet=U0&amp;row=2254&amp;col=7&amp;number=0.0346&amp;sourceID=14","0.0346")</f>
        <v>0.0346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HYPERLINK("http://141.218.60.56/~jnz1568/getInfo.php?workbook=12_04.xlsx&amp;sheet=U0&amp;row=2255&amp;col=6&amp;number=4.1&amp;sourceID=14","4.1")</f>
        <v>4.1</v>
      </c>
      <c r="G2255" s="4" t="str">
        <f>HYPERLINK("http://141.218.60.56/~jnz1568/getInfo.php?workbook=12_04.xlsx&amp;sheet=U0&amp;row=2255&amp;col=7&amp;number=0.0343&amp;sourceID=14","0.0343")</f>
        <v>0.0343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HYPERLINK("http://141.218.60.56/~jnz1568/getInfo.php?workbook=12_04.xlsx&amp;sheet=U0&amp;row=2256&amp;col=6&amp;number=4.2&amp;sourceID=14","4.2")</f>
        <v>4.2</v>
      </c>
      <c r="G2256" s="4" t="str">
        <f>HYPERLINK("http://141.218.60.56/~jnz1568/getInfo.php?workbook=12_04.xlsx&amp;sheet=U0&amp;row=2256&amp;col=7&amp;number=0.034&amp;sourceID=14","0.034")</f>
        <v>0.034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HYPERLINK("http://141.218.60.56/~jnz1568/getInfo.php?workbook=12_04.xlsx&amp;sheet=U0&amp;row=2257&amp;col=6&amp;number=4.3&amp;sourceID=14","4.3")</f>
        <v>4.3</v>
      </c>
      <c r="G2257" s="4" t="str">
        <f>HYPERLINK("http://141.218.60.56/~jnz1568/getInfo.php?workbook=12_04.xlsx&amp;sheet=U0&amp;row=2257&amp;col=7&amp;number=0.0336&amp;sourceID=14","0.0336")</f>
        <v>0.0336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HYPERLINK("http://141.218.60.56/~jnz1568/getInfo.php?workbook=12_04.xlsx&amp;sheet=U0&amp;row=2258&amp;col=6&amp;number=4.4&amp;sourceID=14","4.4")</f>
        <v>4.4</v>
      </c>
      <c r="G2258" s="4" t="str">
        <f>HYPERLINK("http://141.218.60.56/~jnz1568/getInfo.php?workbook=12_04.xlsx&amp;sheet=U0&amp;row=2258&amp;col=7&amp;number=0.0331&amp;sourceID=14","0.0331")</f>
        <v>0.0331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HYPERLINK("http://141.218.60.56/~jnz1568/getInfo.php?workbook=12_04.xlsx&amp;sheet=U0&amp;row=2259&amp;col=6&amp;number=4.5&amp;sourceID=14","4.5")</f>
        <v>4.5</v>
      </c>
      <c r="G2259" s="4" t="str">
        <f>HYPERLINK("http://141.218.60.56/~jnz1568/getInfo.php?workbook=12_04.xlsx&amp;sheet=U0&amp;row=2259&amp;col=7&amp;number=0.0325&amp;sourceID=14","0.0325")</f>
        <v>0.0325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HYPERLINK("http://141.218.60.56/~jnz1568/getInfo.php?workbook=12_04.xlsx&amp;sheet=U0&amp;row=2260&amp;col=6&amp;number=4.6&amp;sourceID=14","4.6")</f>
        <v>4.6</v>
      </c>
      <c r="G2260" s="4" t="str">
        <f>HYPERLINK("http://141.218.60.56/~jnz1568/getInfo.php?workbook=12_04.xlsx&amp;sheet=U0&amp;row=2260&amp;col=7&amp;number=0.0318&amp;sourceID=14","0.0318")</f>
        <v>0.0318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HYPERLINK("http://141.218.60.56/~jnz1568/getInfo.php?workbook=12_04.xlsx&amp;sheet=U0&amp;row=2261&amp;col=6&amp;number=4.7&amp;sourceID=14","4.7")</f>
        <v>4.7</v>
      </c>
      <c r="G2261" s="4" t="str">
        <f>HYPERLINK("http://141.218.60.56/~jnz1568/getInfo.php?workbook=12_04.xlsx&amp;sheet=U0&amp;row=2261&amp;col=7&amp;number=0.0309&amp;sourceID=14","0.0309")</f>
        <v>0.0309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HYPERLINK("http://141.218.60.56/~jnz1568/getInfo.php?workbook=12_04.xlsx&amp;sheet=U0&amp;row=2262&amp;col=6&amp;number=4.8&amp;sourceID=14","4.8")</f>
        <v>4.8</v>
      </c>
      <c r="G2262" s="4" t="str">
        <f>HYPERLINK("http://141.218.60.56/~jnz1568/getInfo.php?workbook=12_04.xlsx&amp;sheet=U0&amp;row=2262&amp;col=7&amp;number=0.0299&amp;sourceID=14","0.0299")</f>
        <v>0.0299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HYPERLINK("http://141.218.60.56/~jnz1568/getInfo.php?workbook=12_04.xlsx&amp;sheet=U0&amp;row=2263&amp;col=6&amp;number=4.9&amp;sourceID=14","4.9")</f>
        <v>4.9</v>
      </c>
      <c r="G2263" s="4" t="str">
        <f>HYPERLINK("http://141.218.60.56/~jnz1568/getInfo.php?workbook=12_04.xlsx&amp;sheet=U0&amp;row=2263&amp;col=7&amp;number=0.0286&amp;sourceID=14","0.0286")</f>
        <v>0.0286</v>
      </c>
    </row>
    <row r="2264" spans="1:7">
      <c r="A2264" s="3">
        <v>12</v>
      </c>
      <c r="B2264" s="3">
        <v>4</v>
      </c>
      <c r="C2264" s="3">
        <v>2</v>
      </c>
      <c r="D2264" s="3">
        <v>19</v>
      </c>
      <c r="E2264" s="3">
        <v>1</v>
      </c>
      <c r="F2264" s="4" t="str">
        <f>HYPERLINK("http://141.218.60.56/~jnz1568/getInfo.php?workbook=12_04.xlsx&amp;sheet=U0&amp;row=2264&amp;col=6&amp;number=3&amp;sourceID=14","3")</f>
        <v>3</v>
      </c>
      <c r="G2264" s="4" t="str">
        <f>HYPERLINK("http://141.218.60.56/~jnz1568/getInfo.php?workbook=12_04.xlsx&amp;sheet=U0&amp;row=2264&amp;col=7&amp;number=0.0243&amp;sourceID=14","0.0243")</f>
        <v>0.0243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HYPERLINK("http://141.218.60.56/~jnz1568/getInfo.php?workbook=12_04.xlsx&amp;sheet=U0&amp;row=2265&amp;col=6&amp;number=3.1&amp;sourceID=14","3.1")</f>
        <v>3.1</v>
      </c>
      <c r="G2265" s="4" t="str">
        <f>HYPERLINK("http://141.218.60.56/~jnz1568/getInfo.php?workbook=12_04.xlsx&amp;sheet=U0&amp;row=2265&amp;col=7&amp;number=0.0242&amp;sourceID=14","0.0242")</f>
        <v>0.0242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HYPERLINK("http://141.218.60.56/~jnz1568/getInfo.php?workbook=12_04.xlsx&amp;sheet=U0&amp;row=2266&amp;col=6&amp;number=3.2&amp;sourceID=14","3.2")</f>
        <v>3.2</v>
      </c>
      <c r="G2266" s="4" t="str">
        <f>HYPERLINK("http://141.218.60.56/~jnz1568/getInfo.php?workbook=12_04.xlsx&amp;sheet=U0&amp;row=2266&amp;col=7&amp;number=0.0242&amp;sourceID=14","0.0242")</f>
        <v>0.0242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HYPERLINK("http://141.218.60.56/~jnz1568/getInfo.php?workbook=12_04.xlsx&amp;sheet=U0&amp;row=2267&amp;col=6&amp;number=3.3&amp;sourceID=14","3.3")</f>
        <v>3.3</v>
      </c>
      <c r="G2267" s="4" t="str">
        <f>HYPERLINK("http://141.218.60.56/~jnz1568/getInfo.php?workbook=12_04.xlsx&amp;sheet=U0&amp;row=2267&amp;col=7&amp;number=0.0242&amp;sourceID=14","0.0242")</f>
        <v>0.0242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HYPERLINK("http://141.218.60.56/~jnz1568/getInfo.php?workbook=12_04.xlsx&amp;sheet=U0&amp;row=2268&amp;col=6&amp;number=3.4&amp;sourceID=14","3.4")</f>
        <v>3.4</v>
      </c>
      <c r="G2268" s="4" t="str">
        <f>HYPERLINK("http://141.218.60.56/~jnz1568/getInfo.php?workbook=12_04.xlsx&amp;sheet=U0&amp;row=2268&amp;col=7&amp;number=0.0242&amp;sourceID=14","0.0242")</f>
        <v>0.0242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HYPERLINK("http://141.218.60.56/~jnz1568/getInfo.php?workbook=12_04.xlsx&amp;sheet=U0&amp;row=2269&amp;col=6&amp;number=3.5&amp;sourceID=14","3.5")</f>
        <v>3.5</v>
      </c>
      <c r="G2269" s="4" t="str">
        <f>HYPERLINK("http://141.218.60.56/~jnz1568/getInfo.php?workbook=12_04.xlsx&amp;sheet=U0&amp;row=2269&amp;col=7&amp;number=0.0241&amp;sourceID=14","0.0241")</f>
        <v>0.0241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HYPERLINK("http://141.218.60.56/~jnz1568/getInfo.php?workbook=12_04.xlsx&amp;sheet=U0&amp;row=2270&amp;col=6&amp;number=3.6&amp;sourceID=14","3.6")</f>
        <v>3.6</v>
      </c>
      <c r="G2270" s="4" t="str">
        <f>HYPERLINK("http://141.218.60.56/~jnz1568/getInfo.php?workbook=12_04.xlsx&amp;sheet=U0&amp;row=2270&amp;col=7&amp;number=0.0241&amp;sourceID=14","0.0241")</f>
        <v>0.0241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HYPERLINK("http://141.218.60.56/~jnz1568/getInfo.php?workbook=12_04.xlsx&amp;sheet=U0&amp;row=2271&amp;col=6&amp;number=3.7&amp;sourceID=14","3.7")</f>
        <v>3.7</v>
      </c>
      <c r="G2271" s="4" t="str">
        <f>HYPERLINK("http://141.218.60.56/~jnz1568/getInfo.php?workbook=12_04.xlsx&amp;sheet=U0&amp;row=2271&amp;col=7&amp;number=0.0241&amp;sourceID=14","0.0241")</f>
        <v>0.0241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HYPERLINK("http://141.218.60.56/~jnz1568/getInfo.php?workbook=12_04.xlsx&amp;sheet=U0&amp;row=2272&amp;col=6&amp;number=3.8&amp;sourceID=14","3.8")</f>
        <v>3.8</v>
      </c>
      <c r="G2272" s="4" t="str">
        <f>HYPERLINK("http://141.218.60.56/~jnz1568/getInfo.php?workbook=12_04.xlsx&amp;sheet=U0&amp;row=2272&amp;col=7&amp;number=0.024&amp;sourceID=14","0.024")</f>
        <v>0.024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HYPERLINK("http://141.218.60.56/~jnz1568/getInfo.php?workbook=12_04.xlsx&amp;sheet=U0&amp;row=2273&amp;col=6&amp;number=3.9&amp;sourceID=14","3.9")</f>
        <v>3.9</v>
      </c>
      <c r="G2273" s="4" t="str">
        <f>HYPERLINK("http://141.218.60.56/~jnz1568/getInfo.php?workbook=12_04.xlsx&amp;sheet=U0&amp;row=2273&amp;col=7&amp;number=0.0239&amp;sourceID=14","0.0239")</f>
        <v>0.0239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HYPERLINK("http://141.218.60.56/~jnz1568/getInfo.php?workbook=12_04.xlsx&amp;sheet=U0&amp;row=2274&amp;col=6&amp;number=4&amp;sourceID=14","4")</f>
        <v>4</v>
      </c>
      <c r="G2274" s="4" t="str">
        <f>HYPERLINK("http://141.218.60.56/~jnz1568/getInfo.php?workbook=12_04.xlsx&amp;sheet=U0&amp;row=2274&amp;col=7&amp;number=0.0238&amp;sourceID=14","0.0238")</f>
        <v>0.0238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HYPERLINK("http://141.218.60.56/~jnz1568/getInfo.php?workbook=12_04.xlsx&amp;sheet=U0&amp;row=2275&amp;col=6&amp;number=4.1&amp;sourceID=14","4.1")</f>
        <v>4.1</v>
      </c>
      <c r="G2275" s="4" t="str">
        <f>HYPERLINK("http://141.218.60.56/~jnz1568/getInfo.php?workbook=12_04.xlsx&amp;sheet=U0&amp;row=2275&amp;col=7&amp;number=0.0237&amp;sourceID=14","0.0237")</f>
        <v>0.0237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HYPERLINK("http://141.218.60.56/~jnz1568/getInfo.php?workbook=12_04.xlsx&amp;sheet=U0&amp;row=2276&amp;col=6&amp;number=4.2&amp;sourceID=14","4.2")</f>
        <v>4.2</v>
      </c>
      <c r="G2276" s="4" t="str">
        <f>HYPERLINK("http://141.218.60.56/~jnz1568/getInfo.php?workbook=12_04.xlsx&amp;sheet=U0&amp;row=2276&amp;col=7&amp;number=0.0235&amp;sourceID=14","0.0235")</f>
        <v>0.0235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HYPERLINK("http://141.218.60.56/~jnz1568/getInfo.php?workbook=12_04.xlsx&amp;sheet=U0&amp;row=2277&amp;col=6&amp;number=4.3&amp;sourceID=14","4.3")</f>
        <v>4.3</v>
      </c>
      <c r="G2277" s="4" t="str">
        <f>HYPERLINK("http://141.218.60.56/~jnz1568/getInfo.php?workbook=12_04.xlsx&amp;sheet=U0&amp;row=2277&amp;col=7&amp;number=0.0234&amp;sourceID=14","0.0234")</f>
        <v>0.0234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HYPERLINK("http://141.218.60.56/~jnz1568/getInfo.php?workbook=12_04.xlsx&amp;sheet=U0&amp;row=2278&amp;col=6&amp;number=4.4&amp;sourceID=14","4.4")</f>
        <v>4.4</v>
      </c>
      <c r="G2278" s="4" t="str">
        <f>HYPERLINK("http://141.218.60.56/~jnz1568/getInfo.php?workbook=12_04.xlsx&amp;sheet=U0&amp;row=2278&amp;col=7&amp;number=0.0231&amp;sourceID=14","0.0231")</f>
        <v>0.0231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HYPERLINK("http://141.218.60.56/~jnz1568/getInfo.php?workbook=12_04.xlsx&amp;sheet=U0&amp;row=2279&amp;col=6&amp;number=4.5&amp;sourceID=14","4.5")</f>
        <v>4.5</v>
      </c>
      <c r="G2279" s="4" t="str">
        <f>HYPERLINK("http://141.218.60.56/~jnz1568/getInfo.php?workbook=12_04.xlsx&amp;sheet=U0&amp;row=2279&amp;col=7&amp;number=0.0228&amp;sourceID=14","0.0228")</f>
        <v>0.0228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HYPERLINK("http://141.218.60.56/~jnz1568/getInfo.php?workbook=12_04.xlsx&amp;sheet=U0&amp;row=2280&amp;col=6&amp;number=4.6&amp;sourceID=14","4.6")</f>
        <v>4.6</v>
      </c>
      <c r="G2280" s="4" t="str">
        <f>HYPERLINK("http://141.218.60.56/~jnz1568/getInfo.php?workbook=12_04.xlsx&amp;sheet=U0&amp;row=2280&amp;col=7&amp;number=0.0225&amp;sourceID=14","0.0225")</f>
        <v>0.0225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HYPERLINK("http://141.218.60.56/~jnz1568/getInfo.php?workbook=12_04.xlsx&amp;sheet=U0&amp;row=2281&amp;col=6&amp;number=4.7&amp;sourceID=14","4.7")</f>
        <v>4.7</v>
      </c>
      <c r="G2281" s="4" t="str">
        <f>HYPERLINK("http://141.218.60.56/~jnz1568/getInfo.php?workbook=12_04.xlsx&amp;sheet=U0&amp;row=2281&amp;col=7&amp;number=0.022&amp;sourceID=14","0.022")</f>
        <v>0.022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HYPERLINK("http://141.218.60.56/~jnz1568/getInfo.php?workbook=12_04.xlsx&amp;sheet=U0&amp;row=2282&amp;col=6&amp;number=4.8&amp;sourceID=14","4.8")</f>
        <v>4.8</v>
      </c>
      <c r="G2282" s="4" t="str">
        <f>HYPERLINK("http://141.218.60.56/~jnz1568/getInfo.php?workbook=12_04.xlsx&amp;sheet=U0&amp;row=2282&amp;col=7&amp;number=0.0215&amp;sourceID=14","0.0215")</f>
        <v>0.0215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HYPERLINK("http://141.218.60.56/~jnz1568/getInfo.php?workbook=12_04.xlsx&amp;sheet=U0&amp;row=2283&amp;col=6&amp;number=4.9&amp;sourceID=14","4.9")</f>
        <v>4.9</v>
      </c>
      <c r="G2283" s="4" t="str">
        <f>HYPERLINK("http://141.218.60.56/~jnz1568/getInfo.php?workbook=12_04.xlsx&amp;sheet=U0&amp;row=2283&amp;col=7&amp;number=0.0209&amp;sourceID=14","0.0209")</f>
        <v>0.0209</v>
      </c>
    </row>
    <row r="2284" spans="1:7">
      <c r="A2284" s="3">
        <v>12</v>
      </c>
      <c r="B2284" s="3">
        <v>4</v>
      </c>
      <c r="C2284" s="3">
        <v>2</v>
      </c>
      <c r="D2284" s="3">
        <v>20</v>
      </c>
      <c r="E2284" s="3">
        <v>1</v>
      </c>
      <c r="F2284" s="4" t="str">
        <f>HYPERLINK("http://141.218.60.56/~jnz1568/getInfo.php?workbook=12_04.xlsx&amp;sheet=U0&amp;row=2284&amp;col=6&amp;number=3&amp;sourceID=14","3")</f>
        <v>3</v>
      </c>
      <c r="G2284" s="4" t="str">
        <f>HYPERLINK("http://141.218.60.56/~jnz1568/getInfo.php?workbook=12_04.xlsx&amp;sheet=U0&amp;row=2284&amp;col=7&amp;number=0.0148&amp;sourceID=14","0.0148")</f>
        <v>0.0148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HYPERLINK("http://141.218.60.56/~jnz1568/getInfo.php?workbook=12_04.xlsx&amp;sheet=U0&amp;row=2285&amp;col=6&amp;number=3.1&amp;sourceID=14","3.1")</f>
        <v>3.1</v>
      </c>
      <c r="G2285" s="4" t="str">
        <f>HYPERLINK("http://141.218.60.56/~jnz1568/getInfo.php?workbook=12_04.xlsx&amp;sheet=U0&amp;row=2285&amp;col=7&amp;number=0.0148&amp;sourceID=14","0.0148")</f>
        <v>0.0148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HYPERLINK("http://141.218.60.56/~jnz1568/getInfo.php?workbook=12_04.xlsx&amp;sheet=U0&amp;row=2286&amp;col=6&amp;number=3.2&amp;sourceID=14","3.2")</f>
        <v>3.2</v>
      </c>
      <c r="G2286" s="4" t="str">
        <f>HYPERLINK("http://141.218.60.56/~jnz1568/getInfo.php?workbook=12_04.xlsx&amp;sheet=U0&amp;row=2286&amp;col=7&amp;number=0.0148&amp;sourceID=14","0.0148")</f>
        <v>0.0148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HYPERLINK("http://141.218.60.56/~jnz1568/getInfo.php?workbook=12_04.xlsx&amp;sheet=U0&amp;row=2287&amp;col=6&amp;number=3.3&amp;sourceID=14","3.3")</f>
        <v>3.3</v>
      </c>
      <c r="G2287" s="4" t="str">
        <f>HYPERLINK("http://141.218.60.56/~jnz1568/getInfo.php?workbook=12_04.xlsx&amp;sheet=U0&amp;row=2287&amp;col=7&amp;number=0.0148&amp;sourceID=14","0.0148")</f>
        <v>0.0148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HYPERLINK("http://141.218.60.56/~jnz1568/getInfo.php?workbook=12_04.xlsx&amp;sheet=U0&amp;row=2288&amp;col=6&amp;number=3.4&amp;sourceID=14","3.4")</f>
        <v>3.4</v>
      </c>
      <c r="G2288" s="4" t="str">
        <f>HYPERLINK("http://141.218.60.56/~jnz1568/getInfo.php?workbook=12_04.xlsx&amp;sheet=U0&amp;row=2288&amp;col=7&amp;number=0.0148&amp;sourceID=14","0.0148")</f>
        <v>0.0148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HYPERLINK("http://141.218.60.56/~jnz1568/getInfo.php?workbook=12_04.xlsx&amp;sheet=U0&amp;row=2289&amp;col=6&amp;number=3.5&amp;sourceID=14","3.5")</f>
        <v>3.5</v>
      </c>
      <c r="G2289" s="4" t="str">
        <f>HYPERLINK("http://141.218.60.56/~jnz1568/getInfo.php?workbook=12_04.xlsx&amp;sheet=U0&amp;row=2289&amp;col=7&amp;number=0.0148&amp;sourceID=14","0.0148")</f>
        <v>0.0148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HYPERLINK("http://141.218.60.56/~jnz1568/getInfo.php?workbook=12_04.xlsx&amp;sheet=U0&amp;row=2290&amp;col=6&amp;number=3.6&amp;sourceID=14","3.6")</f>
        <v>3.6</v>
      </c>
      <c r="G2290" s="4" t="str">
        <f>HYPERLINK("http://141.218.60.56/~jnz1568/getInfo.php?workbook=12_04.xlsx&amp;sheet=U0&amp;row=2290&amp;col=7&amp;number=0.0149&amp;sourceID=14","0.0149")</f>
        <v>0.0149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HYPERLINK("http://141.218.60.56/~jnz1568/getInfo.php?workbook=12_04.xlsx&amp;sheet=U0&amp;row=2291&amp;col=6&amp;number=3.7&amp;sourceID=14","3.7")</f>
        <v>3.7</v>
      </c>
      <c r="G2291" s="4" t="str">
        <f>HYPERLINK("http://141.218.60.56/~jnz1568/getInfo.php?workbook=12_04.xlsx&amp;sheet=U0&amp;row=2291&amp;col=7&amp;number=0.0149&amp;sourceID=14","0.0149")</f>
        <v>0.0149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HYPERLINK("http://141.218.60.56/~jnz1568/getInfo.php?workbook=12_04.xlsx&amp;sheet=U0&amp;row=2292&amp;col=6&amp;number=3.8&amp;sourceID=14","3.8")</f>
        <v>3.8</v>
      </c>
      <c r="G2292" s="4" t="str">
        <f>HYPERLINK("http://141.218.60.56/~jnz1568/getInfo.php?workbook=12_04.xlsx&amp;sheet=U0&amp;row=2292&amp;col=7&amp;number=0.0149&amp;sourceID=14","0.0149")</f>
        <v>0.0149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HYPERLINK("http://141.218.60.56/~jnz1568/getInfo.php?workbook=12_04.xlsx&amp;sheet=U0&amp;row=2293&amp;col=6&amp;number=3.9&amp;sourceID=14","3.9")</f>
        <v>3.9</v>
      </c>
      <c r="G2293" s="4" t="str">
        <f>HYPERLINK("http://141.218.60.56/~jnz1568/getInfo.php?workbook=12_04.xlsx&amp;sheet=U0&amp;row=2293&amp;col=7&amp;number=0.015&amp;sourceID=14","0.015")</f>
        <v>0.015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HYPERLINK("http://141.218.60.56/~jnz1568/getInfo.php?workbook=12_04.xlsx&amp;sheet=U0&amp;row=2294&amp;col=6&amp;number=4&amp;sourceID=14","4")</f>
        <v>4</v>
      </c>
      <c r="G2294" s="4" t="str">
        <f>HYPERLINK("http://141.218.60.56/~jnz1568/getInfo.php?workbook=12_04.xlsx&amp;sheet=U0&amp;row=2294&amp;col=7&amp;number=0.015&amp;sourceID=14","0.015")</f>
        <v>0.015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HYPERLINK("http://141.218.60.56/~jnz1568/getInfo.php?workbook=12_04.xlsx&amp;sheet=U0&amp;row=2295&amp;col=6&amp;number=4.1&amp;sourceID=14","4.1")</f>
        <v>4.1</v>
      </c>
      <c r="G2295" s="4" t="str">
        <f>HYPERLINK("http://141.218.60.56/~jnz1568/getInfo.php?workbook=12_04.xlsx&amp;sheet=U0&amp;row=2295&amp;col=7&amp;number=0.0151&amp;sourceID=14","0.0151")</f>
        <v>0.0151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HYPERLINK("http://141.218.60.56/~jnz1568/getInfo.php?workbook=12_04.xlsx&amp;sheet=U0&amp;row=2296&amp;col=6&amp;number=4.2&amp;sourceID=14","4.2")</f>
        <v>4.2</v>
      </c>
      <c r="G2296" s="4" t="str">
        <f>HYPERLINK("http://141.218.60.56/~jnz1568/getInfo.php?workbook=12_04.xlsx&amp;sheet=U0&amp;row=2296&amp;col=7&amp;number=0.0152&amp;sourceID=14","0.0152")</f>
        <v>0.0152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HYPERLINK("http://141.218.60.56/~jnz1568/getInfo.php?workbook=12_04.xlsx&amp;sheet=U0&amp;row=2297&amp;col=6&amp;number=4.3&amp;sourceID=14","4.3")</f>
        <v>4.3</v>
      </c>
      <c r="G2297" s="4" t="str">
        <f>HYPERLINK("http://141.218.60.56/~jnz1568/getInfo.php?workbook=12_04.xlsx&amp;sheet=U0&amp;row=2297&amp;col=7&amp;number=0.0153&amp;sourceID=14","0.0153")</f>
        <v>0.0153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HYPERLINK("http://141.218.60.56/~jnz1568/getInfo.php?workbook=12_04.xlsx&amp;sheet=U0&amp;row=2298&amp;col=6&amp;number=4.4&amp;sourceID=14","4.4")</f>
        <v>4.4</v>
      </c>
      <c r="G2298" s="4" t="str">
        <f>HYPERLINK("http://141.218.60.56/~jnz1568/getInfo.php?workbook=12_04.xlsx&amp;sheet=U0&amp;row=2298&amp;col=7&amp;number=0.0155&amp;sourceID=14","0.0155")</f>
        <v>0.0155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HYPERLINK("http://141.218.60.56/~jnz1568/getInfo.php?workbook=12_04.xlsx&amp;sheet=U0&amp;row=2299&amp;col=6&amp;number=4.5&amp;sourceID=14","4.5")</f>
        <v>4.5</v>
      </c>
      <c r="G2299" s="4" t="str">
        <f>HYPERLINK("http://141.218.60.56/~jnz1568/getInfo.php?workbook=12_04.xlsx&amp;sheet=U0&amp;row=2299&amp;col=7&amp;number=0.0157&amp;sourceID=14","0.0157")</f>
        <v>0.0157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HYPERLINK("http://141.218.60.56/~jnz1568/getInfo.php?workbook=12_04.xlsx&amp;sheet=U0&amp;row=2300&amp;col=6&amp;number=4.6&amp;sourceID=14","4.6")</f>
        <v>4.6</v>
      </c>
      <c r="G2300" s="4" t="str">
        <f>HYPERLINK("http://141.218.60.56/~jnz1568/getInfo.php?workbook=12_04.xlsx&amp;sheet=U0&amp;row=2300&amp;col=7&amp;number=0.0159&amp;sourceID=14","0.0159")</f>
        <v>0.0159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HYPERLINK("http://141.218.60.56/~jnz1568/getInfo.php?workbook=12_04.xlsx&amp;sheet=U0&amp;row=2301&amp;col=6&amp;number=4.7&amp;sourceID=14","4.7")</f>
        <v>4.7</v>
      </c>
      <c r="G2301" s="4" t="str">
        <f>HYPERLINK("http://141.218.60.56/~jnz1568/getInfo.php?workbook=12_04.xlsx&amp;sheet=U0&amp;row=2301&amp;col=7&amp;number=0.0162&amp;sourceID=14","0.0162")</f>
        <v>0.0162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HYPERLINK("http://141.218.60.56/~jnz1568/getInfo.php?workbook=12_04.xlsx&amp;sheet=U0&amp;row=2302&amp;col=6&amp;number=4.8&amp;sourceID=14","4.8")</f>
        <v>4.8</v>
      </c>
      <c r="G2302" s="4" t="str">
        <f>HYPERLINK("http://141.218.60.56/~jnz1568/getInfo.php?workbook=12_04.xlsx&amp;sheet=U0&amp;row=2302&amp;col=7&amp;number=0.0165&amp;sourceID=14","0.0165")</f>
        <v>0.0165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HYPERLINK("http://141.218.60.56/~jnz1568/getInfo.php?workbook=12_04.xlsx&amp;sheet=U0&amp;row=2303&amp;col=6&amp;number=4.9&amp;sourceID=14","4.9")</f>
        <v>4.9</v>
      </c>
      <c r="G2303" s="4" t="str">
        <f>HYPERLINK("http://141.218.60.56/~jnz1568/getInfo.php?workbook=12_04.xlsx&amp;sheet=U0&amp;row=2303&amp;col=7&amp;number=0.0169&amp;sourceID=14","0.0169")</f>
        <v>0.0169</v>
      </c>
    </row>
    <row r="2304" spans="1:7">
      <c r="A2304" s="3">
        <v>12</v>
      </c>
      <c r="B2304" s="3">
        <v>4</v>
      </c>
      <c r="C2304" s="3">
        <v>2</v>
      </c>
      <c r="D2304" s="3">
        <v>21</v>
      </c>
      <c r="E2304" s="3">
        <v>1</v>
      </c>
      <c r="F2304" s="4" t="str">
        <f>HYPERLINK("http://141.218.60.56/~jnz1568/getInfo.php?workbook=12_04.xlsx&amp;sheet=U0&amp;row=2304&amp;col=6&amp;number=3&amp;sourceID=14","3")</f>
        <v>3</v>
      </c>
      <c r="G2304" s="4" t="str">
        <f>HYPERLINK("http://141.218.60.56/~jnz1568/getInfo.php?workbook=12_04.xlsx&amp;sheet=U0&amp;row=2304&amp;col=7&amp;number=0.0472&amp;sourceID=14","0.0472")</f>
        <v>0.0472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HYPERLINK("http://141.218.60.56/~jnz1568/getInfo.php?workbook=12_04.xlsx&amp;sheet=U0&amp;row=2305&amp;col=6&amp;number=3.1&amp;sourceID=14","3.1")</f>
        <v>3.1</v>
      </c>
      <c r="G2305" s="4" t="str">
        <f>HYPERLINK("http://141.218.60.56/~jnz1568/getInfo.php?workbook=12_04.xlsx&amp;sheet=U0&amp;row=2305&amp;col=7&amp;number=0.0471&amp;sourceID=14","0.0471")</f>
        <v>0.0471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HYPERLINK("http://141.218.60.56/~jnz1568/getInfo.php?workbook=12_04.xlsx&amp;sheet=U0&amp;row=2306&amp;col=6&amp;number=3.2&amp;sourceID=14","3.2")</f>
        <v>3.2</v>
      </c>
      <c r="G2306" s="4" t="str">
        <f>HYPERLINK("http://141.218.60.56/~jnz1568/getInfo.php?workbook=12_04.xlsx&amp;sheet=U0&amp;row=2306&amp;col=7&amp;number=0.0471&amp;sourceID=14","0.0471")</f>
        <v>0.0471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HYPERLINK("http://141.218.60.56/~jnz1568/getInfo.php?workbook=12_04.xlsx&amp;sheet=U0&amp;row=2307&amp;col=6&amp;number=3.3&amp;sourceID=14","3.3")</f>
        <v>3.3</v>
      </c>
      <c r="G2307" s="4" t="str">
        <f>HYPERLINK("http://141.218.60.56/~jnz1568/getInfo.php?workbook=12_04.xlsx&amp;sheet=U0&amp;row=2307&amp;col=7&amp;number=0.047&amp;sourceID=14","0.047")</f>
        <v>0.047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HYPERLINK("http://141.218.60.56/~jnz1568/getInfo.php?workbook=12_04.xlsx&amp;sheet=U0&amp;row=2308&amp;col=6&amp;number=3.4&amp;sourceID=14","3.4")</f>
        <v>3.4</v>
      </c>
      <c r="G2308" s="4" t="str">
        <f>HYPERLINK("http://141.218.60.56/~jnz1568/getInfo.php?workbook=12_04.xlsx&amp;sheet=U0&amp;row=2308&amp;col=7&amp;number=0.0469&amp;sourceID=14","0.0469")</f>
        <v>0.0469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HYPERLINK("http://141.218.60.56/~jnz1568/getInfo.php?workbook=12_04.xlsx&amp;sheet=U0&amp;row=2309&amp;col=6&amp;number=3.5&amp;sourceID=14","3.5")</f>
        <v>3.5</v>
      </c>
      <c r="G2309" s="4" t="str">
        <f>HYPERLINK("http://141.218.60.56/~jnz1568/getInfo.php?workbook=12_04.xlsx&amp;sheet=U0&amp;row=2309&amp;col=7&amp;number=0.0468&amp;sourceID=14","0.0468")</f>
        <v>0.0468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HYPERLINK("http://141.218.60.56/~jnz1568/getInfo.php?workbook=12_04.xlsx&amp;sheet=U0&amp;row=2310&amp;col=6&amp;number=3.6&amp;sourceID=14","3.6")</f>
        <v>3.6</v>
      </c>
      <c r="G2310" s="4" t="str">
        <f>HYPERLINK("http://141.218.60.56/~jnz1568/getInfo.php?workbook=12_04.xlsx&amp;sheet=U0&amp;row=2310&amp;col=7&amp;number=0.0467&amp;sourceID=14","0.0467")</f>
        <v>0.0467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HYPERLINK("http://141.218.60.56/~jnz1568/getInfo.php?workbook=12_04.xlsx&amp;sheet=U0&amp;row=2311&amp;col=6&amp;number=3.7&amp;sourceID=14","3.7")</f>
        <v>3.7</v>
      </c>
      <c r="G2311" s="4" t="str">
        <f>HYPERLINK("http://141.218.60.56/~jnz1568/getInfo.php?workbook=12_04.xlsx&amp;sheet=U0&amp;row=2311&amp;col=7&amp;number=0.0465&amp;sourceID=14","0.0465")</f>
        <v>0.0465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HYPERLINK("http://141.218.60.56/~jnz1568/getInfo.php?workbook=12_04.xlsx&amp;sheet=U0&amp;row=2312&amp;col=6&amp;number=3.8&amp;sourceID=14","3.8")</f>
        <v>3.8</v>
      </c>
      <c r="G2312" s="4" t="str">
        <f>HYPERLINK("http://141.218.60.56/~jnz1568/getInfo.php?workbook=12_04.xlsx&amp;sheet=U0&amp;row=2312&amp;col=7&amp;number=0.0462&amp;sourceID=14","0.0462")</f>
        <v>0.0462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HYPERLINK("http://141.218.60.56/~jnz1568/getInfo.php?workbook=12_04.xlsx&amp;sheet=U0&amp;row=2313&amp;col=6&amp;number=3.9&amp;sourceID=14","3.9")</f>
        <v>3.9</v>
      </c>
      <c r="G2313" s="4" t="str">
        <f>HYPERLINK("http://141.218.60.56/~jnz1568/getInfo.php?workbook=12_04.xlsx&amp;sheet=U0&amp;row=2313&amp;col=7&amp;number=0.0459&amp;sourceID=14","0.0459")</f>
        <v>0.0459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HYPERLINK("http://141.218.60.56/~jnz1568/getInfo.php?workbook=12_04.xlsx&amp;sheet=U0&amp;row=2314&amp;col=6&amp;number=4&amp;sourceID=14","4")</f>
        <v>4</v>
      </c>
      <c r="G2314" s="4" t="str">
        <f>HYPERLINK("http://141.218.60.56/~jnz1568/getInfo.php?workbook=12_04.xlsx&amp;sheet=U0&amp;row=2314&amp;col=7&amp;number=0.0456&amp;sourceID=14","0.0456")</f>
        <v>0.0456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HYPERLINK("http://141.218.60.56/~jnz1568/getInfo.php?workbook=12_04.xlsx&amp;sheet=U0&amp;row=2315&amp;col=6&amp;number=4.1&amp;sourceID=14","4.1")</f>
        <v>4.1</v>
      </c>
      <c r="G2315" s="4" t="str">
        <f>HYPERLINK("http://141.218.60.56/~jnz1568/getInfo.php?workbook=12_04.xlsx&amp;sheet=U0&amp;row=2315&amp;col=7&amp;number=0.0451&amp;sourceID=14","0.0451")</f>
        <v>0.0451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HYPERLINK("http://141.218.60.56/~jnz1568/getInfo.php?workbook=12_04.xlsx&amp;sheet=U0&amp;row=2316&amp;col=6&amp;number=4.2&amp;sourceID=14","4.2")</f>
        <v>4.2</v>
      </c>
      <c r="G2316" s="4" t="str">
        <f>HYPERLINK("http://141.218.60.56/~jnz1568/getInfo.php?workbook=12_04.xlsx&amp;sheet=U0&amp;row=2316&amp;col=7&amp;number=0.0446&amp;sourceID=14","0.0446")</f>
        <v>0.0446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HYPERLINK("http://141.218.60.56/~jnz1568/getInfo.php?workbook=12_04.xlsx&amp;sheet=U0&amp;row=2317&amp;col=6&amp;number=4.3&amp;sourceID=14","4.3")</f>
        <v>4.3</v>
      </c>
      <c r="G2317" s="4" t="str">
        <f>HYPERLINK("http://141.218.60.56/~jnz1568/getInfo.php?workbook=12_04.xlsx&amp;sheet=U0&amp;row=2317&amp;col=7&amp;number=0.0439&amp;sourceID=14","0.0439")</f>
        <v>0.0439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HYPERLINK("http://141.218.60.56/~jnz1568/getInfo.php?workbook=12_04.xlsx&amp;sheet=U0&amp;row=2318&amp;col=6&amp;number=4.4&amp;sourceID=14","4.4")</f>
        <v>4.4</v>
      </c>
      <c r="G2318" s="4" t="str">
        <f>HYPERLINK("http://141.218.60.56/~jnz1568/getInfo.php?workbook=12_04.xlsx&amp;sheet=U0&amp;row=2318&amp;col=7&amp;number=0.0431&amp;sourceID=14","0.0431")</f>
        <v>0.0431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HYPERLINK("http://141.218.60.56/~jnz1568/getInfo.php?workbook=12_04.xlsx&amp;sheet=U0&amp;row=2319&amp;col=6&amp;number=4.5&amp;sourceID=14","4.5")</f>
        <v>4.5</v>
      </c>
      <c r="G2319" s="4" t="str">
        <f>HYPERLINK("http://141.218.60.56/~jnz1568/getInfo.php?workbook=12_04.xlsx&amp;sheet=U0&amp;row=2319&amp;col=7&amp;number=0.042&amp;sourceID=14","0.042")</f>
        <v>0.042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HYPERLINK("http://141.218.60.56/~jnz1568/getInfo.php?workbook=12_04.xlsx&amp;sheet=U0&amp;row=2320&amp;col=6&amp;number=4.6&amp;sourceID=14","4.6")</f>
        <v>4.6</v>
      </c>
      <c r="G2320" s="4" t="str">
        <f>HYPERLINK("http://141.218.60.56/~jnz1568/getInfo.php?workbook=12_04.xlsx&amp;sheet=U0&amp;row=2320&amp;col=7&amp;number=0.0408&amp;sourceID=14","0.0408")</f>
        <v>0.0408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HYPERLINK("http://141.218.60.56/~jnz1568/getInfo.php?workbook=12_04.xlsx&amp;sheet=U0&amp;row=2321&amp;col=6&amp;number=4.7&amp;sourceID=14","4.7")</f>
        <v>4.7</v>
      </c>
      <c r="G2321" s="4" t="str">
        <f>HYPERLINK("http://141.218.60.56/~jnz1568/getInfo.php?workbook=12_04.xlsx&amp;sheet=U0&amp;row=2321&amp;col=7&amp;number=0.0394&amp;sourceID=14","0.0394")</f>
        <v>0.0394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HYPERLINK("http://141.218.60.56/~jnz1568/getInfo.php?workbook=12_04.xlsx&amp;sheet=U0&amp;row=2322&amp;col=6&amp;number=4.8&amp;sourceID=14","4.8")</f>
        <v>4.8</v>
      </c>
      <c r="G2322" s="4" t="str">
        <f>HYPERLINK("http://141.218.60.56/~jnz1568/getInfo.php?workbook=12_04.xlsx&amp;sheet=U0&amp;row=2322&amp;col=7&amp;number=0.0378&amp;sourceID=14","0.0378")</f>
        <v>0.0378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HYPERLINK("http://141.218.60.56/~jnz1568/getInfo.php?workbook=12_04.xlsx&amp;sheet=U0&amp;row=2323&amp;col=6&amp;number=4.9&amp;sourceID=14","4.9")</f>
        <v>4.9</v>
      </c>
      <c r="G2323" s="4" t="str">
        <f>HYPERLINK("http://141.218.60.56/~jnz1568/getInfo.php?workbook=12_04.xlsx&amp;sheet=U0&amp;row=2323&amp;col=7&amp;number=0.0362&amp;sourceID=14","0.0362")</f>
        <v>0.0362</v>
      </c>
    </row>
    <row r="2324" spans="1:7">
      <c r="A2324" s="3">
        <v>12</v>
      </c>
      <c r="B2324" s="3">
        <v>4</v>
      </c>
      <c r="C2324" s="3">
        <v>2</v>
      </c>
      <c r="D2324" s="3">
        <v>22</v>
      </c>
      <c r="E2324" s="3">
        <v>1</v>
      </c>
      <c r="F2324" s="4" t="str">
        <f>HYPERLINK("http://141.218.60.56/~jnz1568/getInfo.php?workbook=12_04.xlsx&amp;sheet=U0&amp;row=2324&amp;col=6&amp;number=3&amp;sourceID=14","3")</f>
        <v>3</v>
      </c>
      <c r="G2324" s="4" t="str">
        <f>HYPERLINK("http://141.218.60.56/~jnz1568/getInfo.php?workbook=12_04.xlsx&amp;sheet=U0&amp;row=2324&amp;col=7&amp;number=0.0226&amp;sourceID=14","0.0226")</f>
        <v>0.0226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HYPERLINK("http://141.218.60.56/~jnz1568/getInfo.php?workbook=12_04.xlsx&amp;sheet=U0&amp;row=2325&amp;col=6&amp;number=3.1&amp;sourceID=14","3.1")</f>
        <v>3.1</v>
      </c>
      <c r="G2325" s="4" t="str">
        <f>HYPERLINK("http://141.218.60.56/~jnz1568/getInfo.php?workbook=12_04.xlsx&amp;sheet=U0&amp;row=2325&amp;col=7&amp;number=0.0226&amp;sourceID=14","0.0226")</f>
        <v>0.0226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HYPERLINK("http://141.218.60.56/~jnz1568/getInfo.php?workbook=12_04.xlsx&amp;sheet=U0&amp;row=2326&amp;col=6&amp;number=3.2&amp;sourceID=14","3.2")</f>
        <v>3.2</v>
      </c>
      <c r="G2326" s="4" t="str">
        <f>HYPERLINK("http://141.218.60.56/~jnz1568/getInfo.php?workbook=12_04.xlsx&amp;sheet=U0&amp;row=2326&amp;col=7&amp;number=0.0226&amp;sourceID=14","0.0226")</f>
        <v>0.0226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HYPERLINK("http://141.218.60.56/~jnz1568/getInfo.php?workbook=12_04.xlsx&amp;sheet=U0&amp;row=2327&amp;col=6&amp;number=3.3&amp;sourceID=14","3.3")</f>
        <v>3.3</v>
      </c>
      <c r="G2327" s="4" t="str">
        <f>HYPERLINK("http://141.218.60.56/~jnz1568/getInfo.php?workbook=12_04.xlsx&amp;sheet=U0&amp;row=2327&amp;col=7&amp;number=0.0225&amp;sourceID=14","0.0225")</f>
        <v>0.0225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HYPERLINK("http://141.218.60.56/~jnz1568/getInfo.php?workbook=12_04.xlsx&amp;sheet=U0&amp;row=2328&amp;col=6&amp;number=3.4&amp;sourceID=14","3.4")</f>
        <v>3.4</v>
      </c>
      <c r="G2328" s="4" t="str">
        <f>HYPERLINK("http://141.218.60.56/~jnz1568/getInfo.php?workbook=12_04.xlsx&amp;sheet=U0&amp;row=2328&amp;col=7&amp;number=0.0225&amp;sourceID=14","0.0225")</f>
        <v>0.0225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HYPERLINK("http://141.218.60.56/~jnz1568/getInfo.php?workbook=12_04.xlsx&amp;sheet=U0&amp;row=2329&amp;col=6&amp;number=3.5&amp;sourceID=14","3.5")</f>
        <v>3.5</v>
      </c>
      <c r="G2329" s="4" t="str">
        <f>HYPERLINK("http://141.218.60.56/~jnz1568/getInfo.php?workbook=12_04.xlsx&amp;sheet=U0&amp;row=2329&amp;col=7&amp;number=0.0224&amp;sourceID=14","0.0224")</f>
        <v>0.0224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HYPERLINK("http://141.218.60.56/~jnz1568/getInfo.php?workbook=12_04.xlsx&amp;sheet=U0&amp;row=2330&amp;col=6&amp;number=3.6&amp;sourceID=14","3.6")</f>
        <v>3.6</v>
      </c>
      <c r="G2330" s="4" t="str">
        <f>HYPERLINK("http://141.218.60.56/~jnz1568/getInfo.php?workbook=12_04.xlsx&amp;sheet=U0&amp;row=2330&amp;col=7&amp;number=0.0223&amp;sourceID=14","0.0223")</f>
        <v>0.0223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HYPERLINK("http://141.218.60.56/~jnz1568/getInfo.php?workbook=12_04.xlsx&amp;sheet=U0&amp;row=2331&amp;col=6&amp;number=3.7&amp;sourceID=14","3.7")</f>
        <v>3.7</v>
      </c>
      <c r="G2331" s="4" t="str">
        <f>HYPERLINK("http://141.218.60.56/~jnz1568/getInfo.php?workbook=12_04.xlsx&amp;sheet=U0&amp;row=2331&amp;col=7&amp;number=0.0222&amp;sourceID=14","0.0222")</f>
        <v>0.0222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HYPERLINK("http://141.218.60.56/~jnz1568/getInfo.php?workbook=12_04.xlsx&amp;sheet=U0&amp;row=2332&amp;col=6&amp;number=3.8&amp;sourceID=14","3.8")</f>
        <v>3.8</v>
      </c>
      <c r="G2332" s="4" t="str">
        <f>HYPERLINK("http://141.218.60.56/~jnz1568/getInfo.php?workbook=12_04.xlsx&amp;sheet=U0&amp;row=2332&amp;col=7&amp;number=0.022&amp;sourceID=14","0.022")</f>
        <v>0.022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HYPERLINK("http://141.218.60.56/~jnz1568/getInfo.php?workbook=12_04.xlsx&amp;sheet=U0&amp;row=2333&amp;col=6&amp;number=3.9&amp;sourceID=14","3.9")</f>
        <v>3.9</v>
      </c>
      <c r="G2333" s="4" t="str">
        <f>HYPERLINK("http://141.218.60.56/~jnz1568/getInfo.php?workbook=12_04.xlsx&amp;sheet=U0&amp;row=2333&amp;col=7&amp;number=0.0219&amp;sourceID=14","0.0219")</f>
        <v>0.0219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HYPERLINK("http://141.218.60.56/~jnz1568/getInfo.php?workbook=12_04.xlsx&amp;sheet=U0&amp;row=2334&amp;col=6&amp;number=4&amp;sourceID=14","4")</f>
        <v>4</v>
      </c>
      <c r="G2334" s="4" t="str">
        <f>HYPERLINK("http://141.218.60.56/~jnz1568/getInfo.php?workbook=12_04.xlsx&amp;sheet=U0&amp;row=2334&amp;col=7&amp;number=0.0216&amp;sourceID=14","0.0216")</f>
        <v>0.0216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HYPERLINK("http://141.218.60.56/~jnz1568/getInfo.php?workbook=12_04.xlsx&amp;sheet=U0&amp;row=2335&amp;col=6&amp;number=4.1&amp;sourceID=14","4.1")</f>
        <v>4.1</v>
      </c>
      <c r="G2335" s="4" t="str">
        <f>HYPERLINK("http://141.218.60.56/~jnz1568/getInfo.php?workbook=12_04.xlsx&amp;sheet=U0&amp;row=2335&amp;col=7&amp;number=0.0214&amp;sourceID=14","0.0214")</f>
        <v>0.0214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HYPERLINK("http://141.218.60.56/~jnz1568/getInfo.php?workbook=12_04.xlsx&amp;sheet=U0&amp;row=2336&amp;col=6&amp;number=4.2&amp;sourceID=14","4.2")</f>
        <v>4.2</v>
      </c>
      <c r="G2336" s="4" t="str">
        <f>HYPERLINK("http://141.218.60.56/~jnz1568/getInfo.php?workbook=12_04.xlsx&amp;sheet=U0&amp;row=2336&amp;col=7&amp;number=0.021&amp;sourceID=14","0.021")</f>
        <v>0.021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HYPERLINK("http://141.218.60.56/~jnz1568/getInfo.php?workbook=12_04.xlsx&amp;sheet=U0&amp;row=2337&amp;col=6&amp;number=4.3&amp;sourceID=14","4.3")</f>
        <v>4.3</v>
      </c>
      <c r="G2337" s="4" t="str">
        <f>HYPERLINK("http://141.218.60.56/~jnz1568/getInfo.php?workbook=12_04.xlsx&amp;sheet=U0&amp;row=2337&amp;col=7&amp;number=0.0206&amp;sourceID=14","0.0206")</f>
        <v>0.0206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HYPERLINK("http://141.218.60.56/~jnz1568/getInfo.php?workbook=12_04.xlsx&amp;sheet=U0&amp;row=2338&amp;col=6&amp;number=4.4&amp;sourceID=14","4.4")</f>
        <v>4.4</v>
      </c>
      <c r="G2338" s="4" t="str">
        <f>HYPERLINK("http://141.218.60.56/~jnz1568/getInfo.php?workbook=12_04.xlsx&amp;sheet=U0&amp;row=2338&amp;col=7&amp;number=0.02&amp;sourceID=14","0.02")</f>
        <v>0.02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HYPERLINK("http://141.218.60.56/~jnz1568/getInfo.php?workbook=12_04.xlsx&amp;sheet=U0&amp;row=2339&amp;col=6&amp;number=4.5&amp;sourceID=14","4.5")</f>
        <v>4.5</v>
      </c>
      <c r="G2339" s="4" t="str">
        <f>HYPERLINK("http://141.218.60.56/~jnz1568/getInfo.php?workbook=12_04.xlsx&amp;sheet=U0&amp;row=2339&amp;col=7&amp;number=0.0193&amp;sourceID=14","0.0193")</f>
        <v>0.0193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HYPERLINK("http://141.218.60.56/~jnz1568/getInfo.php?workbook=12_04.xlsx&amp;sheet=U0&amp;row=2340&amp;col=6&amp;number=4.6&amp;sourceID=14","4.6")</f>
        <v>4.6</v>
      </c>
      <c r="G2340" s="4" t="str">
        <f>HYPERLINK("http://141.218.60.56/~jnz1568/getInfo.php?workbook=12_04.xlsx&amp;sheet=U0&amp;row=2340&amp;col=7&amp;number=0.0185&amp;sourceID=14","0.0185")</f>
        <v>0.0185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HYPERLINK("http://141.218.60.56/~jnz1568/getInfo.php?workbook=12_04.xlsx&amp;sheet=U0&amp;row=2341&amp;col=6&amp;number=4.7&amp;sourceID=14","4.7")</f>
        <v>4.7</v>
      </c>
      <c r="G2341" s="4" t="str">
        <f>HYPERLINK("http://141.218.60.56/~jnz1568/getInfo.php?workbook=12_04.xlsx&amp;sheet=U0&amp;row=2341&amp;col=7&amp;number=0.0175&amp;sourceID=14","0.0175")</f>
        <v>0.0175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HYPERLINK("http://141.218.60.56/~jnz1568/getInfo.php?workbook=12_04.xlsx&amp;sheet=U0&amp;row=2342&amp;col=6&amp;number=4.8&amp;sourceID=14","4.8")</f>
        <v>4.8</v>
      </c>
      <c r="G2342" s="4" t="str">
        <f>HYPERLINK("http://141.218.60.56/~jnz1568/getInfo.php?workbook=12_04.xlsx&amp;sheet=U0&amp;row=2342&amp;col=7&amp;number=0.0163&amp;sourceID=14","0.0163")</f>
        <v>0.0163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HYPERLINK("http://141.218.60.56/~jnz1568/getInfo.php?workbook=12_04.xlsx&amp;sheet=U0&amp;row=2343&amp;col=6&amp;number=4.9&amp;sourceID=14","4.9")</f>
        <v>4.9</v>
      </c>
      <c r="G2343" s="4" t="str">
        <f>HYPERLINK("http://141.218.60.56/~jnz1568/getInfo.php?workbook=12_04.xlsx&amp;sheet=U0&amp;row=2343&amp;col=7&amp;number=0.0148&amp;sourceID=14","0.0148")</f>
        <v>0.0148</v>
      </c>
    </row>
    <row r="2344" spans="1:7">
      <c r="A2344" s="3">
        <v>12</v>
      </c>
      <c r="B2344" s="3">
        <v>4</v>
      </c>
      <c r="C2344" s="3">
        <v>2</v>
      </c>
      <c r="D2344" s="3">
        <v>23</v>
      </c>
      <c r="E2344" s="3">
        <v>1</v>
      </c>
      <c r="F2344" s="4" t="str">
        <f>HYPERLINK("http://141.218.60.56/~jnz1568/getInfo.php?workbook=12_04.xlsx&amp;sheet=U0&amp;row=2344&amp;col=6&amp;number=3&amp;sourceID=14","3")</f>
        <v>3</v>
      </c>
      <c r="G2344" s="4" t="str">
        <f>HYPERLINK("http://141.218.60.56/~jnz1568/getInfo.php?workbook=12_04.xlsx&amp;sheet=U0&amp;row=2344&amp;col=7&amp;number=0.0139&amp;sourceID=14","0.0139")</f>
        <v>0.0139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HYPERLINK("http://141.218.60.56/~jnz1568/getInfo.php?workbook=12_04.xlsx&amp;sheet=U0&amp;row=2345&amp;col=6&amp;number=3.1&amp;sourceID=14","3.1")</f>
        <v>3.1</v>
      </c>
      <c r="G2345" s="4" t="str">
        <f>HYPERLINK("http://141.218.60.56/~jnz1568/getInfo.php?workbook=12_04.xlsx&amp;sheet=U0&amp;row=2345&amp;col=7&amp;number=0.0139&amp;sourceID=14","0.0139")</f>
        <v>0.0139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HYPERLINK("http://141.218.60.56/~jnz1568/getInfo.php?workbook=12_04.xlsx&amp;sheet=U0&amp;row=2346&amp;col=6&amp;number=3.2&amp;sourceID=14","3.2")</f>
        <v>3.2</v>
      </c>
      <c r="G2346" s="4" t="str">
        <f>HYPERLINK("http://141.218.60.56/~jnz1568/getInfo.php?workbook=12_04.xlsx&amp;sheet=U0&amp;row=2346&amp;col=7&amp;number=0.0139&amp;sourceID=14","0.0139")</f>
        <v>0.0139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HYPERLINK("http://141.218.60.56/~jnz1568/getInfo.php?workbook=12_04.xlsx&amp;sheet=U0&amp;row=2347&amp;col=6&amp;number=3.3&amp;sourceID=14","3.3")</f>
        <v>3.3</v>
      </c>
      <c r="G2347" s="4" t="str">
        <f>HYPERLINK("http://141.218.60.56/~jnz1568/getInfo.php?workbook=12_04.xlsx&amp;sheet=U0&amp;row=2347&amp;col=7&amp;number=0.0139&amp;sourceID=14","0.0139")</f>
        <v>0.0139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HYPERLINK("http://141.218.60.56/~jnz1568/getInfo.php?workbook=12_04.xlsx&amp;sheet=U0&amp;row=2348&amp;col=6&amp;number=3.4&amp;sourceID=14","3.4")</f>
        <v>3.4</v>
      </c>
      <c r="G2348" s="4" t="str">
        <f>HYPERLINK("http://141.218.60.56/~jnz1568/getInfo.php?workbook=12_04.xlsx&amp;sheet=U0&amp;row=2348&amp;col=7&amp;number=0.0139&amp;sourceID=14","0.0139")</f>
        <v>0.0139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HYPERLINK("http://141.218.60.56/~jnz1568/getInfo.php?workbook=12_04.xlsx&amp;sheet=U0&amp;row=2349&amp;col=6&amp;number=3.5&amp;sourceID=14","3.5")</f>
        <v>3.5</v>
      </c>
      <c r="G2349" s="4" t="str">
        <f>HYPERLINK("http://141.218.60.56/~jnz1568/getInfo.php?workbook=12_04.xlsx&amp;sheet=U0&amp;row=2349&amp;col=7&amp;number=0.0138&amp;sourceID=14","0.0138")</f>
        <v>0.0138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HYPERLINK("http://141.218.60.56/~jnz1568/getInfo.php?workbook=12_04.xlsx&amp;sheet=U0&amp;row=2350&amp;col=6&amp;number=3.6&amp;sourceID=14","3.6")</f>
        <v>3.6</v>
      </c>
      <c r="G2350" s="4" t="str">
        <f>HYPERLINK("http://141.218.60.56/~jnz1568/getInfo.php?workbook=12_04.xlsx&amp;sheet=U0&amp;row=2350&amp;col=7&amp;number=0.0138&amp;sourceID=14","0.0138")</f>
        <v>0.0138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HYPERLINK("http://141.218.60.56/~jnz1568/getInfo.php?workbook=12_04.xlsx&amp;sheet=U0&amp;row=2351&amp;col=6&amp;number=3.7&amp;sourceID=14","3.7")</f>
        <v>3.7</v>
      </c>
      <c r="G2351" s="4" t="str">
        <f>HYPERLINK("http://141.218.60.56/~jnz1568/getInfo.php?workbook=12_04.xlsx&amp;sheet=U0&amp;row=2351&amp;col=7&amp;number=0.0137&amp;sourceID=14","0.0137")</f>
        <v>0.0137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HYPERLINK("http://141.218.60.56/~jnz1568/getInfo.php?workbook=12_04.xlsx&amp;sheet=U0&amp;row=2352&amp;col=6&amp;number=3.8&amp;sourceID=14","3.8")</f>
        <v>3.8</v>
      </c>
      <c r="G2352" s="4" t="str">
        <f>HYPERLINK("http://141.218.60.56/~jnz1568/getInfo.php?workbook=12_04.xlsx&amp;sheet=U0&amp;row=2352&amp;col=7&amp;number=0.0136&amp;sourceID=14","0.0136")</f>
        <v>0.0136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HYPERLINK("http://141.218.60.56/~jnz1568/getInfo.php?workbook=12_04.xlsx&amp;sheet=U0&amp;row=2353&amp;col=6&amp;number=3.9&amp;sourceID=14","3.9")</f>
        <v>3.9</v>
      </c>
      <c r="G2353" s="4" t="str">
        <f>HYPERLINK("http://141.218.60.56/~jnz1568/getInfo.php?workbook=12_04.xlsx&amp;sheet=U0&amp;row=2353&amp;col=7&amp;number=0.0135&amp;sourceID=14","0.0135")</f>
        <v>0.0135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HYPERLINK("http://141.218.60.56/~jnz1568/getInfo.php?workbook=12_04.xlsx&amp;sheet=U0&amp;row=2354&amp;col=6&amp;number=4&amp;sourceID=14","4")</f>
        <v>4</v>
      </c>
      <c r="G2354" s="4" t="str">
        <f>HYPERLINK("http://141.218.60.56/~jnz1568/getInfo.php?workbook=12_04.xlsx&amp;sheet=U0&amp;row=2354&amp;col=7&amp;number=0.0134&amp;sourceID=14","0.0134")</f>
        <v>0.0134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HYPERLINK("http://141.218.60.56/~jnz1568/getInfo.php?workbook=12_04.xlsx&amp;sheet=U0&amp;row=2355&amp;col=6&amp;number=4.1&amp;sourceID=14","4.1")</f>
        <v>4.1</v>
      </c>
      <c r="G2355" s="4" t="str">
        <f>HYPERLINK("http://141.218.60.56/~jnz1568/getInfo.php?workbook=12_04.xlsx&amp;sheet=U0&amp;row=2355&amp;col=7&amp;number=0.0133&amp;sourceID=14","0.0133")</f>
        <v>0.0133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HYPERLINK("http://141.218.60.56/~jnz1568/getInfo.php?workbook=12_04.xlsx&amp;sheet=U0&amp;row=2356&amp;col=6&amp;number=4.2&amp;sourceID=14","4.2")</f>
        <v>4.2</v>
      </c>
      <c r="G2356" s="4" t="str">
        <f>HYPERLINK("http://141.218.60.56/~jnz1568/getInfo.php?workbook=12_04.xlsx&amp;sheet=U0&amp;row=2356&amp;col=7&amp;number=0.0131&amp;sourceID=14","0.0131")</f>
        <v>0.0131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HYPERLINK("http://141.218.60.56/~jnz1568/getInfo.php?workbook=12_04.xlsx&amp;sheet=U0&amp;row=2357&amp;col=6&amp;number=4.3&amp;sourceID=14","4.3")</f>
        <v>4.3</v>
      </c>
      <c r="G2357" s="4" t="str">
        <f>HYPERLINK("http://141.218.60.56/~jnz1568/getInfo.php?workbook=12_04.xlsx&amp;sheet=U0&amp;row=2357&amp;col=7&amp;number=0.0128&amp;sourceID=14","0.0128")</f>
        <v>0.0128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HYPERLINK("http://141.218.60.56/~jnz1568/getInfo.php?workbook=12_04.xlsx&amp;sheet=U0&amp;row=2358&amp;col=6&amp;number=4.4&amp;sourceID=14","4.4")</f>
        <v>4.4</v>
      </c>
      <c r="G2358" s="4" t="str">
        <f>HYPERLINK("http://141.218.60.56/~jnz1568/getInfo.php?workbook=12_04.xlsx&amp;sheet=U0&amp;row=2358&amp;col=7&amp;number=0.0125&amp;sourceID=14","0.0125")</f>
        <v>0.0125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HYPERLINK("http://141.218.60.56/~jnz1568/getInfo.php?workbook=12_04.xlsx&amp;sheet=U0&amp;row=2359&amp;col=6&amp;number=4.5&amp;sourceID=14","4.5")</f>
        <v>4.5</v>
      </c>
      <c r="G2359" s="4" t="str">
        <f>HYPERLINK("http://141.218.60.56/~jnz1568/getInfo.php?workbook=12_04.xlsx&amp;sheet=U0&amp;row=2359&amp;col=7&amp;number=0.0122&amp;sourceID=14","0.0122")</f>
        <v>0.0122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HYPERLINK("http://141.218.60.56/~jnz1568/getInfo.php?workbook=12_04.xlsx&amp;sheet=U0&amp;row=2360&amp;col=6&amp;number=4.6&amp;sourceID=14","4.6")</f>
        <v>4.6</v>
      </c>
      <c r="G2360" s="4" t="str">
        <f>HYPERLINK("http://141.218.60.56/~jnz1568/getInfo.php?workbook=12_04.xlsx&amp;sheet=U0&amp;row=2360&amp;col=7&amp;number=0.0117&amp;sourceID=14","0.0117")</f>
        <v>0.0117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HYPERLINK("http://141.218.60.56/~jnz1568/getInfo.php?workbook=12_04.xlsx&amp;sheet=U0&amp;row=2361&amp;col=6&amp;number=4.7&amp;sourceID=14","4.7")</f>
        <v>4.7</v>
      </c>
      <c r="G2361" s="4" t="str">
        <f>HYPERLINK("http://141.218.60.56/~jnz1568/getInfo.php?workbook=12_04.xlsx&amp;sheet=U0&amp;row=2361&amp;col=7&amp;number=0.0112&amp;sourceID=14","0.0112")</f>
        <v>0.0112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HYPERLINK("http://141.218.60.56/~jnz1568/getInfo.php?workbook=12_04.xlsx&amp;sheet=U0&amp;row=2362&amp;col=6&amp;number=4.8&amp;sourceID=14","4.8")</f>
        <v>4.8</v>
      </c>
      <c r="G2362" s="4" t="str">
        <f>HYPERLINK("http://141.218.60.56/~jnz1568/getInfo.php?workbook=12_04.xlsx&amp;sheet=U0&amp;row=2362&amp;col=7&amp;number=0.0105&amp;sourceID=14","0.0105")</f>
        <v>0.0105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HYPERLINK("http://141.218.60.56/~jnz1568/getInfo.php?workbook=12_04.xlsx&amp;sheet=U0&amp;row=2363&amp;col=6&amp;number=4.9&amp;sourceID=14","4.9")</f>
        <v>4.9</v>
      </c>
      <c r="G2363" s="4" t="str">
        <f>HYPERLINK("http://141.218.60.56/~jnz1568/getInfo.php?workbook=12_04.xlsx&amp;sheet=U0&amp;row=2363&amp;col=7&amp;number=0.00971&amp;sourceID=14","0.00971")</f>
        <v>0.00971</v>
      </c>
    </row>
    <row r="2364" spans="1:7">
      <c r="A2364" s="3">
        <v>12</v>
      </c>
      <c r="B2364" s="3">
        <v>4</v>
      </c>
      <c r="C2364" s="3">
        <v>2</v>
      </c>
      <c r="D2364" s="3">
        <v>24</v>
      </c>
      <c r="E2364" s="3">
        <v>1</v>
      </c>
      <c r="F2364" s="4" t="str">
        <f>HYPERLINK("http://141.218.60.56/~jnz1568/getInfo.php?workbook=12_04.xlsx&amp;sheet=U0&amp;row=2364&amp;col=6&amp;number=3&amp;sourceID=14","3")</f>
        <v>3</v>
      </c>
      <c r="G2364" s="4" t="str">
        <f>HYPERLINK("http://141.218.60.56/~jnz1568/getInfo.php?workbook=12_04.xlsx&amp;sheet=U0&amp;row=2364&amp;col=7&amp;number=0.0174&amp;sourceID=14","0.0174")</f>
        <v>0.0174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HYPERLINK("http://141.218.60.56/~jnz1568/getInfo.php?workbook=12_04.xlsx&amp;sheet=U0&amp;row=2365&amp;col=6&amp;number=3.1&amp;sourceID=14","3.1")</f>
        <v>3.1</v>
      </c>
      <c r="G2365" s="4" t="str">
        <f>HYPERLINK("http://141.218.60.56/~jnz1568/getInfo.php?workbook=12_04.xlsx&amp;sheet=U0&amp;row=2365&amp;col=7&amp;number=0.0174&amp;sourceID=14","0.0174")</f>
        <v>0.0174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HYPERLINK("http://141.218.60.56/~jnz1568/getInfo.php?workbook=12_04.xlsx&amp;sheet=U0&amp;row=2366&amp;col=6&amp;number=3.2&amp;sourceID=14","3.2")</f>
        <v>3.2</v>
      </c>
      <c r="G2366" s="4" t="str">
        <f>HYPERLINK("http://141.218.60.56/~jnz1568/getInfo.php?workbook=12_04.xlsx&amp;sheet=U0&amp;row=2366&amp;col=7&amp;number=0.0173&amp;sourceID=14","0.0173")</f>
        <v>0.0173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HYPERLINK("http://141.218.60.56/~jnz1568/getInfo.php?workbook=12_04.xlsx&amp;sheet=U0&amp;row=2367&amp;col=6&amp;number=3.3&amp;sourceID=14","3.3")</f>
        <v>3.3</v>
      </c>
      <c r="G2367" s="4" t="str">
        <f>HYPERLINK("http://141.218.60.56/~jnz1568/getInfo.php?workbook=12_04.xlsx&amp;sheet=U0&amp;row=2367&amp;col=7&amp;number=0.0173&amp;sourceID=14","0.0173")</f>
        <v>0.0173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HYPERLINK("http://141.218.60.56/~jnz1568/getInfo.php?workbook=12_04.xlsx&amp;sheet=U0&amp;row=2368&amp;col=6&amp;number=3.4&amp;sourceID=14","3.4")</f>
        <v>3.4</v>
      </c>
      <c r="G2368" s="4" t="str">
        <f>HYPERLINK("http://141.218.60.56/~jnz1568/getInfo.php?workbook=12_04.xlsx&amp;sheet=U0&amp;row=2368&amp;col=7&amp;number=0.0172&amp;sourceID=14","0.0172")</f>
        <v>0.0172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HYPERLINK("http://141.218.60.56/~jnz1568/getInfo.php?workbook=12_04.xlsx&amp;sheet=U0&amp;row=2369&amp;col=6&amp;number=3.5&amp;sourceID=14","3.5")</f>
        <v>3.5</v>
      </c>
      <c r="G2369" s="4" t="str">
        <f>HYPERLINK("http://141.218.60.56/~jnz1568/getInfo.php?workbook=12_04.xlsx&amp;sheet=U0&amp;row=2369&amp;col=7&amp;number=0.0172&amp;sourceID=14","0.0172")</f>
        <v>0.0172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HYPERLINK("http://141.218.60.56/~jnz1568/getInfo.php?workbook=12_04.xlsx&amp;sheet=U0&amp;row=2370&amp;col=6&amp;number=3.6&amp;sourceID=14","3.6")</f>
        <v>3.6</v>
      </c>
      <c r="G2370" s="4" t="str">
        <f>HYPERLINK("http://141.218.60.56/~jnz1568/getInfo.php?workbook=12_04.xlsx&amp;sheet=U0&amp;row=2370&amp;col=7&amp;number=0.0171&amp;sourceID=14","0.0171")</f>
        <v>0.0171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HYPERLINK("http://141.218.60.56/~jnz1568/getInfo.php?workbook=12_04.xlsx&amp;sheet=U0&amp;row=2371&amp;col=6&amp;number=3.7&amp;sourceID=14","3.7")</f>
        <v>3.7</v>
      </c>
      <c r="G2371" s="4" t="str">
        <f>HYPERLINK("http://141.218.60.56/~jnz1568/getInfo.php?workbook=12_04.xlsx&amp;sheet=U0&amp;row=2371&amp;col=7&amp;number=0.017&amp;sourceID=14","0.017")</f>
        <v>0.017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HYPERLINK("http://141.218.60.56/~jnz1568/getInfo.php?workbook=12_04.xlsx&amp;sheet=U0&amp;row=2372&amp;col=6&amp;number=3.8&amp;sourceID=14","3.8")</f>
        <v>3.8</v>
      </c>
      <c r="G2372" s="4" t="str">
        <f>HYPERLINK("http://141.218.60.56/~jnz1568/getInfo.php?workbook=12_04.xlsx&amp;sheet=U0&amp;row=2372&amp;col=7&amp;number=0.0169&amp;sourceID=14","0.0169")</f>
        <v>0.0169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HYPERLINK("http://141.218.60.56/~jnz1568/getInfo.php?workbook=12_04.xlsx&amp;sheet=U0&amp;row=2373&amp;col=6&amp;number=3.9&amp;sourceID=14","3.9")</f>
        <v>3.9</v>
      </c>
      <c r="G2373" s="4" t="str">
        <f>HYPERLINK("http://141.218.60.56/~jnz1568/getInfo.php?workbook=12_04.xlsx&amp;sheet=U0&amp;row=2373&amp;col=7&amp;number=0.0167&amp;sourceID=14","0.0167")</f>
        <v>0.0167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HYPERLINK("http://141.218.60.56/~jnz1568/getInfo.php?workbook=12_04.xlsx&amp;sheet=U0&amp;row=2374&amp;col=6&amp;number=4&amp;sourceID=14","4")</f>
        <v>4</v>
      </c>
      <c r="G2374" s="4" t="str">
        <f>HYPERLINK("http://141.218.60.56/~jnz1568/getInfo.php?workbook=12_04.xlsx&amp;sheet=U0&amp;row=2374&amp;col=7&amp;number=0.0165&amp;sourceID=14","0.0165")</f>
        <v>0.0165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HYPERLINK("http://141.218.60.56/~jnz1568/getInfo.php?workbook=12_04.xlsx&amp;sheet=U0&amp;row=2375&amp;col=6&amp;number=4.1&amp;sourceID=14","4.1")</f>
        <v>4.1</v>
      </c>
      <c r="G2375" s="4" t="str">
        <f>HYPERLINK("http://141.218.60.56/~jnz1568/getInfo.php?workbook=12_04.xlsx&amp;sheet=U0&amp;row=2375&amp;col=7&amp;number=0.0163&amp;sourceID=14","0.0163")</f>
        <v>0.0163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HYPERLINK("http://141.218.60.56/~jnz1568/getInfo.php?workbook=12_04.xlsx&amp;sheet=U0&amp;row=2376&amp;col=6&amp;number=4.2&amp;sourceID=14","4.2")</f>
        <v>4.2</v>
      </c>
      <c r="G2376" s="4" t="str">
        <f>HYPERLINK("http://141.218.60.56/~jnz1568/getInfo.php?workbook=12_04.xlsx&amp;sheet=U0&amp;row=2376&amp;col=7&amp;number=0.016&amp;sourceID=14","0.016")</f>
        <v>0.016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HYPERLINK("http://141.218.60.56/~jnz1568/getInfo.php?workbook=12_04.xlsx&amp;sheet=U0&amp;row=2377&amp;col=6&amp;number=4.3&amp;sourceID=14","4.3")</f>
        <v>4.3</v>
      </c>
      <c r="G2377" s="4" t="str">
        <f>HYPERLINK("http://141.218.60.56/~jnz1568/getInfo.php?workbook=12_04.xlsx&amp;sheet=U0&amp;row=2377&amp;col=7&amp;number=0.0156&amp;sourceID=14","0.0156")</f>
        <v>0.0156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HYPERLINK("http://141.218.60.56/~jnz1568/getInfo.php?workbook=12_04.xlsx&amp;sheet=U0&amp;row=2378&amp;col=6&amp;number=4.4&amp;sourceID=14","4.4")</f>
        <v>4.4</v>
      </c>
      <c r="G2378" s="4" t="str">
        <f>HYPERLINK("http://141.218.60.56/~jnz1568/getInfo.php?workbook=12_04.xlsx&amp;sheet=U0&amp;row=2378&amp;col=7&amp;number=0.0151&amp;sourceID=14","0.0151")</f>
        <v>0.0151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HYPERLINK("http://141.218.60.56/~jnz1568/getInfo.php?workbook=12_04.xlsx&amp;sheet=U0&amp;row=2379&amp;col=6&amp;number=4.5&amp;sourceID=14","4.5")</f>
        <v>4.5</v>
      </c>
      <c r="G2379" s="4" t="str">
        <f>HYPERLINK("http://141.218.60.56/~jnz1568/getInfo.php?workbook=12_04.xlsx&amp;sheet=U0&amp;row=2379&amp;col=7&amp;number=0.0145&amp;sourceID=14","0.0145")</f>
        <v>0.0145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HYPERLINK("http://141.218.60.56/~jnz1568/getInfo.php?workbook=12_04.xlsx&amp;sheet=U0&amp;row=2380&amp;col=6&amp;number=4.6&amp;sourceID=14","4.6")</f>
        <v>4.6</v>
      </c>
      <c r="G2380" s="4" t="str">
        <f>HYPERLINK("http://141.218.60.56/~jnz1568/getInfo.php?workbook=12_04.xlsx&amp;sheet=U0&amp;row=2380&amp;col=7&amp;number=0.0138&amp;sourceID=14","0.0138")</f>
        <v>0.0138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HYPERLINK("http://141.218.60.56/~jnz1568/getInfo.php?workbook=12_04.xlsx&amp;sheet=U0&amp;row=2381&amp;col=6&amp;number=4.7&amp;sourceID=14","4.7")</f>
        <v>4.7</v>
      </c>
      <c r="G2381" s="4" t="str">
        <f>HYPERLINK("http://141.218.60.56/~jnz1568/getInfo.php?workbook=12_04.xlsx&amp;sheet=U0&amp;row=2381&amp;col=7&amp;number=0.0129&amp;sourceID=14","0.0129")</f>
        <v>0.0129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HYPERLINK("http://141.218.60.56/~jnz1568/getInfo.php?workbook=12_04.xlsx&amp;sheet=U0&amp;row=2382&amp;col=6&amp;number=4.8&amp;sourceID=14","4.8")</f>
        <v>4.8</v>
      </c>
      <c r="G2382" s="4" t="str">
        <f>HYPERLINK("http://141.218.60.56/~jnz1568/getInfo.php?workbook=12_04.xlsx&amp;sheet=U0&amp;row=2382&amp;col=7&amp;number=0.0118&amp;sourceID=14","0.0118")</f>
        <v>0.0118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HYPERLINK("http://141.218.60.56/~jnz1568/getInfo.php?workbook=12_04.xlsx&amp;sheet=U0&amp;row=2383&amp;col=6&amp;number=4.9&amp;sourceID=14","4.9")</f>
        <v>4.9</v>
      </c>
      <c r="G2383" s="4" t="str">
        <f>HYPERLINK("http://141.218.60.56/~jnz1568/getInfo.php?workbook=12_04.xlsx&amp;sheet=U0&amp;row=2383&amp;col=7&amp;number=0.0106&amp;sourceID=14","0.0106")</f>
        <v>0.0106</v>
      </c>
    </row>
    <row r="2384" spans="1:7">
      <c r="A2384" s="3">
        <v>12</v>
      </c>
      <c r="B2384" s="3">
        <v>4</v>
      </c>
      <c r="C2384" s="3">
        <v>2</v>
      </c>
      <c r="D2384" s="3">
        <v>25</v>
      </c>
      <c r="E2384" s="3">
        <v>1</v>
      </c>
      <c r="F2384" s="4" t="str">
        <f>HYPERLINK("http://141.218.60.56/~jnz1568/getInfo.php?workbook=12_04.xlsx&amp;sheet=U0&amp;row=2384&amp;col=6&amp;number=3&amp;sourceID=14","3")</f>
        <v>3</v>
      </c>
      <c r="G2384" s="4" t="str">
        <f>HYPERLINK("http://141.218.60.56/~jnz1568/getInfo.php?workbook=12_04.xlsx&amp;sheet=U0&amp;row=2384&amp;col=7&amp;number=0.0159&amp;sourceID=14","0.0159")</f>
        <v>0.0159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HYPERLINK("http://141.218.60.56/~jnz1568/getInfo.php?workbook=12_04.xlsx&amp;sheet=U0&amp;row=2385&amp;col=6&amp;number=3.1&amp;sourceID=14","3.1")</f>
        <v>3.1</v>
      </c>
      <c r="G2385" s="4" t="str">
        <f>HYPERLINK("http://141.218.60.56/~jnz1568/getInfo.php?workbook=12_04.xlsx&amp;sheet=U0&amp;row=2385&amp;col=7&amp;number=0.0159&amp;sourceID=14","0.0159")</f>
        <v>0.0159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HYPERLINK("http://141.218.60.56/~jnz1568/getInfo.php?workbook=12_04.xlsx&amp;sheet=U0&amp;row=2386&amp;col=6&amp;number=3.2&amp;sourceID=14","3.2")</f>
        <v>3.2</v>
      </c>
      <c r="G2386" s="4" t="str">
        <f>HYPERLINK("http://141.218.60.56/~jnz1568/getInfo.php?workbook=12_04.xlsx&amp;sheet=U0&amp;row=2386&amp;col=7&amp;number=0.0159&amp;sourceID=14","0.0159")</f>
        <v>0.0159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HYPERLINK("http://141.218.60.56/~jnz1568/getInfo.php?workbook=12_04.xlsx&amp;sheet=U0&amp;row=2387&amp;col=6&amp;number=3.3&amp;sourceID=14","3.3")</f>
        <v>3.3</v>
      </c>
      <c r="G2387" s="4" t="str">
        <f>HYPERLINK("http://141.218.60.56/~jnz1568/getInfo.php?workbook=12_04.xlsx&amp;sheet=U0&amp;row=2387&amp;col=7&amp;number=0.0158&amp;sourceID=14","0.0158")</f>
        <v>0.0158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HYPERLINK("http://141.218.60.56/~jnz1568/getInfo.php?workbook=12_04.xlsx&amp;sheet=U0&amp;row=2388&amp;col=6&amp;number=3.4&amp;sourceID=14","3.4")</f>
        <v>3.4</v>
      </c>
      <c r="G2388" s="4" t="str">
        <f>HYPERLINK("http://141.218.60.56/~jnz1568/getInfo.php?workbook=12_04.xlsx&amp;sheet=U0&amp;row=2388&amp;col=7&amp;number=0.0158&amp;sourceID=14","0.0158")</f>
        <v>0.0158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HYPERLINK("http://141.218.60.56/~jnz1568/getInfo.php?workbook=12_04.xlsx&amp;sheet=U0&amp;row=2389&amp;col=6&amp;number=3.5&amp;sourceID=14","3.5")</f>
        <v>3.5</v>
      </c>
      <c r="G2389" s="4" t="str">
        <f>HYPERLINK("http://141.218.60.56/~jnz1568/getInfo.php?workbook=12_04.xlsx&amp;sheet=U0&amp;row=2389&amp;col=7&amp;number=0.0157&amp;sourceID=14","0.0157")</f>
        <v>0.0157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HYPERLINK("http://141.218.60.56/~jnz1568/getInfo.php?workbook=12_04.xlsx&amp;sheet=U0&amp;row=2390&amp;col=6&amp;number=3.6&amp;sourceID=14","3.6")</f>
        <v>3.6</v>
      </c>
      <c r="G2390" s="4" t="str">
        <f>HYPERLINK("http://141.218.60.56/~jnz1568/getInfo.php?workbook=12_04.xlsx&amp;sheet=U0&amp;row=2390&amp;col=7&amp;number=0.0156&amp;sourceID=14","0.0156")</f>
        <v>0.0156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HYPERLINK("http://141.218.60.56/~jnz1568/getInfo.php?workbook=12_04.xlsx&amp;sheet=U0&amp;row=2391&amp;col=6&amp;number=3.7&amp;sourceID=14","3.7")</f>
        <v>3.7</v>
      </c>
      <c r="G2391" s="4" t="str">
        <f>HYPERLINK("http://141.218.60.56/~jnz1568/getInfo.php?workbook=12_04.xlsx&amp;sheet=U0&amp;row=2391&amp;col=7&amp;number=0.0156&amp;sourceID=14","0.0156")</f>
        <v>0.0156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HYPERLINK("http://141.218.60.56/~jnz1568/getInfo.php?workbook=12_04.xlsx&amp;sheet=U0&amp;row=2392&amp;col=6&amp;number=3.8&amp;sourceID=14","3.8")</f>
        <v>3.8</v>
      </c>
      <c r="G2392" s="4" t="str">
        <f>HYPERLINK("http://141.218.60.56/~jnz1568/getInfo.php?workbook=12_04.xlsx&amp;sheet=U0&amp;row=2392&amp;col=7&amp;number=0.0154&amp;sourceID=14","0.0154")</f>
        <v>0.0154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HYPERLINK("http://141.218.60.56/~jnz1568/getInfo.php?workbook=12_04.xlsx&amp;sheet=U0&amp;row=2393&amp;col=6&amp;number=3.9&amp;sourceID=14","3.9")</f>
        <v>3.9</v>
      </c>
      <c r="G2393" s="4" t="str">
        <f>HYPERLINK("http://141.218.60.56/~jnz1568/getInfo.php?workbook=12_04.xlsx&amp;sheet=U0&amp;row=2393&amp;col=7&amp;number=0.0153&amp;sourceID=14","0.0153")</f>
        <v>0.0153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HYPERLINK("http://141.218.60.56/~jnz1568/getInfo.php?workbook=12_04.xlsx&amp;sheet=U0&amp;row=2394&amp;col=6&amp;number=4&amp;sourceID=14","4")</f>
        <v>4</v>
      </c>
      <c r="G2394" s="4" t="str">
        <f>HYPERLINK("http://141.218.60.56/~jnz1568/getInfo.php?workbook=12_04.xlsx&amp;sheet=U0&amp;row=2394&amp;col=7&amp;number=0.0151&amp;sourceID=14","0.0151")</f>
        <v>0.0151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HYPERLINK("http://141.218.60.56/~jnz1568/getInfo.php?workbook=12_04.xlsx&amp;sheet=U0&amp;row=2395&amp;col=6&amp;number=4.1&amp;sourceID=14","4.1")</f>
        <v>4.1</v>
      </c>
      <c r="G2395" s="4" t="str">
        <f>HYPERLINK("http://141.218.60.56/~jnz1568/getInfo.php?workbook=12_04.xlsx&amp;sheet=U0&amp;row=2395&amp;col=7&amp;number=0.0149&amp;sourceID=14","0.0149")</f>
        <v>0.0149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HYPERLINK("http://141.218.60.56/~jnz1568/getInfo.php?workbook=12_04.xlsx&amp;sheet=U0&amp;row=2396&amp;col=6&amp;number=4.2&amp;sourceID=14","4.2")</f>
        <v>4.2</v>
      </c>
      <c r="G2396" s="4" t="str">
        <f>HYPERLINK("http://141.218.60.56/~jnz1568/getInfo.php?workbook=12_04.xlsx&amp;sheet=U0&amp;row=2396&amp;col=7&amp;number=0.0146&amp;sourceID=14","0.0146")</f>
        <v>0.0146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HYPERLINK("http://141.218.60.56/~jnz1568/getInfo.php?workbook=12_04.xlsx&amp;sheet=U0&amp;row=2397&amp;col=6&amp;number=4.3&amp;sourceID=14","4.3")</f>
        <v>4.3</v>
      </c>
      <c r="G2397" s="4" t="str">
        <f>HYPERLINK("http://141.218.60.56/~jnz1568/getInfo.php?workbook=12_04.xlsx&amp;sheet=U0&amp;row=2397&amp;col=7&amp;number=0.0142&amp;sourceID=14","0.0142")</f>
        <v>0.0142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HYPERLINK("http://141.218.60.56/~jnz1568/getInfo.php?workbook=12_04.xlsx&amp;sheet=U0&amp;row=2398&amp;col=6&amp;number=4.4&amp;sourceID=14","4.4")</f>
        <v>4.4</v>
      </c>
      <c r="G2398" s="4" t="str">
        <f>HYPERLINK("http://141.218.60.56/~jnz1568/getInfo.php?workbook=12_04.xlsx&amp;sheet=U0&amp;row=2398&amp;col=7&amp;number=0.0138&amp;sourceID=14","0.0138")</f>
        <v>0.0138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HYPERLINK("http://141.218.60.56/~jnz1568/getInfo.php?workbook=12_04.xlsx&amp;sheet=U0&amp;row=2399&amp;col=6&amp;number=4.5&amp;sourceID=14","4.5")</f>
        <v>4.5</v>
      </c>
      <c r="G2399" s="4" t="str">
        <f>HYPERLINK("http://141.218.60.56/~jnz1568/getInfo.php?workbook=12_04.xlsx&amp;sheet=U0&amp;row=2399&amp;col=7&amp;number=0.0132&amp;sourceID=14","0.0132")</f>
        <v>0.0132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HYPERLINK("http://141.218.60.56/~jnz1568/getInfo.php?workbook=12_04.xlsx&amp;sheet=U0&amp;row=2400&amp;col=6&amp;number=4.6&amp;sourceID=14","4.6")</f>
        <v>4.6</v>
      </c>
      <c r="G2400" s="4" t="str">
        <f>HYPERLINK("http://141.218.60.56/~jnz1568/getInfo.php?workbook=12_04.xlsx&amp;sheet=U0&amp;row=2400&amp;col=7&amp;number=0.0125&amp;sourceID=14","0.0125")</f>
        <v>0.0125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HYPERLINK("http://141.218.60.56/~jnz1568/getInfo.php?workbook=12_04.xlsx&amp;sheet=U0&amp;row=2401&amp;col=6&amp;number=4.7&amp;sourceID=14","4.7")</f>
        <v>4.7</v>
      </c>
      <c r="G2401" s="4" t="str">
        <f>HYPERLINK("http://141.218.60.56/~jnz1568/getInfo.php?workbook=12_04.xlsx&amp;sheet=U0&amp;row=2401&amp;col=7&amp;number=0.0117&amp;sourceID=14","0.0117")</f>
        <v>0.0117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HYPERLINK("http://141.218.60.56/~jnz1568/getInfo.php?workbook=12_04.xlsx&amp;sheet=U0&amp;row=2402&amp;col=6&amp;number=4.8&amp;sourceID=14","4.8")</f>
        <v>4.8</v>
      </c>
      <c r="G2402" s="4" t="str">
        <f>HYPERLINK("http://141.218.60.56/~jnz1568/getInfo.php?workbook=12_04.xlsx&amp;sheet=U0&amp;row=2402&amp;col=7&amp;number=0.0107&amp;sourceID=14","0.0107")</f>
        <v>0.0107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HYPERLINK("http://141.218.60.56/~jnz1568/getInfo.php?workbook=12_04.xlsx&amp;sheet=U0&amp;row=2403&amp;col=6&amp;number=4.9&amp;sourceID=14","4.9")</f>
        <v>4.9</v>
      </c>
      <c r="G2403" s="4" t="str">
        <f>HYPERLINK("http://141.218.60.56/~jnz1568/getInfo.php?workbook=12_04.xlsx&amp;sheet=U0&amp;row=2403&amp;col=7&amp;number=0.00951&amp;sourceID=14","0.00951")</f>
        <v>0.00951</v>
      </c>
    </row>
    <row r="2404" spans="1:7">
      <c r="A2404" s="3">
        <v>12</v>
      </c>
      <c r="B2404" s="3">
        <v>4</v>
      </c>
      <c r="C2404" s="3">
        <v>2</v>
      </c>
      <c r="D2404" s="3">
        <v>26</v>
      </c>
      <c r="E2404" s="3">
        <v>1</v>
      </c>
      <c r="F2404" s="4" t="str">
        <f>HYPERLINK("http://141.218.60.56/~jnz1568/getInfo.php?workbook=12_04.xlsx&amp;sheet=U0&amp;row=2404&amp;col=6&amp;number=3&amp;sourceID=14","3")</f>
        <v>3</v>
      </c>
      <c r="G2404" s="4" t="str">
        <f>HYPERLINK("http://141.218.60.56/~jnz1568/getInfo.php?workbook=12_04.xlsx&amp;sheet=U0&amp;row=2404&amp;col=7&amp;number=0.0278&amp;sourceID=14","0.0278")</f>
        <v>0.0278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HYPERLINK("http://141.218.60.56/~jnz1568/getInfo.php?workbook=12_04.xlsx&amp;sheet=U0&amp;row=2405&amp;col=6&amp;number=3.1&amp;sourceID=14","3.1")</f>
        <v>3.1</v>
      </c>
      <c r="G2405" s="4" t="str">
        <f>HYPERLINK("http://141.218.60.56/~jnz1568/getInfo.php?workbook=12_04.xlsx&amp;sheet=U0&amp;row=2405&amp;col=7&amp;number=0.0277&amp;sourceID=14","0.0277")</f>
        <v>0.0277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HYPERLINK("http://141.218.60.56/~jnz1568/getInfo.php?workbook=12_04.xlsx&amp;sheet=U0&amp;row=2406&amp;col=6&amp;number=3.2&amp;sourceID=14","3.2")</f>
        <v>3.2</v>
      </c>
      <c r="G2406" s="4" t="str">
        <f>HYPERLINK("http://141.218.60.56/~jnz1568/getInfo.php?workbook=12_04.xlsx&amp;sheet=U0&amp;row=2406&amp;col=7&amp;number=0.0277&amp;sourceID=14","0.0277")</f>
        <v>0.0277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HYPERLINK("http://141.218.60.56/~jnz1568/getInfo.php?workbook=12_04.xlsx&amp;sheet=U0&amp;row=2407&amp;col=6&amp;number=3.3&amp;sourceID=14","3.3")</f>
        <v>3.3</v>
      </c>
      <c r="G2407" s="4" t="str">
        <f>HYPERLINK("http://141.218.60.56/~jnz1568/getInfo.php?workbook=12_04.xlsx&amp;sheet=U0&amp;row=2407&amp;col=7&amp;number=0.0276&amp;sourceID=14","0.0276")</f>
        <v>0.0276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HYPERLINK("http://141.218.60.56/~jnz1568/getInfo.php?workbook=12_04.xlsx&amp;sheet=U0&amp;row=2408&amp;col=6&amp;number=3.4&amp;sourceID=14","3.4")</f>
        <v>3.4</v>
      </c>
      <c r="G2408" s="4" t="str">
        <f>HYPERLINK("http://141.218.60.56/~jnz1568/getInfo.php?workbook=12_04.xlsx&amp;sheet=U0&amp;row=2408&amp;col=7&amp;number=0.0275&amp;sourceID=14","0.0275")</f>
        <v>0.0275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HYPERLINK("http://141.218.60.56/~jnz1568/getInfo.php?workbook=12_04.xlsx&amp;sheet=U0&amp;row=2409&amp;col=6&amp;number=3.5&amp;sourceID=14","3.5")</f>
        <v>3.5</v>
      </c>
      <c r="G2409" s="4" t="str">
        <f>HYPERLINK("http://141.218.60.56/~jnz1568/getInfo.php?workbook=12_04.xlsx&amp;sheet=U0&amp;row=2409&amp;col=7&amp;number=0.0274&amp;sourceID=14","0.0274")</f>
        <v>0.0274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HYPERLINK("http://141.218.60.56/~jnz1568/getInfo.php?workbook=12_04.xlsx&amp;sheet=U0&amp;row=2410&amp;col=6&amp;number=3.6&amp;sourceID=14","3.6")</f>
        <v>3.6</v>
      </c>
      <c r="G2410" s="4" t="str">
        <f>HYPERLINK("http://141.218.60.56/~jnz1568/getInfo.php?workbook=12_04.xlsx&amp;sheet=U0&amp;row=2410&amp;col=7&amp;number=0.0273&amp;sourceID=14","0.0273")</f>
        <v>0.0273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HYPERLINK("http://141.218.60.56/~jnz1568/getInfo.php?workbook=12_04.xlsx&amp;sheet=U0&amp;row=2411&amp;col=6&amp;number=3.7&amp;sourceID=14","3.7")</f>
        <v>3.7</v>
      </c>
      <c r="G2411" s="4" t="str">
        <f>HYPERLINK("http://141.218.60.56/~jnz1568/getInfo.php?workbook=12_04.xlsx&amp;sheet=U0&amp;row=2411&amp;col=7&amp;number=0.0271&amp;sourceID=14","0.0271")</f>
        <v>0.0271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HYPERLINK("http://141.218.60.56/~jnz1568/getInfo.php?workbook=12_04.xlsx&amp;sheet=U0&amp;row=2412&amp;col=6&amp;number=3.8&amp;sourceID=14","3.8")</f>
        <v>3.8</v>
      </c>
      <c r="G2412" s="4" t="str">
        <f>HYPERLINK("http://141.218.60.56/~jnz1568/getInfo.php?workbook=12_04.xlsx&amp;sheet=U0&amp;row=2412&amp;col=7&amp;number=0.0269&amp;sourceID=14","0.0269")</f>
        <v>0.0269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HYPERLINK("http://141.218.60.56/~jnz1568/getInfo.php?workbook=12_04.xlsx&amp;sheet=U0&amp;row=2413&amp;col=6&amp;number=3.9&amp;sourceID=14","3.9")</f>
        <v>3.9</v>
      </c>
      <c r="G2413" s="4" t="str">
        <f>HYPERLINK("http://141.218.60.56/~jnz1568/getInfo.php?workbook=12_04.xlsx&amp;sheet=U0&amp;row=2413&amp;col=7&amp;number=0.0267&amp;sourceID=14","0.0267")</f>
        <v>0.0267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HYPERLINK("http://141.218.60.56/~jnz1568/getInfo.php?workbook=12_04.xlsx&amp;sheet=U0&amp;row=2414&amp;col=6&amp;number=4&amp;sourceID=14","4")</f>
        <v>4</v>
      </c>
      <c r="G2414" s="4" t="str">
        <f>HYPERLINK("http://141.218.60.56/~jnz1568/getInfo.php?workbook=12_04.xlsx&amp;sheet=U0&amp;row=2414&amp;col=7&amp;number=0.0263&amp;sourceID=14","0.0263")</f>
        <v>0.0263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HYPERLINK("http://141.218.60.56/~jnz1568/getInfo.php?workbook=12_04.xlsx&amp;sheet=U0&amp;row=2415&amp;col=6&amp;number=4.1&amp;sourceID=14","4.1")</f>
        <v>4.1</v>
      </c>
      <c r="G2415" s="4" t="str">
        <f>HYPERLINK("http://141.218.60.56/~jnz1568/getInfo.php?workbook=12_04.xlsx&amp;sheet=U0&amp;row=2415&amp;col=7&amp;number=0.0259&amp;sourceID=14","0.0259")</f>
        <v>0.0259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HYPERLINK("http://141.218.60.56/~jnz1568/getInfo.php?workbook=12_04.xlsx&amp;sheet=U0&amp;row=2416&amp;col=6&amp;number=4.2&amp;sourceID=14","4.2")</f>
        <v>4.2</v>
      </c>
      <c r="G2416" s="4" t="str">
        <f>HYPERLINK("http://141.218.60.56/~jnz1568/getInfo.php?workbook=12_04.xlsx&amp;sheet=U0&amp;row=2416&amp;col=7&amp;number=0.0254&amp;sourceID=14","0.0254")</f>
        <v>0.0254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HYPERLINK("http://141.218.60.56/~jnz1568/getInfo.php?workbook=12_04.xlsx&amp;sheet=U0&amp;row=2417&amp;col=6&amp;number=4.3&amp;sourceID=14","4.3")</f>
        <v>4.3</v>
      </c>
      <c r="G2417" s="4" t="str">
        <f>HYPERLINK("http://141.218.60.56/~jnz1568/getInfo.php?workbook=12_04.xlsx&amp;sheet=U0&amp;row=2417&amp;col=7&amp;number=0.0248&amp;sourceID=14","0.0248")</f>
        <v>0.0248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HYPERLINK("http://141.218.60.56/~jnz1568/getInfo.php?workbook=12_04.xlsx&amp;sheet=U0&amp;row=2418&amp;col=6&amp;number=4.4&amp;sourceID=14","4.4")</f>
        <v>4.4</v>
      </c>
      <c r="G2418" s="4" t="str">
        <f>HYPERLINK("http://141.218.60.56/~jnz1568/getInfo.php?workbook=12_04.xlsx&amp;sheet=U0&amp;row=2418&amp;col=7&amp;number=0.024&amp;sourceID=14","0.024")</f>
        <v>0.024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HYPERLINK("http://141.218.60.56/~jnz1568/getInfo.php?workbook=12_04.xlsx&amp;sheet=U0&amp;row=2419&amp;col=6&amp;number=4.5&amp;sourceID=14","4.5")</f>
        <v>4.5</v>
      </c>
      <c r="G2419" s="4" t="str">
        <f>HYPERLINK("http://141.218.60.56/~jnz1568/getInfo.php?workbook=12_04.xlsx&amp;sheet=U0&amp;row=2419&amp;col=7&amp;number=0.023&amp;sourceID=14","0.023")</f>
        <v>0.023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HYPERLINK("http://141.218.60.56/~jnz1568/getInfo.php?workbook=12_04.xlsx&amp;sheet=U0&amp;row=2420&amp;col=6&amp;number=4.6&amp;sourceID=14","4.6")</f>
        <v>4.6</v>
      </c>
      <c r="G2420" s="4" t="str">
        <f>HYPERLINK("http://141.218.60.56/~jnz1568/getInfo.php?workbook=12_04.xlsx&amp;sheet=U0&amp;row=2420&amp;col=7&amp;number=0.0218&amp;sourceID=14","0.0218")</f>
        <v>0.0218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HYPERLINK("http://141.218.60.56/~jnz1568/getInfo.php?workbook=12_04.xlsx&amp;sheet=U0&amp;row=2421&amp;col=6&amp;number=4.7&amp;sourceID=14","4.7")</f>
        <v>4.7</v>
      </c>
      <c r="G2421" s="4" t="str">
        <f>HYPERLINK("http://141.218.60.56/~jnz1568/getInfo.php?workbook=12_04.xlsx&amp;sheet=U0&amp;row=2421&amp;col=7&amp;number=0.0204&amp;sourceID=14","0.0204")</f>
        <v>0.0204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HYPERLINK("http://141.218.60.56/~jnz1568/getInfo.php?workbook=12_04.xlsx&amp;sheet=U0&amp;row=2422&amp;col=6&amp;number=4.8&amp;sourceID=14","4.8")</f>
        <v>4.8</v>
      </c>
      <c r="G2422" s="4" t="str">
        <f>HYPERLINK("http://141.218.60.56/~jnz1568/getInfo.php?workbook=12_04.xlsx&amp;sheet=U0&amp;row=2422&amp;col=7&amp;number=0.0186&amp;sourceID=14","0.0186")</f>
        <v>0.0186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HYPERLINK("http://141.218.60.56/~jnz1568/getInfo.php?workbook=12_04.xlsx&amp;sheet=U0&amp;row=2423&amp;col=6&amp;number=4.9&amp;sourceID=14","4.9")</f>
        <v>4.9</v>
      </c>
      <c r="G2423" s="4" t="str">
        <f>HYPERLINK("http://141.218.60.56/~jnz1568/getInfo.php?workbook=12_04.xlsx&amp;sheet=U0&amp;row=2423&amp;col=7&amp;number=0.0165&amp;sourceID=14","0.0165")</f>
        <v>0.0165</v>
      </c>
    </row>
    <row r="2424" spans="1:7">
      <c r="A2424" s="3">
        <v>12</v>
      </c>
      <c r="B2424" s="3">
        <v>4</v>
      </c>
      <c r="C2424" s="3">
        <v>2</v>
      </c>
      <c r="D2424" s="3">
        <v>27</v>
      </c>
      <c r="E2424" s="3">
        <v>1</v>
      </c>
      <c r="F2424" s="4" t="str">
        <f>HYPERLINK("http://141.218.60.56/~jnz1568/getInfo.php?workbook=12_04.xlsx&amp;sheet=U0&amp;row=2424&amp;col=6&amp;number=3&amp;sourceID=14","3")</f>
        <v>3</v>
      </c>
      <c r="G2424" s="4" t="str">
        <f>HYPERLINK("http://141.218.60.56/~jnz1568/getInfo.php?workbook=12_04.xlsx&amp;sheet=U0&amp;row=2424&amp;col=7&amp;number=0.0351&amp;sourceID=14","0.0351")</f>
        <v>0.0351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HYPERLINK("http://141.218.60.56/~jnz1568/getInfo.php?workbook=12_04.xlsx&amp;sheet=U0&amp;row=2425&amp;col=6&amp;number=3.1&amp;sourceID=14","3.1")</f>
        <v>3.1</v>
      </c>
      <c r="G2425" s="4" t="str">
        <f>HYPERLINK("http://141.218.60.56/~jnz1568/getInfo.php?workbook=12_04.xlsx&amp;sheet=U0&amp;row=2425&amp;col=7&amp;number=0.035&amp;sourceID=14","0.035")</f>
        <v>0.035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HYPERLINK("http://141.218.60.56/~jnz1568/getInfo.php?workbook=12_04.xlsx&amp;sheet=U0&amp;row=2426&amp;col=6&amp;number=3.2&amp;sourceID=14","3.2")</f>
        <v>3.2</v>
      </c>
      <c r="G2426" s="4" t="str">
        <f>HYPERLINK("http://141.218.60.56/~jnz1568/getInfo.php?workbook=12_04.xlsx&amp;sheet=U0&amp;row=2426&amp;col=7&amp;number=0.0349&amp;sourceID=14","0.0349")</f>
        <v>0.0349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HYPERLINK("http://141.218.60.56/~jnz1568/getInfo.php?workbook=12_04.xlsx&amp;sheet=U0&amp;row=2427&amp;col=6&amp;number=3.3&amp;sourceID=14","3.3")</f>
        <v>3.3</v>
      </c>
      <c r="G2427" s="4" t="str">
        <f>HYPERLINK("http://141.218.60.56/~jnz1568/getInfo.php?workbook=12_04.xlsx&amp;sheet=U0&amp;row=2427&amp;col=7&amp;number=0.0348&amp;sourceID=14","0.0348")</f>
        <v>0.0348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HYPERLINK("http://141.218.60.56/~jnz1568/getInfo.php?workbook=12_04.xlsx&amp;sheet=U0&amp;row=2428&amp;col=6&amp;number=3.4&amp;sourceID=14","3.4")</f>
        <v>3.4</v>
      </c>
      <c r="G2428" s="4" t="str">
        <f>HYPERLINK("http://141.218.60.56/~jnz1568/getInfo.php?workbook=12_04.xlsx&amp;sheet=U0&amp;row=2428&amp;col=7&amp;number=0.0346&amp;sourceID=14","0.0346")</f>
        <v>0.0346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HYPERLINK("http://141.218.60.56/~jnz1568/getInfo.php?workbook=12_04.xlsx&amp;sheet=U0&amp;row=2429&amp;col=6&amp;number=3.5&amp;sourceID=14","3.5")</f>
        <v>3.5</v>
      </c>
      <c r="G2429" s="4" t="str">
        <f>HYPERLINK("http://141.218.60.56/~jnz1568/getInfo.php?workbook=12_04.xlsx&amp;sheet=U0&amp;row=2429&amp;col=7&amp;number=0.0344&amp;sourceID=14","0.0344")</f>
        <v>0.0344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HYPERLINK("http://141.218.60.56/~jnz1568/getInfo.php?workbook=12_04.xlsx&amp;sheet=U0&amp;row=2430&amp;col=6&amp;number=3.6&amp;sourceID=14","3.6")</f>
        <v>3.6</v>
      </c>
      <c r="G2430" s="4" t="str">
        <f>HYPERLINK("http://141.218.60.56/~jnz1568/getInfo.php?workbook=12_04.xlsx&amp;sheet=U0&amp;row=2430&amp;col=7&amp;number=0.0341&amp;sourceID=14","0.0341")</f>
        <v>0.0341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HYPERLINK("http://141.218.60.56/~jnz1568/getInfo.php?workbook=12_04.xlsx&amp;sheet=U0&amp;row=2431&amp;col=6&amp;number=3.7&amp;sourceID=14","3.7")</f>
        <v>3.7</v>
      </c>
      <c r="G2431" s="4" t="str">
        <f>HYPERLINK("http://141.218.60.56/~jnz1568/getInfo.php?workbook=12_04.xlsx&amp;sheet=U0&amp;row=2431&amp;col=7&amp;number=0.0337&amp;sourceID=14","0.0337")</f>
        <v>0.0337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HYPERLINK("http://141.218.60.56/~jnz1568/getInfo.php?workbook=12_04.xlsx&amp;sheet=U0&amp;row=2432&amp;col=6&amp;number=3.8&amp;sourceID=14","3.8")</f>
        <v>3.8</v>
      </c>
      <c r="G2432" s="4" t="str">
        <f>HYPERLINK("http://141.218.60.56/~jnz1568/getInfo.php?workbook=12_04.xlsx&amp;sheet=U0&amp;row=2432&amp;col=7&amp;number=0.0332&amp;sourceID=14","0.0332")</f>
        <v>0.0332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HYPERLINK("http://141.218.60.56/~jnz1568/getInfo.php?workbook=12_04.xlsx&amp;sheet=U0&amp;row=2433&amp;col=6&amp;number=3.9&amp;sourceID=14","3.9")</f>
        <v>3.9</v>
      </c>
      <c r="G2433" s="4" t="str">
        <f>HYPERLINK("http://141.218.60.56/~jnz1568/getInfo.php?workbook=12_04.xlsx&amp;sheet=U0&amp;row=2433&amp;col=7&amp;number=0.0327&amp;sourceID=14","0.0327")</f>
        <v>0.0327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HYPERLINK("http://141.218.60.56/~jnz1568/getInfo.php?workbook=12_04.xlsx&amp;sheet=U0&amp;row=2434&amp;col=6&amp;number=4&amp;sourceID=14","4")</f>
        <v>4</v>
      </c>
      <c r="G2434" s="4" t="str">
        <f>HYPERLINK("http://141.218.60.56/~jnz1568/getInfo.php?workbook=12_04.xlsx&amp;sheet=U0&amp;row=2434&amp;col=7&amp;number=0.032&amp;sourceID=14","0.032")</f>
        <v>0.032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HYPERLINK("http://141.218.60.56/~jnz1568/getInfo.php?workbook=12_04.xlsx&amp;sheet=U0&amp;row=2435&amp;col=6&amp;number=4.1&amp;sourceID=14","4.1")</f>
        <v>4.1</v>
      </c>
      <c r="G2435" s="4" t="str">
        <f>HYPERLINK("http://141.218.60.56/~jnz1568/getInfo.php?workbook=12_04.xlsx&amp;sheet=U0&amp;row=2435&amp;col=7&amp;number=0.0311&amp;sourceID=14","0.0311")</f>
        <v>0.0311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HYPERLINK("http://141.218.60.56/~jnz1568/getInfo.php?workbook=12_04.xlsx&amp;sheet=U0&amp;row=2436&amp;col=6&amp;number=4.2&amp;sourceID=14","4.2")</f>
        <v>4.2</v>
      </c>
      <c r="G2436" s="4" t="str">
        <f>HYPERLINK("http://141.218.60.56/~jnz1568/getInfo.php?workbook=12_04.xlsx&amp;sheet=U0&amp;row=2436&amp;col=7&amp;number=0.03&amp;sourceID=14","0.03")</f>
        <v>0.03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HYPERLINK("http://141.218.60.56/~jnz1568/getInfo.php?workbook=12_04.xlsx&amp;sheet=U0&amp;row=2437&amp;col=6&amp;number=4.3&amp;sourceID=14","4.3")</f>
        <v>4.3</v>
      </c>
      <c r="G2437" s="4" t="str">
        <f>HYPERLINK("http://141.218.60.56/~jnz1568/getInfo.php?workbook=12_04.xlsx&amp;sheet=U0&amp;row=2437&amp;col=7&amp;number=0.0286&amp;sourceID=14","0.0286")</f>
        <v>0.0286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HYPERLINK("http://141.218.60.56/~jnz1568/getInfo.php?workbook=12_04.xlsx&amp;sheet=U0&amp;row=2438&amp;col=6&amp;number=4.4&amp;sourceID=14","4.4")</f>
        <v>4.4</v>
      </c>
      <c r="G2438" s="4" t="str">
        <f>HYPERLINK("http://141.218.60.56/~jnz1568/getInfo.php?workbook=12_04.xlsx&amp;sheet=U0&amp;row=2438&amp;col=7&amp;number=0.0269&amp;sourceID=14","0.0269")</f>
        <v>0.0269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HYPERLINK("http://141.218.60.56/~jnz1568/getInfo.php?workbook=12_04.xlsx&amp;sheet=U0&amp;row=2439&amp;col=6&amp;number=4.5&amp;sourceID=14","4.5")</f>
        <v>4.5</v>
      </c>
      <c r="G2439" s="4" t="str">
        <f>HYPERLINK("http://141.218.60.56/~jnz1568/getInfo.php?workbook=12_04.xlsx&amp;sheet=U0&amp;row=2439&amp;col=7&amp;number=0.0249&amp;sourceID=14","0.0249")</f>
        <v>0.0249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HYPERLINK("http://141.218.60.56/~jnz1568/getInfo.php?workbook=12_04.xlsx&amp;sheet=U0&amp;row=2440&amp;col=6&amp;number=4.6&amp;sourceID=14","4.6")</f>
        <v>4.6</v>
      </c>
      <c r="G2440" s="4" t="str">
        <f>HYPERLINK("http://141.218.60.56/~jnz1568/getInfo.php?workbook=12_04.xlsx&amp;sheet=U0&amp;row=2440&amp;col=7&amp;number=0.0225&amp;sourceID=14","0.0225")</f>
        <v>0.0225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HYPERLINK("http://141.218.60.56/~jnz1568/getInfo.php?workbook=12_04.xlsx&amp;sheet=U0&amp;row=2441&amp;col=6&amp;number=4.7&amp;sourceID=14","4.7")</f>
        <v>4.7</v>
      </c>
      <c r="G2441" s="4" t="str">
        <f>HYPERLINK("http://141.218.60.56/~jnz1568/getInfo.php?workbook=12_04.xlsx&amp;sheet=U0&amp;row=2441&amp;col=7&amp;number=0.0197&amp;sourceID=14","0.0197")</f>
        <v>0.0197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HYPERLINK("http://141.218.60.56/~jnz1568/getInfo.php?workbook=12_04.xlsx&amp;sheet=U0&amp;row=2442&amp;col=6&amp;number=4.8&amp;sourceID=14","4.8")</f>
        <v>4.8</v>
      </c>
      <c r="G2442" s="4" t="str">
        <f>HYPERLINK("http://141.218.60.56/~jnz1568/getInfo.php?workbook=12_04.xlsx&amp;sheet=U0&amp;row=2442&amp;col=7&amp;number=0.0166&amp;sourceID=14","0.0166")</f>
        <v>0.0166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HYPERLINK("http://141.218.60.56/~jnz1568/getInfo.php?workbook=12_04.xlsx&amp;sheet=U0&amp;row=2443&amp;col=6&amp;number=4.9&amp;sourceID=14","4.9")</f>
        <v>4.9</v>
      </c>
      <c r="G2443" s="4" t="str">
        <f>HYPERLINK("http://141.218.60.56/~jnz1568/getInfo.php?workbook=12_04.xlsx&amp;sheet=U0&amp;row=2443&amp;col=7&amp;number=0.0134&amp;sourceID=14","0.0134")</f>
        <v>0.0134</v>
      </c>
    </row>
    <row r="2444" spans="1:7">
      <c r="A2444" s="3">
        <v>12</v>
      </c>
      <c r="B2444" s="3">
        <v>4</v>
      </c>
      <c r="C2444" s="3">
        <v>2</v>
      </c>
      <c r="D2444" s="3">
        <v>28</v>
      </c>
      <c r="E2444" s="3">
        <v>1</v>
      </c>
      <c r="F2444" s="4" t="str">
        <f>HYPERLINK("http://141.218.60.56/~jnz1568/getInfo.php?workbook=12_04.xlsx&amp;sheet=U0&amp;row=2444&amp;col=6&amp;number=3&amp;sourceID=14","3")</f>
        <v>3</v>
      </c>
      <c r="G2444" s="4" t="str">
        <f>HYPERLINK("http://141.218.60.56/~jnz1568/getInfo.php?workbook=12_04.xlsx&amp;sheet=U0&amp;row=2444&amp;col=7&amp;number=0.0152&amp;sourceID=14","0.0152")</f>
        <v>0.0152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HYPERLINK("http://141.218.60.56/~jnz1568/getInfo.php?workbook=12_04.xlsx&amp;sheet=U0&amp;row=2445&amp;col=6&amp;number=3.1&amp;sourceID=14","3.1")</f>
        <v>3.1</v>
      </c>
      <c r="G2445" s="4" t="str">
        <f>HYPERLINK("http://141.218.60.56/~jnz1568/getInfo.php?workbook=12_04.xlsx&amp;sheet=U0&amp;row=2445&amp;col=7&amp;number=0.0151&amp;sourceID=14","0.0151")</f>
        <v>0.0151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HYPERLINK("http://141.218.60.56/~jnz1568/getInfo.php?workbook=12_04.xlsx&amp;sheet=U0&amp;row=2446&amp;col=6&amp;number=3.2&amp;sourceID=14","3.2")</f>
        <v>3.2</v>
      </c>
      <c r="G2446" s="4" t="str">
        <f>HYPERLINK("http://141.218.60.56/~jnz1568/getInfo.php?workbook=12_04.xlsx&amp;sheet=U0&amp;row=2446&amp;col=7&amp;number=0.0151&amp;sourceID=14","0.0151")</f>
        <v>0.0151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HYPERLINK("http://141.218.60.56/~jnz1568/getInfo.php?workbook=12_04.xlsx&amp;sheet=U0&amp;row=2447&amp;col=6&amp;number=3.3&amp;sourceID=14","3.3")</f>
        <v>3.3</v>
      </c>
      <c r="G2447" s="4" t="str">
        <f>HYPERLINK("http://141.218.60.56/~jnz1568/getInfo.php?workbook=12_04.xlsx&amp;sheet=U0&amp;row=2447&amp;col=7&amp;number=0.015&amp;sourceID=14","0.015")</f>
        <v>0.015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HYPERLINK("http://141.218.60.56/~jnz1568/getInfo.php?workbook=12_04.xlsx&amp;sheet=U0&amp;row=2448&amp;col=6&amp;number=3.4&amp;sourceID=14","3.4")</f>
        <v>3.4</v>
      </c>
      <c r="G2448" s="4" t="str">
        <f>HYPERLINK("http://141.218.60.56/~jnz1568/getInfo.php?workbook=12_04.xlsx&amp;sheet=U0&amp;row=2448&amp;col=7&amp;number=0.0149&amp;sourceID=14","0.0149")</f>
        <v>0.0149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HYPERLINK("http://141.218.60.56/~jnz1568/getInfo.php?workbook=12_04.xlsx&amp;sheet=U0&amp;row=2449&amp;col=6&amp;number=3.5&amp;sourceID=14","3.5")</f>
        <v>3.5</v>
      </c>
      <c r="G2449" s="4" t="str">
        <f>HYPERLINK("http://141.218.60.56/~jnz1568/getInfo.php?workbook=12_04.xlsx&amp;sheet=U0&amp;row=2449&amp;col=7&amp;number=0.0148&amp;sourceID=14","0.0148")</f>
        <v>0.0148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HYPERLINK("http://141.218.60.56/~jnz1568/getInfo.php?workbook=12_04.xlsx&amp;sheet=U0&amp;row=2450&amp;col=6&amp;number=3.6&amp;sourceID=14","3.6")</f>
        <v>3.6</v>
      </c>
      <c r="G2450" s="4" t="str">
        <f>HYPERLINK("http://141.218.60.56/~jnz1568/getInfo.php?workbook=12_04.xlsx&amp;sheet=U0&amp;row=2450&amp;col=7&amp;number=0.0147&amp;sourceID=14","0.0147")</f>
        <v>0.0147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HYPERLINK("http://141.218.60.56/~jnz1568/getInfo.php?workbook=12_04.xlsx&amp;sheet=U0&amp;row=2451&amp;col=6&amp;number=3.7&amp;sourceID=14","3.7")</f>
        <v>3.7</v>
      </c>
      <c r="G2451" s="4" t="str">
        <f>HYPERLINK("http://141.218.60.56/~jnz1568/getInfo.php?workbook=12_04.xlsx&amp;sheet=U0&amp;row=2451&amp;col=7&amp;number=0.0146&amp;sourceID=14","0.0146")</f>
        <v>0.0146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HYPERLINK("http://141.218.60.56/~jnz1568/getInfo.php?workbook=12_04.xlsx&amp;sheet=U0&amp;row=2452&amp;col=6&amp;number=3.8&amp;sourceID=14","3.8")</f>
        <v>3.8</v>
      </c>
      <c r="G2452" s="4" t="str">
        <f>HYPERLINK("http://141.218.60.56/~jnz1568/getInfo.php?workbook=12_04.xlsx&amp;sheet=U0&amp;row=2452&amp;col=7&amp;number=0.0144&amp;sourceID=14","0.0144")</f>
        <v>0.0144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HYPERLINK("http://141.218.60.56/~jnz1568/getInfo.php?workbook=12_04.xlsx&amp;sheet=U0&amp;row=2453&amp;col=6&amp;number=3.9&amp;sourceID=14","3.9")</f>
        <v>3.9</v>
      </c>
      <c r="G2453" s="4" t="str">
        <f>HYPERLINK("http://141.218.60.56/~jnz1568/getInfo.php?workbook=12_04.xlsx&amp;sheet=U0&amp;row=2453&amp;col=7&amp;number=0.0141&amp;sourceID=14","0.0141")</f>
        <v>0.0141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HYPERLINK("http://141.218.60.56/~jnz1568/getInfo.php?workbook=12_04.xlsx&amp;sheet=U0&amp;row=2454&amp;col=6&amp;number=4&amp;sourceID=14","4")</f>
        <v>4</v>
      </c>
      <c r="G2454" s="4" t="str">
        <f>HYPERLINK("http://141.218.60.56/~jnz1568/getInfo.php?workbook=12_04.xlsx&amp;sheet=U0&amp;row=2454&amp;col=7&amp;number=0.0138&amp;sourceID=14","0.0138")</f>
        <v>0.0138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HYPERLINK("http://141.218.60.56/~jnz1568/getInfo.php?workbook=12_04.xlsx&amp;sheet=U0&amp;row=2455&amp;col=6&amp;number=4.1&amp;sourceID=14","4.1")</f>
        <v>4.1</v>
      </c>
      <c r="G2455" s="4" t="str">
        <f>HYPERLINK("http://141.218.60.56/~jnz1568/getInfo.php?workbook=12_04.xlsx&amp;sheet=U0&amp;row=2455&amp;col=7&amp;number=0.0135&amp;sourceID=14","0.0135")</f>
        <v>0.0135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HYPERLINK("http://141.218.60.56/~jnz1568/getInfo.php?workbook=12_04.xlsx&amp;sheet=U0&amp;row=2456&amp;col=6&amp;number=4.2&amp;sourceID=14","4.2")</f>
        <v>4.2</v>
      </c>
      <c r="G2456" s="4" t="str">
        <f>HYPERLINK("http://141.218.60.56/~jnz1568/getInfo.php?workbook=12_04.xlsx&amp;sheet=U0&amp;row=2456&amp;col=7&amp;number=0.013&amp;sourceID=14","0.013")</f>
        <v>0.013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HYPERLINK("http://141.218.60.56/~jnz1568/getInfo.php?workbook=12_04.xlsx&amp;sheet=U0&amp;row=2457&amp;col=6&amp;number=4.3&amp;sourceID=14","4.3")</f>
        <v>4.3</v>
      </c>
      <c r="G2457" s="4" t="str">
        <f>HYPERLINK("http://141.218.60.56/~jnz1568/getInfo.php?workbook=12_04.xlsx&amp;sheet=U0&amp;row=2457&amp;col=7&amp;number=0.0124&amp;sourceID=14","0.0124")</f>
        <v>0.0124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HYPERLINK("http://141.218.60.56/~jnz1568/getInfo.php?workbook=12_04.xlsx&amp;sheet=U0&amp;row=2458&amp;col=6&amp;number=4.4&amp;sourceID=14","4.4")</f>
        <v>4.4</v>
      </c>
      <c r="G2458" s="4" t="str">
        <f>HYPERLINK("http://141.218.60.56/~jnz1568/getInfo.php?workbook=12_04.xlsx&amp;sheet=U0&amp;row=2458&amp;col=7&amp;number=0.0117&amp;sourceID=14","0.0117")</f>
        <v>0.0117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HYPERLINK("http://141.218.60.56/~jnz1568/getInfo.php?workbook=12_04.xlsx&amp;sheet=U0&amp;row=2459&amp;col=6&amp;number=4.5&amp;sourceID=14","4.5")</f>
        <v>4.5</v>
      </c>
      <c r="G2459" s="4" t="str">
        <f>HYPERLINK("http://141.218.60.56/~jnz1568/getInfo.php?workbook=12_04.xlsx&amp;sheet=U0&amp;row=2459&amp;col=7&amp;number=0.0109&amp;sourceID=14","0.0109")</f>
        <v>0.0109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HYPERLINK("http://141.218.60.56/~jnz1568/getInfo.php?workbook=12_04.xlsx&amp;sheet=U0&amp;row=2460&amp;col=6&amp;number=4.6&amp;sourceID=14","4.6")</f>
        <v>4.6</v>
      </c>
      <c r="G2460" s="4" t="str">
        <f>HYPERLINK("http://141.218.60.56/~jnz1568/getInfo.php?workbook=12_04.xlsx&amp;sheet=U0&amp;row=2460&amp;col=7&amp;number=0.00986&amp;sourceID=14","0.00986")</f>
        <v>0.00986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HYPERLINK("http://141.218.60.56/~jnz1568/getInfo.php?workbook=12_04.xlsx&amp;sheet=U0&amp;row=2461&amp;col=6&amp;number=4.7&amp;sourceID=14","4.7")</f>
        <v>4.7</v>
      </c>
      <c r="G2461" s="4" t="str">
        <f>HYPERLINK("http://141.218.60.56/~jnz1568/getInfo.php?workbook=12_04.xlsx&amp;sheet=U0&amp;row=2461&amp;col=7&amp;number=0.00869&amp;sourceID=14","0.00869")</f>
        <v>0.00869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HYPERLINK("http://141.218.60.56/~jnz1568/getInfo.php?workbook=12_04.xlsx&amp;sheet=U0&amp;row=2462&amp;col=6&amp;number=4.8&amp;sourceID=14","4.8")</f>
        <v>4.8</v>
      </c>
      <c r="G2462" s="4" t="str">
        <f>HYPERLINK("http://141.218.60.56/~jnz1568/getInfo.php?workbook=12_04.xlsx&amp;sheet=U0&amp;row=2462&amp;col=7&amp;number=0.00739&amp;sourceID=14","0.00739")</f>
        <v>0.00739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HYPERLINK("http://141.218.60.56/~jnz1568/getInfo.php?workbook=12_04.xlsx&amp;sheet=U0&amp;row=2463&amp;col=6&amp;number=4.9&amp;sourceID=14","4.9")</f>
        <v>4.9</v>
      </c>
      <c r="G2463" s="4" t="str">
        <f>HYPERLINK("http://141.218.60.56/~jnz1568/getInfo.php?workbook=12_04.xlsx&amp;sheet=U0&amp;row=2463&amp;col=7&amp;number=0.00603&amp;sourceID=14","0.00603")</f>
        <v>0.00603</v>
      </c>
    </row>
    <row r="2464" spans="1:7">
      <c r="A2464" s="3">
        <v>12</v>
      </c>
      <c r="B2464" s="3">
        <v>4</v>
      </c>
      <c r="C2464" s="3">
        <v>2</v>
      </c>
      <c r="D2464" s="3">
        <v>29</v>
      </c>
      <c r="E2464" s="3">
        <v>1</v>
      </c>
      <c r="F2464" s="4" t="str">
        <f>HYPERLINK("http://141.218.60.56/~jnz1568/getInfo.php?workbook=12_04.xlsx&amp;sheet=U0&amp;row=2464&amp;col=6&amp;number=3&amp;sourceID=14","3")</f>
        <v>3</v>
      </c>
      <c r="G2464" s="4" t="str">
        <f>HYPERLINK("http://141.218.60.56/~jnz1568/getInfo.php?workbook=12_04.xlsx&amp;sheet=U0&amp;row=2464&amp;col=7&amp;number=0.0131&amp;sourceID=14","0.0131")</f>
        <v>0.0131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HYPERLINK("http://141.218.60.56/~jnz1568/getInfo.php?workbook=12_04.xlsx&amp;sheet=U0&amp;row=2465&amp;col=6&amp;number=3.1&amp;sourceID=14","3.1")</f>
        <v>3.1</v>
      </c>
      <c r="G2465" s="4" t="str">
        <f>HYPERLINK("http://141.218.60.56/~jnz1568/getInfo.php?workbook=12_04.xlsx&amp;sheet=U0&amp;row=2465&amp;col=7&amp;number=0.0131&amp;sourceID=14","0.0131")</f>
        <v>0.0131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HYPERLINK("http://141.218.60.56/~jnz1568/getInfo.php?workbook=12_04.xlsx&amp;sheet=U0&amp;row=2466&amp;col=6&amp;number=3.2&amp;sourceID=14","3.2")</f>
        <v>3.2</v>
      </c>
      <c r="G2466" s="4" t="str">
        <f>HYPERLINK("http://141.218.60.56/~jnz1568/getInfo.php?workbook=12_04.xlsx&amp;sheet=U0&amp;row=2466&amp;col=7&amp;number=0.0131&amp;sourceID=14","0.0131")</f>
        <v>0.0131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HYPERLINK("http://141.218.60.56/~jnz1568/getInfo.php?workbook=12_04.xlsx&amp;sheet=U0&amp;row=2467&amp;col=6&amp;number=3.3&amp;sourceID=14","3.3")</f>
        <v>3.3</v>
      </c>
      <c r="G2467" s="4" t="str">
        <f>HYPERLINK("http://141.218.60.56/~jnz1568/getInfo.php?workbook=12_04.xlsx&amp;sheet=U0&amp;row=2467&amp;col=7&amp;number=0.0131&amp;sourceID=14","0.0131")</f>
        <v>0.0131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HYPERLINK("http://141.218.60.56/~jnz1568/getInfo.php?workbook=12_04.xlsx&amp;sheet=U0&amp;row=2468&amp;col=6&amp;number=3.4&amp;sourceID=14","3.4")</f>
        <v>3.4</v>
      </c>
      <c r="G2468" s="4" t="str">
        <f>HYPERLINK("http://141.218.60.56/~jnz1568/getInfo.php?workbook=12_04.xlsx&amp;sheet=U0&amp;row=2468&amp;col=7&amp;number=0.013&amp;sourceID=14","0.013")</f>
        <v>0.013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HYPERLINK("http://141.218.60.56/~jnz1568/getInfo.php?workbook=12_04.xlsx&amp;sheet=U0&amp;row=2469&amp;col=6&amp;number=3.5&amp;sourceID=14","3.5")</f>
        <v>3.5</v>
      </c>
      <c r="G2469" s="4" t="str">
        <f>HYPERLINK("http://141.218.60.56/~jnz1568/getInfo.php?workbook=12_04.xlsx&amp;sheet=U0&amp;row=2469&amp;col=7&amp;number=0.013&amp;sourceID=14","0.013")</f>
        <v>0.013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HYPERLINK("http://141.218.60.56/~jnz1568/getInfo.php?workbook=12_04.xlsx&amp;sheet=U0&amp;row=2470&amp;col=6&amp;number=3.6&amp;sourceID=14","3.6")</f>
        <v>3.6</v>
      </c>
      <c r="G2470" s="4" t="str">
        <f>HYPERLINK("http://141.218.60.56/~jnz1568/getInfo.php?workbook=12_04.xlsx&amp;sheet=U0&amp;row=2470&amp;col=7&amp;number=0.0129&amp;sourceID=14","0.0129")</f>
        <v>0.0129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HYPERLINK("http://141.218.60.56/~jnz1568/getInfo.php?workbook=12_04.xlsx&amp;sheet=U0&amp;row=2471&amp;col=6&amp;number=3.7&amp;sourceID=14","3.7")</f>
        <v>3.7</v>
      </c>
      <c r="G2471" s="4" t="str">
        <f>HYPERLINK("http://141.218.60.56/~jnz1568/getInfo.php?workbook=12_04.xlsx&amp;sheet=U0&amp;row=2471&amp;col=7&amp;number=0.0129&amp;sourceID=14","0.0129")</f>
        <v>0.0129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HYPERLINK("http://141.218.60.56/~jnz1568/getInfo.php?workbook=12_04.xlsx&amp;sheet=U0&amp;row=2472&amp;col=6&amp;number=3.8&amp;sourceID=14","3.8")</f>
        <v>3.8</v>
      </c>
      <c r="G2472" s="4" t="str">
        <f>HYPERLINK("http://141.218.60.56/~jnz1568/getInfo.php?workbook=12_04.xlsx&amp;sheet=U0&amp;row=2472&amp;col=7&amp;number=0.0128&amp;sourceID=14","0.0128")</f>
        <v>0.0128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HYPERLINK("http://141.218.60.56/~jnz1568/getInfo.php?workbook=12_04.xlsx&amp;sheet=U0&amp;row=2473&amp;col=6&amp;number=3.9&amp;sourceID=14","3.9")</f>
        <v>3.9</v>
      </c>
      <c r="G2473" s="4" t="str">
        <f>HYPERLINK("http://141.218.60.56/~jnz1568/getInfo.php?workbook=12_04.xlsx&amp;sheet=U0&amp;row=2473&amp;col=7&amp;number=0.0127&amp;sourceID=14","0.0127")</f>
        <v>0.0127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HYPERLINK("http://141.218.60.56/~jnz1568/getInfo.php?workbook=12_04.xlsx&amp;sheet=U0&amp;row=2474&amp;col=6&amp;number=4&amp;sourceID=14","4")</f>
        <v>4</v>
      </c>
      <c r="G2474" s="4" t="str">
        <f>HYPERLINK("http://141.218.60.56/~jnz1568/getInfo.php?workbook=12_04.xlsx&amp;sheet=U0&amp;row=2474&amp;col=7&amp;number=0.0126&amp;sourceID=14","0.0126")</f>
        <v>0.0126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HYPERLINK("http://141.218.60.56/~jnz1568/getInfo.php?workbook=12_04.xlsx&amp;sheet=U0&amp;row=2475&amp;col=6&amp;number=4.1&amp;sourceID=14","4.1")</f>
        <v>4.1</v>
      </c>
      <c r="G2475" s="4" t="str">
        <f>HYPERLINK("http://141.218.60.56/~jnz1568/getInfo.php?workbook=12_04.xlsx&amp;sheet=U0&amp;row=2475&amp;col=7&amp;number=0.0124&amp;sourceID=14","0.0124")</f>
        <v>0.0124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HYPERLINK("http://141.218.60.56/~jnz1568/getInfo.php?workbook=12_04.xlsx&amp;sheet=U0&amp;row=2476&amp;col=6&amp;number=4.2&amp;sourceID=14","4.2")</f>
        <v>4.2</v>
      </c>
      <c r="G2476" s="4" t="str">
        <f>HYPERLINK("http://141.218.60.56/~jnz1568/getInfo.php?workbook=12_04.xlsx&amp;sheet=U0&amp;row=2476&amp;col=7&amp;number=0.0122&amp;sourceID=14","0.0122")</f>
        <v>0.0122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HYPERLINK("http://141.218.60.56/~jnz1568/getInfo.php?workbook=12_04.xlsx&amp;sheet=U0&amp;row=2477&amp;col=6&amp;number=4.3&amp;sourceID=14","4.3")</f>
        <v>4.3</v>
      </c>
      <c r="G2477" s="4" t="str">
        <f>HYPERLINK("http://141.218.60.56/~jnz1568/getInfo.php?workbook=12_04.xlsx&amp;sheet=U0&amp;row=2477&amp;col=7&amp;number=0.0119&amp;sourceID=14","0.0119")</f>
        <v>0.0119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HYPERLINK("http://141.218.60.56/~jnz1568/getInfo.php?workbook=12_04.xlsx&amp;sheet=U0&amp;row=2478&amp;col=6&amp;number=4.4&amp;sourceID=14","4.4")</f>
        <v>4.4</v>
      </c>
      <c r="G2478" s="4" t="str">
        <f>HYPERLINK("http://141.218.60.56/~jnz1568/getInfo.php?workbook=12_04.xlsx&amp;sheet=U0&amp;row=2478&amp;col=7&amp;number=0.0116&amp;sourceID=14","0.0116")</f>
        <v>0.0116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HYPERLINK("http://141.218.60.56/~jnz1568/getInfo.php?workbook=12_04.xlsx&amp;sheet=U0&amp;row=2479&amp;col=6&amp;number=4.5&amp;sourceID=14","4.5")</f>
        <v>4.5</v>
      </c>
      <c r="G2479" s="4" t="str">
        <f>HYPERLINK("http://141.218.60.56/~jnz1568/getInfo.php?workbook=12_04.xlsx&amp;sheet=U0&amp;row=2479&amp;col=7&amp;number=0.0112&amp;sourceID=14","0.0112")</f>
        <v>0.0112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HYPERLINK("http://141.218.60.56/~jnz1568/getInfo.php?workbook=12_04.xlsx&amp;sheet=U0&amp;row=2480&amp;col=6&amp;number=4.6&amp;sourceID=14","4.6")</f>
        <v>4.6</v>
      </c>
      <c r="G2480" s="4" t="str">
        <f>HYPERLINK("http://141.218.60.56/~jnz1568/getInfo.php?workbook=12_04.xlsx&amp;sheet=U0&amp;row=2480&amp;col=7&amp;number=0.0107&amp;sourceID=14","0.0107")</f>
        <v>0.0107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HYPERLINK("http://141.218.60.56/~jnz1568/getInfo.php?workbook=12_04.xlsx&amp;sheet=U0&amp;row=2481&amp;col=6&amp;number=4.7&amp;sourceID=14","4.7")</f>
        <v>4.7</v>
      </c>
      <c r="G2481" s="4" t="str">
        <f>HYPERLINK("http://141.218.60.56/~jnz1568/getInfo.php?workbook=12_04.xlsx&amp;sheet=U0&amp;row=2481&amp;col=7&amp;number=0.0101&amp;sourceID=14","0.0101")</f>
        <v>0.0101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HYPERLINK("http://141.218.60.56/~jnz1568/getInfo.php?workbook=12_04.xlsx&amp;sheet=U0&amp;row=2482&amp;col=6&amp;number=4.8&amp;sourceID=14","4.8")</f>
        <v>4.8</v>
      </c>
      <c r="G2482" s="4" t="str">
        <f>HYPERLINK("http://141.218.60.56/~jnz1568/getInfo.php?workbook=12_04.xlsx&amp;sheet=U0&amp;row=2482&amp;col=7&amp;number=0.0094&amp;sourceID=14","0.0094")</f>
        <v>0.0094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HYPERLINK("http://141.218.60.56/~jnz1568/getInfo.php?workbook=12_04.xlsx&amp;sheet=U0&amp;row=2483&amp;col=6&amp;number=4.9&amp;sourceID=14","4.9")</f>
        <v>4.9</v>
      </c>
      <c r="G2483" s="4" t="str">
        <f>HYPERLINK("http://141.218.60.56/~jnz1568/getInfo.php?workbook=12_04.xlsx&amp;sheet=U0&amp;row=2483&amp;col=7&amp;number=0.00856&amp;sourceID=14","0.00856")</f>
        <v>0.00856</v>
      </c>
    </row>
    <row r="2484" spans="1:7">
      <c r="A2484" s="3">
        <v>12</v>
      </c>
      <c r="B2484" s="3">
        <v>4</v>
      </c>
      <c r="C2484" s="3">
        <v>2</v>
      </c>
      <c r="D2484" s="3">
        <v>30</v>
      </c>
      <c r="E2484" s="3">
        <v>1</v>
      </c>
      <c r="F2484" s="4" t="str">
        <f>HYPERLINK("http://141.218.60.56/~jnz1568/getInfo.php?workbook=12_04.xlsx&amp;sheet=U0&amp;row=2484&amp;col=6&amp;number=3&amp;sourceID=14","3")</f>
        <v>3</v>
      </c>
      <c r="G2484" s="4" t="str">
        <f>HYPERLINK("http://141.218.60.56/~jnz1568/getInfo.php?workbook=12_04.xlsx&amp;sheet=U0&amp;row=2484&amp;col=7&amp;number=0.00281&amp;sourceID=14","0.00281")</f>
        <v>0.00281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HYPERLINK("http://141.218.60.56/~jnz1568/getInfo.php?workbook=12_04.xlsx&amp;sheet=U0&amp;row=2485&amp;col=6&amp;number=3.1&amp;sourceID=14","3.1")</f>
        <v>3.1</v>
      </c>
      <c r="G2485" s="4" t="str">
        <f>HYPERLINK("http://141.218.60.56/~jnz1568/getInfo.php?workbook=12_04.xlsx&amp;sheet=U0&amp;row=2485&amp;col=7&amp;number=0.0028&amp;sourceID=14","0.0028")</f>
        <v>0.0028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HYPERLINK("http://141.218.60.56/~jnz1568/getInfo.php?workbook=12_04.xlsx&amp;sheet=U0&amp;row=2486&amp;col=6&amp;number=3.2&amp;sourceID=14","3.2")</f>
        <v>3.2</v>
      </c>
      <c r="G2486" s="4" t="str">
        <f>HYPERLINK("http://141.218.60.56/~jnz1568/getInfo.php?workbook=12_04.xlsx&amp;sheet=U0&amp;row=2486&amp;col=7&amp;number=0.0028&amp;sourceID=14","0.0028")</f>
        <v>0.0028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HYPERLINK("http://141.218.60.56/~jnz1568/getInfo.php?workbook=12_04.xlsx&amp;sheet=U0&amp;row=2487&amp;col=6&amp;number=3.3&amp;sourceID=14","3.3")</f>
        <v>3.3</v>
      </c>
      <c r="G2487" s="4" t="str">
        <f>HYPERLINK("http://141.218.60.56/~jnz1568/getInfo.php?workbook=12_04.xlsx&amp;sheet=U0&amp;row=2487&amp;col=7&amp;number=0.00279&amp;sourceID=14","0.00279")</f>
        <v>0.00279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HYPERLINK("http://141.218.60.56/~jnz1568/getInfo.php?workbook=12_04.xlsx&amp;sheet=U0&amp;row=2488&amp;col=6&amp;number=3.4&amp;sourceID=14","3.4")</f>
        <v>3.4</v>
      </c>
      <c r="G2488" s="4" t="str">
        <f>HYPERLINK("http://141.218.60.56/~jnz1568/getInfo.php?workbook=12_04.xlsx&amp;sheet=U0&amp;row=2488&amp;col=7&amp;number=0.00278&amp;sourceID=14","0.00278")</f>
        <v>0.00278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HYPERLINK("http://141.218.60.56/~jnz1568/getInfo.php?workbook=12_04.xlsx&amp;sheet=U0&amp;row=2489&amp;col=6&amp;number=3.5&amp;sourceID=14","3.5")</f>
        <v>3.5</v>
      </c>
      <c r="G2489" s="4" t="str">
        <f>HYPERLINK("http://141.218.60.56/~jnz1568/getInfo.php?workbook=12_04.xlsx&amp;sheet=U0&amp;row=2489&amp;col=7&amp;number=0.00278&amp;sourceID=14","0.00278")</f>
        <v>0.00278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HYPERLINK("http://141.218.60.56/~jnz1568/getInfo.php?workbook=12_04.xlsx&amp;sheet=U0&amp;row=2490&amp;col=6&amp;number=3.6&amp;sourceID=14","3.6")</f>
        <v>3.6</v>
      </c>
      <c r="G2490" s="4" t="str">
        <f>HYPERLINK("http://141.218.60.56/~jnz1568/getInfo.php?workbook=12_04.xlsx&amp;sheet=U0&amp;row=2490&amp;col=7&amp;number=0.00276&amp;sourceID=14","0.00276")</f>
        <v>0.00276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HYPERLINK("http://141.218.60.56/~jnz1568/getInfo.php?workbook=12_04.xlsx&amp;sheet=U0&amp;row=2491&amp;col=6&amp;number=3.7&amp;sourceID=14","3.7")</f>
        <v>3.7</v>
      </c>
      <c r="G2491" s="4" t="str">
        <f>HYPERLINK("http://141.218.60.56/~jnz1568/getInfo.php?workbook=12_04.xlsx&amp;sheet=U0&amp;row=2491&amp;col=7&amp;number=0.00275&amp;sourceID=14","0.00275")</f>
        <v>0.00275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HYPERLINK("http://141.218.60.56/~jnz1568/getInfo.php?workbook=12_04.xlsx&amp;sheet=U0&amp;row=2492&amp;col=6&amp;number=3.8&amp;sourceID=14","3.8")</f>
        <v>3.8</v>
      </c>
      <c r="G2492" s="4" t="str">
        <f>HYPERLINK("http://141.218.60.56/~jnz1568/getInfo.php?workbook=12_04.xlsx&amp;sheet=U0&amp;row=2492&amp;col=7&amp;number=0.00273&amp;sourceID=14","0.00273")</f>
        <v>0.00273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HYPERLINK("http://141.218.60.56/~jnz1568/getInfo.php?workbook=12_04.xlsx&amp;sheet=U0&amp;row=2493&amp;col=6&amp;number=3.9&amp;sourceID=14","3.9")</f>
        <v>3.9</v>
      </c>
      <c r="G2493" s="4" t="str">
        <f>HYPERLINK("http://141.218.60.56/~jnz1568/getInfo.php?workbook=12_04.xlsx&amp;sheet=U0&amp;row=2493&amp;col=7&amp;number=0.00271&amp;sourceID=14","0.00271")</f>
        <v>0.00271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HYPERLINK("http://141.218.60.56/~jnz1568/getInfo.php?workbook=12_04.xlsx&amp;sheet=U0&amp;row=2494&amp;col=6&amp;number=4&amp;sourceID=14","4")</f>
        <v>4</v>
      </c>
      <c r="G2494" s="4" t="str">
        <f>HYPERLINK("http://141.218.60.56/~jnz1568/getInfo.php?workbook=12_04.xlsx&amp;sheet=U0&amp;row=2494&amp;col=7&amp;number=0.00268&amp;sourceID=14","0.00268")</f>
        <v>0.00268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HYPERLINK("http://141.218.60.56/~jnz1568/getInfo.php?workbook=12_04.xlsx&amp;sheet=U0&amp;row=2495&amp;col=6&amp;number=4.1&amp;sourceID=14","4.1")</f>
        <v>4.1</v>
      </c>
      <c r="G2495" s="4" t="str">
        <f>HYPERLINK("http://141.218.60.56/~jnz1568/getInfo.php?workbook=12_04.xlsx&amp;sheet=U0&amp;row=2495&amp;col=7&amp;number=0.00265&amp;sourceID=14","0.00265")</f>
        <v>0.00265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HYPERLINK("http://141.218.60.56/~jnz1568/getInfo.php?workbook=12_04.xlsx&amp;sheet=U0&amp;row=2496&amp;col=6&amp;number=4.2&amp;sourceID=14","4.2")</f>
        <v>4.2</v>
      </c>
      <c r="G2496" s="4" t="str">
        <f>HYPERLINK("http://141.218.60.56/~jnz1568/getInfo.php?workbook=12_04.xlsx&amp;sheet=U0&amp;row=2496&amp;col=7&amp;number=0.00261&amp;sourceID=14","0.00261")</f>
        <v>0.00261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HYPERLINK("http://141.218.60.56/~jnz1568/getInfo.php?workbook=12_04.xlsx&amp;sheet=U0&amp;row=2497&amp;col=6&amp;number=4.3&amp;sourceID=14","4.3")</f>
        <v>4.3</v>
      </c>
      <c r="G2497" s="4" t="str">
        <f>HYPERLINK("http://141.218.60.56/~jnz1568/getInfo.php?workbook=12_04.xlsx&amp;sheet=U0&amp;row=2497&amp;col=7&amp;number=0.00255&amp;sourceID=14","0.00255")</f>
        <v>0.00255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HYPERLINK("http://141.218.60.56/~jnz1568/getInfo.php?workbook=12_04.xlsx&amp;sheet=U0&amp;row=2498&amp;col=6&amp;number=4.4&amp;sourceID=14","4.4")</f>
        <v>4.4</v>
      </c>
      <c r="G2498" s="4" t="str">
        <f>HYPERLINK("http://141.218.60.56/~jnz1568/getInfo.php?workbook=12_04.xlsx&amp;sheet=U0&amp;row=2498&amp;col=7&amp;number=0.00249&amp;sourceID=14","0.00249")</f>
        <v>0.00249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HYPERLINK("http://141.218.60.56/~jnz1568/getInfo.php?workbook=12_04.xlsx&amp;sheet=U0&amp;row=2499&amp;col=6&amp;number=4.5&amp;sourceID=14","4.5")</f>
        <v>4.5</v>
      </c>
      <c r="G2499" s="4" t="str">
        <f>HYPERLINK("http://141.218.60.56/~jnz1568/getInfo.php?workbook=12_04.xlsx&amp;sheet=U0&amp;row=2499&amp;col=7&amp;number=0.0024&amp;sourceID=14","0.0024")</f>
        <v>0.0024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HYPERLINK("http://141.218.60.56/~jnz1568/getInfo.php?workbook=12_04.xlsx&amp;sheet=U0&amp;row=2500&amp;col=6&amp;number=4.6&amp;sourceID=14","4.6")</f>
        <v>4.6</v>
      </c>
      <c r="G2500" s="4" t="str">
        <f>HYPERLINK("http://141.218.60.56/~jnz1568/getInfo.php?workbook=12_04.xlsx&amp;sheet=U0&amp;row=2500&amp;col=7&amp;number=0.0023&amp;sourceID=14","0.0023")</f>
        <v>0.0023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HYPERLINK("http://141.218.60.56/~jnz1568/getInfo.php?workbook=12_04.xlsx&amp;sheet=U0&amp;row=2501&amp;col=6&amp;number=4.7&amp;sourceID=14","4.7")</f>
        <v>4.7</v>
      </c>
      <c r="G2501" s="4" t="str">
        <f>HYPERLINK("http://141.218.60.56/~jnz1568/getInfo.php?workbook=12_04.xlsx&amp;sheet=U0&amp;row=2501&amp;col=7&amp;number=0.00218&amp;sourceID=14","0.00218")</f>
        <v>0.00218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HYPERLINK("http://141.218.60.56/~jnz1568/getInfo.php?workbook=12_04.xlsx&amp;sheet=U0&amp;row=2502&amp;col=6&amp;number=4.8&amp;sourceID=14","4.8")</f>
        <v>4.8</v>
      </c>
      <c r="G2502" s="4" t="str">
        <f>HYPERLINK("http://141.218.60.56/~jnz1568/getInfo.php?workbook=12_04.xlsx&amp;sheet=U0&amp;row=2502&amp;col=7&amp;number=0.00203&amp;sourceID=14","0.00203")</f>
        <v>0.00203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HYPERLINK("http://141.218.60.56/~jnz1568/getInfo.php?workbook=12_04.xlsx&amp;sheet=U0&amp;row=2503&amp;col=6&amp;number=4.9&amp;sourceID=14","4.9")</f>
        <v>4.9</v>
      </c>
      <c r="G2503" s="4" t="str">
        <f>HYPERLINK("http://141.218.60.56/~jnz1568/getInfo.php?workbook=12_04.xlsx&amp;sheet=U0&amp;row=2503&amp;col=7&amp;number=0.00185&amp;sourceID=14","0.00185")</f>
        <v>0.00185</v>
      </c>
    </row>
    <row r="2504" spans="1:7">
      <c r="A2504" s="3">
        <v>12</v>
      </c>
      <c r="B2504" s="3">
        <v>4</v>
      </c>
      <c r="C2504" s="3">
        <v>2</v>
      </c>
      <c r="D2504" s="3">
        <v>31</v>
      </c>
      <c r="E2504" s="3">
        <v>1</v>
      </c>
      <c r="F2504" s="4" t="str">
        <f>HYPERLINK("http://141.218.60.56/~jnz1568/getInfo.php?workbook=12_04.xlsx&amp;sheet=U0&amp;row=2504&amp;col=6&amp;number=3&amp;sourceID=14","3")</f>
        <v>3</v>
      </c>
      <c r="G2504" s="4" t="str">
        <f>HYPERLINK("http://141.218.60.56/~jnz1568/getInfo.php?workbook=12_04.xlsx&amp;sheet=U0&amp;row=2504&amp;col=7&amp;number=0.0108&amp;sourceID=14","0.0108")</f>
        <v>0.0108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HYPERLINK("http://141.218.60.56/~jnz1568/getInfo.php?workbook=12_04.xlsx&amp;sheet=U0&amp;row=2505&amp;col=6&amp;number=3.1&amp;sourceID=14","3.1")</f>
        <v>3.1</v>
      </c>
      <c r="G2505" s="4" t="str">
        <f>HYPERLINK("http://141.218.60.56/~jnz1568/getInfo.php?workbook=12_04.xlsx&amp;sheet=U0&amp;row=2505&amp;col=7&amp;number=0.0107&amp;sourceID=14","0.0107")</f>
        <v>0.0107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HYPERLINK("http://141.218.60.56/~jnz1568/getInfo.php?workbook=12_04.xlsx&amp;sheet=U0&amp;row=2506&amp;col=6&amp;number=3.2&amp;sourceID=14","3.2")</f>
        <v>3.2</v>
      </c>
      <c r="G2506" s="4" t="str">
        <f>HYPERLINK("http://141.218.60.56/~jnz1568/getInfo.php?workbook=12_04.xlsx&amp;sheet=U0&amp;row=2506&amp;col=7&amp;number=0.0107&amp;sourceID=14","0.0107")</f>
        <v>0.0107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HYPERLINK("http://141.218.60.56/~jnz1568/getInfo.php?workbook=12_04.xlsx&amp;sheet=U0&amp;row=2507&amp;col=6&amp;number=3.3&amp;sourceID=14","3.3")</f>
        <v>3.3</v>
      </c>
      <c r="G2507" s="4" t="str">
        <f>HYPERLINK("http://141.218.60.56/~jnz1568/getInfo.php?workbook=12_04.xlsx&amp;sheet=U0&amp;row=2507&amp;col=7&amp;number=0.0107&amp;sourceID=14","0.0107")</f>
        <v>0.0107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HYPERLINK("http://141.218.60.56/~jnz1568/getInfo.php?workbook=12_04.xlsx&amp;sheet=U0&amp;row=2508&amp;col=6&amp;number=3.4&amp;sourceID=14","3.4")</f>
        <v>3.4</v>
      </c>
      <c r="G2508" s="4" t="str">
        <f>HYPERLINK("http://141.218.60.56/~jnz1568/getInfo.php?workbook=12_04.xlsx&amp;sheet=U0&amp;row=2508&amp;col=7&amp;number=0.0107&amp;sourceID=14","0.0107")</f>
        <v>0.0107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HYPERLINK("http://141.218.60.56/~jnz1568/getInfo.php?workbook=12_04.xlsx&amp;sheet=U0&amp;row=2509&amp;col=6&amp;number=3.5&amp;sourceID=14","3.5")</f>
        <v>3.5</v>
      </c>
      <c r="G2509" s="4" t="str">
        <f>HYPERLINK("http://141.218.60.56/~jnz1568/getInfo.php?workbook=12_04.xlsx&amp;sheet=U0&amp;row=2509&amp;col=7&amp;number=0.0107&amp;sourceID=14","0.0107")</f>
        <v>0.0107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HYPERLINK("http://141.218.60.56/~jnz1568/getInfo.php?workbook=12_04.xlsx&amp;sheet=U0&amp;row=2510&amp;col=6&amp;number=3.6&amp;sourceID=14","3.6")</f>
        <v>3.6</v>
      </c>
      <c r="G2510" s="4" t="str">
        <f>HYPERLINK("http://141.218.60.56/~jnz1568/getInfo.php?workbook=12_04.xlsx&amp;sheet=U0&amp;row=2510&amp;col=7&amp;number=0.0106&amp;sourceID=14","0.0106")</f>
        <v>0.0106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HYPERLINK("http://141.218.60.56/~jnz1568/getInfo.php?workbook=12_04.xlsx&amp;sheet=U0&amp;row=2511&amp;col=6&amp;number=3.7&amp;sourceID=14","3.7")</f>
        <v>3.7</v>
      </c>
      <c r="G2511" s="4" t="str">
        <f>HYPERLINK("http://141.218.60.56/~jnz1568/getInfo.php?workbook=12_04.xlsx&amp;sheet=U0&amp;row=2511&amp;col=7&amp;number=0.0106&amp;sourceID=14","0.0106")</f>
        <v>0.0106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HYPERLINK("http://141.218.60.56/~jnz1568/getInfo.php?workbook=12_04.xlsx&amp;sheet=U0&amp;row=2512&amp;col=6&amp;number=3.8&amp;sourceID=14","3.8")</f>
        <v>3.8</v>
      </c>
      <c r="G2512" s="4" t="str">
        <f>HYPERLINK("http://141.218.60.56/~jnz1568/getInfo.php?workbook=12_04.xlsx&amp;sheet=U0&amp;row=2512&amp;col=7&amp;number=0.0105&amp;sourceID=14","0.0105")</f>
        <v>0.0105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HYPERLINK("http://141.218.60.56/~jnz1568/getInfo.php?workbook=12_04.xlsx&amp;sheet=U0&amp;row=2513&amp;col=6&amp;number=3.9&amp;sourceID=14","3.9")</f>
        <v>3.9</v>
      </c>
      <c r="G2513" s="4" t="str">
        <f>HYPERLINK("http://141.218.60.56/~jnz1568/getInfo.php?workbook=12_04.xlsx&amp;sheet=U0&amp;row=2513&amp;col=7&amp;number=0.0105&amp;sourceID=14","0.0105")</f>
        <v>0.0105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HYPERLINK("http://141.218.60.56/~jnz1568/getInfo.php?workbook=12_04.xlsx&amp;sheet=U0&amp;row=2514&amp;col=6&amp;number=4&amp;sourceID=14","4")</f>
        <v>4</v>
      </c>
      <c r="G2514" s="4" t="str">
        <f>HYPERLINK("http://141.218.60.56/~jnz1568/getInfo.php?workbook=12_04.xlsx&amp;sheet=U0&amp;row=2514&amp;col=7&amp;number=0.0104&amp;sourceID=14","0.0104")</f>
        <v>0.0104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HYPERLINK("http://141.218.60.56/~jnz1568/getInfo.php?workbook=12_04.xlsx&amp;sheet=U0&amp;row=2515&amp;col=6&amp;number=4.1&amp;sourceID=14","4.1")</f>
        <v>4.1</v>
      </c>
      <c r="G2515" s="4" t="str">
        <f>HYPERLINK("http://141.218.60.56/~jnz1568/getInfo.php?workbook=12_04.xlsx&amp;sheet=U0&amp;row=2515&amp;col=7&amp;number=0.0103&amp;sourceID=14","0.0103")</f>
        <v>0.0103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HYPERLINK("http://141.218.60.56/~jnz1568/getInfo.php?workbook=12_04.xlsx&amp;sheet=U0&amp;row=2516&amp;col=6&amp;number=4.2&amp;sourceID=14","4.2")</f>
        <v>4.2</v>
      </c>
      <c r="G2516" s="4" t="str">
        <f>HYPERLINK("http://141.218.60.56/~jnz1568/getInfo.php?workbook=12_04.xlsx&amp;sheet=U0&amp;row=2516&amp;col=7&amp;number=0.0101&amp;sourceID=14","0.0101")</f>
        <v>0.0101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HYPERLINK("http://141.218.60.56/~jnz1568/getInfo.php?workbook=12_04.xlsx&amp;sheet=U0&amp;row=2517&amp;col=6&amp;number=4.3&amp;sourceID=14","4.3")</f>
        <v>4.3</v>
      </c>
      <c r="G2517" s="4" t="str">
        <f>HYPERLINK("http://141.218.60.56/~jnz1568/getInfo.php?workbook=12_04.xlsx&amp;sheet=U0&amp;row=2517&amp;col=7&amp;number=0.00995&amp;sourceID=14","0.00995")</f>
        <v>0.00995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HYPERLINK("http://141.218.60.56/~jnz1568/getInfo.php?workbook=12_04.xlsx&amp;sheet=U0&amp;row=2518&amp;col=6&amp;number=4.4&amp;sourceID=14","4.4")</f>
        <v>4.4</v>
      </c>
      <c r="G2518" s="4" t="str">
        <f>HYPERLINK("http://141.218.60.56/~jnz1568/getInfo.php?workbook=12_04.xlsx&amp;sheet=U0&amp;row=2518&amp;col=7&amp;number=0.00974&amp;sourceID=14","0.00974")</f>
        <v>0.00974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HYPERLINK("http://141.218.60.56/~jnz1568/getInfo.php?workbook=12_04.xlsx&amp;sheet=U0&amp;row=2519&amp;col=6&amp;number=4.5&amp;sourceID=14","4.5")</f>
        <v>4.5</v>
      </c>
      <c r="G2519" s="4" t="str">
        <f>HYPERLINK("http://141.218.60.56/~jnz1568/getInfo.php?workbook=12_04.xlsx&amp;sheet=U0&amp;row=2519&amp;col=7&amp;number=0.00948&amp;sourceID=14","0.00948")</f>
        <v>0.00948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HYPERLINK("http://141.218.60.56/~jnz1568/getInfo.php?workbook=12_04.xlsx&amp;sheet=U0&amp;row=2520&amp;col=6&amp;number=4.6&amp;sourceID=14","4.6")</f>
        <v>4.6</v>
      </c>
      <c r="G2520" s="4" t="str">
        <f>HYPERLINK("http://141.218.60.56/~jnz1568/getInfo.php?workbook=12_04.xlsx&amp;sheet=U0&amp;row=2520&amp;col=7&amp;number=0.00915&amp;sourceID=14","0.00915")</f>
        <v>0.00915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HYPERLINK("http://141.218.60.56/~jnz1568/getInfo.php?workbook=12_04.xlsx&amp;sheet=U0&amp;row=2521&amp;col=6&amp;number=4.7&amp;sourceID=14","4.7")</f>
        <v>4.7</v>
      </c>
      <c r="G2521" s="4" t="str">
        <f>HYPERLINK("http://141.218.60.56/~jnz1568/getInfo.php?workbook=12_04.xlsx&amp;sheet=U0&amp;row=2521&amp;col=7&amp;number=0.00876&amp;sourceID=14","0.00876")</f>
        <v>0.00876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HYPERLINK("http://141.218.60.56/~jnz1568/getInfo.php?workbook=12_04.xlsx&amp;sheet=U0&amp;row=2522&amp;col=6&amp;number=4.8&amp;sourceID=14","4.8")</f>
        <v>4.8</v>
      </c>
      <c r="G2522" s="4" t="str">
        <f>HYPERLINK("http://141.218.60.56/~jnz1568/getInfo.php?workbook=12_04.xlsx&amp;sheet=U0&amp;row=2522&amp;col=7&amp;number=0.00829&amp;sourceID=14","0.00829")</f>
        <v>0.00829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HYPERLINK("http://141.218.60.56/~jnz1568/getInfo.php?workbook=12_04.xlsx&amp;sheet=U0&amp;row=2523&amp;col=6&amp;number=4.9&amp;sourceID=14","4.9")</f>
        <v>4.9</v>
      </c>
      <c r="G2523" s="4" t="str">
        <f>HYPERLINK("http://141.218.60.56/~jnz1568/getInfo.php?workbook=12_04.xlsx&amp;sheet=U0&amp;row=2523&amp;col=7&amp;number=0.00774&amp;sourceID=14","0.00774")</f>
        <v>0.00774</v>
      </c>
    </row>
    <row r="2524" spans="1:7">
      <c r="A2524" s="3">
        <v>12</v>
      </c>
      <c r="B2524" s="3">
        <v>4</v>
      </c>
      <c r="C2524" s="3">
        <v>2</v>
      </c>
      <c r="D2524" s="3">
        <v>32</v>
      </c>
      <c r="E2524" s="3">
        <v>1</v>
      </c>
      <c r="F2524" s="4" t="str">
        <f>HYPERLINK("http://141.218.60.56/~jnz1568/getInfo.php?workbook=12_04.xlsx&amp;sheet=U0&amp;row=2524&amp;col=6&amp;number=3&amp;sourceID=14","3")</f>
        <v>3</v>
      </c>
      <c r="G2524" s="4" t="str">
        <f>HYPERLINK("http://141.218.60.56/~jnz1568/getInfo.php?workbook=12_04.xlsx&amp;sheet=U0&amp;row=2524&amp;col=7&amp;number=0.00774&amp;sourceID=14","0.00774")</f>
        <v>0.00774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HYPERLINK("http://141.218.60.56/~jnz1568/getInfo.php?workbook=12_04.xlsx&amp;sheet=U0&amp;row=2525&amp;col=6&amp;number=3.1&amp;sourceID=14","3.1")</f>
        <v>3.1</v>
      </c>
      <c r="G2525" s="4" t="str">
        <f>HYPERLINK("http://141.218.60.56/~jnz1568/getInfo.php?workbook=12_04.xlsx&amp;sheet=U0&amp;row=2525&amp;col=7&amp;number=0.00773&amp;sourceID=14","0.00773")</f>
        <v>0.00773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HYPERLINK("http://141.218.60.56/~jnz1568/getInfo.php?workbook=12_04.xlsx&amp;sheet=U0&amp;row=2526&amp;col=6&amp;number=3.2&amp;sourceID=14","3.2")</f>
        <v>3.2</v>
      </c>
      <c r="G2526" s="4" t="str">
        <f>HYPERLINK("http://141.218.60.56/~jnz1568/getInfo.php?workbook=12_04.xlsx&amp;sheet=U0&amp;row=2526&amp;col=7&amp;number=0.0077&amp;sourceID=14","0.0077")</f>
        <v>0.0077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HYPERLINK("http://141.218.60.56/~jnz1568/getInfo.php?workbook=12_04.xlsx&amp;sheet=U0&amp;row=2527&amp;col=6&amp;number=3.3&amp;sourceID=14","3.3")</f>
        <v>3.3</v>
      </c>
      <c r="G2527" s="4" t="str">
        <f>HYPERLINK("http://141.218.60.56/~jnz1568/getInfo.php?workbook=12_04.xlsx&amp;sheet=U0&amp;row=2527&amp;col=7&amp;number=0.00767&amp;sourceID=14","0.00767")</f>
        <v>0.00767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HYPERLINK("http://141.218.60.56/~jnz1568/getInfo.php?workbook=12_04.xlsx&amp;sheet=U0&amp;row=2528&amp;col=6&amp;number=3.4&amp;sourceID=14","3.4")</f>
        <v>3.4</v>
      </c>
      <c r="G2528" s="4" t="str">
        <f>HYPERLINK("http://141.218.60.56/~jnz1568/getInfo.php?workbook=12_04.xlsx&amp;sheet=U0&amp;row=2528&amp;col=7&amp;number=0.00764&amp;sourceID=14","0.00764")</f>
        <v>0.00764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HYPERLINK("http://141.218.60.56/~jnz1568/getInfo.php?workbook=12_04.xlsx&amp;sheet=U0&amp;row=2529&amp;col=6&amp;number=3.5&amp;sourceID=14","3.5")</f>
        <v>3.5</v>
      </c>
      <c r="G2529" s="4" t="str">
        <f>HYPERLINK("http://141.218.60.56/~jnz1568/getInfo.php?workbook=12_04.xlsx&amp;sheet=U0&amp;row=2529&amp;col=7&amp;number=0.00759&amp;sourceID=14","0.00759")</f>
        <v>0.00759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HYPERLINK("http://141.218.60.56/~jnz1568/getInfo.php?workbook=12_04.xlsx&amp;sheet=U0&amp;row=2530&amp;col=6&amp;number=3.6&amp;sourceID=14","3.6")</f>
        <v>3.6</v>
      </c>
      <c r="G2530" s="4" t="str">
        <f>HYPERLINK("http://141.218.60.56/~jnz1568/getInfo.php?workbook=12_04.xlsx&amp;sheet=U0&amp;row=2530&amp;col=7&amp;number=0.00753&amp;sourceID=14","0.00753")</f>
        <v>0.00753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HYPERLINK("http://141.218.60.56/~jnz1568/getInfo.php?workbook=12_04.xlsx&amp;sheet=U0&amp;row=2531&amp;col=6&amp;number=3.7&amp;sourceID=14","3.7")</f>
        <v>3.7</v>
      </c>
      <c r="G2531" s="4" t="str">
        <f>HYPERLINK("http://141.218.60.56/~jnz1568/getInfo.php?workbook=12_04.xlsx&amp;sheet=U0&amp;row=2531&amp;col=7&amp;number=0.00746&amp;sourceID=14","0.00746")</f>
        <v>0.00746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HYPERLINK("http://141.218.60.56/~jnz1568/getInfo.php?workbook=12_04.xlsx&amp;sheet=U0&amp;row=2532&amp;col=6&amp;number=3.8&amp;sourceID=14","3.8")</f>
        <v>3.8</v>
      </c>
      <c r="G2532" s="4" t="str">
        <f>HYPERLINK("http://141.218.60.56/~jnz1568/getInfo.php?workbook=12_04.xlsx&amp;sheet=U0&amp;row=2532&amp;col=7&amp;number=0.00737&amp;sourceID=14","0.00737")</f>
        <v>0.00737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HYPERLINK("http://141.218.60.56/~jnz1568/getInfo.php?workbook=12_04.xlsx&amp;sheet=U0&amp;row=2533&amp;col=6&amp;number=3.9&amp;sourceID=14","3.9")</f>
        <v>3.9</v>
      </c>
      <c r="G2533" s="4" t="str">
        <f>HYPERLINK("http://141.218.60.56/~jnz1568/getInfo.php?workbook=12_04.xlsx&amp;sheet=U0&amp;row=2533&amp;col=7&amp;number=0.00725&amp;sourceID=14","0.00725")</f>
        <v>0.00725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HYPERLINK("http://141.218.60.56/~jnz1568/getInfo.php?workbook=12_04.xlsx&amp;sheet=U0&amp;row=2534&amp;col=6&amp;number=4&amp;sourceID=14","4")</f>
        <v>4</v>
      </c>
      <c r="G2534" s="4" t="str">
        <f>HYPERLINK("http://141.218.60.56/~jnz1568/getInfo.php?workbook=12_04.xlsx&amp;sheet=U0&amp;row=2534&amp;col=7&amp;number=0.00711&amp;sourceID=14","0.00711")</f>
        <v>0.00711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HYPERLINK("http://141.218.60.56/~jnz1568/getInfo.php?workbook=12_04.xlsx&amp;sheet=U0&amp;row=2535&amp;col=6&amp;number=4.1&amp;sourceID=14","4.1")</f>
        <v>4.1</v>
      </c>
      <c r="G2535" s="4" t="str">
        <f>HYPERLINK("http://141.218.60.56/~jnz1568/getInfo.php?workbook=12_04.xlsx&amp;sheet=U0&amp;row=2535&amp;col=7&amp;number=0.00693&amp;sourceID=14","0.00693")</f>
        <v>0.00693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HYPERLINK("http://141.218.60.56/~jnz1568/getInfo.php?workbook=12_04.xlsx&amp;sheet=U0&amp;row=2536&amp;col=6&amp;number=4.2&amp;sourceID=14","4.2")</f>
        <v>4.2</v>
      </c>
      <c r="G2536" s="4" t="str">
        <f>HYPERLINK("http://141.218.60.56/~jnz1568/getInfo.php?workbook=12_04.xlsx&amp;sheet=U0&amp;row=2536&amp;col=7&amp;number=0.00671&amp;sourceID=14","0.00671")</f>
        <v>0.00671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HYPERLINK("http://141.218.60.56/~jnz1568/getInfo.php?workbook=12_04.xlsx&amp;sheet=U0&amp;row=2537&amp;col=6&amp;number=4.3&amp;sourceID=14","4.3")</f>
        <v>4.3</v>
      </c>
      <c r="G2537" s="4" t="str">
        <f>HYPERLINK("http://141.218.60.56/~jnz1568/getInfo.php?workbook=12_04.xlsx&amp;sheet=U0&amp;row=2537&amp;col=7&amp;number=0.00643&amp;sourceID=14","0.00643")</f>
        <v>0.00643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HYPERLINK("http://141.218.60.56/~jnz1568/getInfo.php?workbook=12_04.xlsx&amp;sheet=U0&amp;row=2538&amp;col=6&amp;number=4.4&amp;sourceID=14","4.4")</f>
        <v>4.4</v>
      </c>
      <c r="G2538" s="4" t="str">
        <f>HYPERLINK("http://141.218.60.56/~jnz1568/getInfo.php?workbook=12_04.xlsx&amp;sheet=U0&amp;row=2538&amp;col=7&amp;number=0.0061&amp;sourceID=14","0.0061")</f>
        <v>0.0061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HYPERLINK("http://141.218.60.56/~jnz1568/getInfo.php?workbook=12_04.xlsx&amp;sheet=U0&amp;row=2539&amp;col=6&amp;number=4.5&amp;sourceID=14","4.5")</f>
        <v>4.5</v>
      </c>
      <c r="G2539" s="4" t="str">
        <f>HYPERLINK("http://141.218.60.56/~jnz1568/getInfo.php?workbook=12_04.xlsx&amp;sheet=U0&amp;row=2539&amp;col=7&amp;number=0.00569&amp;sourceID=14","0.00569")</f>
        <v>0.00569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HYPERLINK("http://141.218.60.56/~jnz1568/getInfo.php?workbook=12_04.xlsx&amp;sheet=U0&amp;row=2540&amp;col=6&amp;number=4.6&amp;sourceID=14","4.6")</f>
        <v>4.6</v>
      </c>
      <c r="G2540" s="4" t="str">
        <f>HYPERLINK("http://141.218.60.56/~jnz1568/getInfo.php?workbook=12_04.xlsx&amp;sheet=U0&amp;row=2540&amp;col=7&amp;number=0.00521&amp;sourceID=14","0.00521")</f>
        <v>0.00521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HYPERLINK("http://141.218.60.56/~jnz1568/getInfo.php?workbook=12_04.xlsx&amp;sheet=U0&amp;row=2541&amp;col=6&amp;number=4.7&amp;sourceID=14","4.7")</f>
        <v>4.7</v>
      </c>
      <c r="G2541" s="4" t="str">
        <f>HYPERLINK("http://141.218.60.56/~jnz1568/getInfo.php?workbook=12_04.xlsx&amp;sheet=U0&amp;row=2541&amp;col=7&amp;number=0.00465&amp;sourceID=14","0.00465")</f>
        <v>0.00465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HYPERLINK("http://141.218.60.56/~jnz1568/getInfo.php?workbook=12_04.xlsx&amp;sheet=U0&amp;row=2542&amp;col=6&amp;number=4.8&amp;sourceID=14","4.8")</f>
        <v>4.8</v>
      </c>
      <c r="G2542" s="4" t="str">
        <f>HYPERLINK("http://141.218.60.56/~jnz1568/getInfo.php?workbook=12_04.xlsx&amp;sheet=U0&amp;row=2542&amp;col=7&amp;number=0.00403&amp;sourceID=14","0.00403")</f>
        <v>0.00403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HYPERLINK("http://141.218.60.56/~jnz1568/getInfo.php?workbook=12_04.xlsx&amp;sheet=U0&amp;row=2543&amp;col=6&amp;number=4.9&amp;sourceID=14","4.9")</f>
        <v>4.9</v>
      </c>
      <c r="G2543" s="4" t="str">
        <f>HYPERLINK("http://141.218.60.56/~jnz1568/getInfo.php?workbook=12_04.xlsx&amp;sheet=U0&amp;row=2543&amp;col=7&amp;number=0.0034&amp;sourceID=14","0.0034")</f>
        <v>0.0034</v>
      </c>
    </row>
    <row r="2544" spans="1:7">
      <c r="A2544" s="3">
        <v>12</v>
      </c>
      <c r="B2544" s="3">
        <v>4</v>
      </c>
      <c r="C2544" s="3">
        <v>2</v>
      </c>
      <c r="D2544" s="3">
        <v>33</v>
      </c>
      <c r="E2544" s="3">
        <v>1</v>
      </c>
      <c r="F2544" s="4" t="str">
        <f>HYPERLINK("http://141.218.60.56/~jnz1568/getInfo.php?workbook=12_04.xlsx&amp;sheet=U0&amp;row=2544&amp;col=6&amp;number=3&amp;sourceID=14","3")</f>
        <v>3</v>
      </c>
      <c r="G2544" s="4" t="str">
        <f>HYPERLINK("http://141.218.60.56/~jnz1568/getInfo.php?workbook=12_04.xlsx&amp;sheet=U0&amp;row=2544&amp;col=7&amp;number=0.0255&amp;sourceID=14","0.0255")</f>
        <v>0.0255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HYPERLINK("http://141.218.60.56/~jnz1568/getInfo.php?workbook=12_04.xlsx&amp;sheet=U0&amp;row=2545&amp;col=6&amp;number=3.1&amp;sourceID=14","3.1")</f>
        <v>3.1</v>
      </c>
      <c r="G2545" s="4" t="str">
        <f>HYPERLINK("http://141.218.60.56/~jnz1568/getInfo.php?workbook=12_04.xlsx&amp;sheet=U0&amp;row=2545&amp;col=7&amp;number=0.0255&amp;sourceID=14","0.0255")</f>
        <v>0.0255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HYPERLINK("http://141.218.60.56/~jnz1568/getInfo.php?workbook=12_04.xlsx&amp;sheet=U0&amp;row=2546&amp;col=6&amp;number=3.2&amp;sourceID=14","3.2")</f>
        <v>3.2</v>
      </c>
      <c r="G2546" s="4" t="str">
        <f>HYPERLINK("http://141.218.60.56/~jnz1568/getInfo.php?workbook=12_04.xlsx&amp;sheet=U0&amp;row=2546&amp;col=7&amp;number=0.0255&amp;sourceID=14","0.0255")</f>
        <v>0.0255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HYPERLINK("http://141.218.60.56/~jnz1568/getInfo.php?workbook=12_04.xlsx&amp;sheet=U0&amp;row=2547&amp;col=6&amp;number=3.3&amp;sourceID=14","3.3")</f>
        <v>3.3</v>
      </c>
      <c r="G2547" s="4" t="str">
        <f>HYPERLINK("http://141.218.60.56/~jnz1568/getInfo.php?workbook=12_04.xlsx&amp;sheet=U0&amp;row=2547&amp;col=7&amp;number=0.0255&amp;sourceID=14","0.0255")</f>
        <v>0.0255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HYPERLINK("http://141.218.60.56/~jnz1568/getInfo.php?workbook=12_04.xlsx&amp;sheet=U0&amp;row=2548&amp;col=6&amp;number=3.4&amp;sourceID=14","3.4")</f>
        <v>3.4</v>
      </c>
      <c r="G2548" s="4" t="str">
        <f>HYPERLINK("http://141.218.60.56/~jnz1568/getInfo.php?workbook=12_04.xlsx&amp;sheet=U0&amp;row=2548&amp;col=7&amp;number=0.0255&amp;sourceID=14","0.0255")</f>
        <v>0.0255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HYPERLINK("http://141.218.60.56/~jnz1568/getInfo.php?workbook=12_04.xlsx&amp;sheet=U0&amp;row=2549&amp;col=6&amp;number=3.5&amp;sourceID=14","3.5")</f>
        <v>3.5</v>
      </c>
      <c r="G2549" s="4" t="str">
        <f>HYPERLINK("http://141.218.60.56/~jnz1568/getInfo.php?workbook=12_04.xlsx&amp;sheet=U0&amp;row=2549&amp;col=7&amp;number=0.0254&amp;sourceID=14","0.0254")</f>
        <v>0.0254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HYPERLINK("http://141.218.60.56/~jnz1568/getInfo.php?workbook=12_04.xlsx&amp;sheet=U0&amp;row=2550&amp;col=6&amp;number=3.6&amp;sourceID=14","3.6")</f>
        <v>3.6</v>
      </c>
      <c r="G2550" s="4" t="str">
        <f>HYPERLINK("http://141.218.60.56/~jnz1568/getInfo.php?workbook=12_04.xlsx&amp;sheet=U0&amp;row=2550&amp;col=7&amp;number=0.0254&amp;sourceID=14","0.0254")</f>
        <v>0.0254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HYPERLINK("http://141.218.60.56/~jnz1568/getInfo.php?workbook=12_04.xlsx&amp;sheet=U0&amp;row=2551&amp;col=6&amp;number=3.7&amp;sourceID=14","3.7")</f>
        <v>3.7</v>
      </c>
      <c r="G2551" s="4" t="str">
        <f>HYPERLINK("http://141.218.60.56/~jnz1568/getInfo.php?workbook=12_04.xlsx&amp;sheet=U0&amp;row=2551&amp;col=7&amp;number=0.0254&amp;sourceID=14","0.0254")</f>
        <v>0.0254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HYPERLINK("http://141.218.60.56/~jnz1568/getInfo.php?workbook=12_04.xlsx&amp;sheet=U0&amp;row=2552&amp;col=6&amp;number=3.8&amp;sourceID=14","3.8")</f>
        <v>3.8</v>
      </c>
      <c r="G2552" s="4" t="str">
        <f>HYPERLINK("http://141.218.60.56/~jnz1568/getInfo.php?workbook=12_04.xlsx&amp;sheet=U0&amp;row=2552&amp;col=7&amp;number=0.0253&amp;sourceID=14","0.0253")</f>
        <v>0.0253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HYPERLINK("http://141.218.60.56/~jnz1568/getInfo.php?workbook=12_04.xlsx&amp;sheet=U0&amp;row=2553&amp;col=6&amp;number=3.9&amp;sourceID=14","3.9")</f>
        <v>3.9</v>
      </c>
      <c r="G2553" s="4" t="str">
        <f>HYPERLINK("http://141.218.60.56/~jnz1568/getInfo.php?workbook=12_04.xlsx&amp;sheet=U0&amp;row=2553&amp;col=7&amp;number=0.0253&amp;sourceID=14","0.0253")</f>
        <v>0.0253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HYPERLINK("http://141.218.60.56/~jnz1568/getInfo.php?workbook=12_04.xlsx&amp;sheet=U0&amp;row=2554&amp;col=6&amp;number=4&amp;sourceID=14","4")</f>
        <v>4</v>
      </c>
      <c r="G2554" s="4" t="str">
        <f>HYPERLINK("http://141.218.60.56/~jnz1568/getInfo.php?workbook=12_04.xlsx&amp;sheet=U0&amp;row=2554&amp;col=7&amp;number=0.0252&amp;sourceID=14","0.0252")</f>
        <v>0.0252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HYPERLINK("http://141.218.60.56/~jnz1568/getInfo.php?workbook=12_04.xlsx&amp;sheet=U0&amp;row=2555&amp;col=6&amp;number=4.1&amp;sourceID=14","4.1")</f>
        <v>4.1</v>
      </c>
      <c r="G2555" s="4" t="str">
        <f>HYPERLINK("http://141.218.60.56/~jnz1568/getInfo.php?workbook=12_04.xlsx&amp;sheet=U0&amp;row=2555&amp;col=7&amp;number=0.0251&amp;sourceID=14","0.0251")</f>
        <v>0.0251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HYPERLINK("http://141.218.60.56/~jnz1568/getInfo.php?workbook=12_04.xlsx&amp;sheet=U0&amp;row=2556&amp;col=6&amp;number=4.2&amp;sourceID=14","4.2")</f>
        <v>4.2</v>
      </c>
      <c r="G2556" s="4" t="str">
        <f>HYPERLINK("http://141.218.60.56/~jnz1568/getInfo.php?workbook=12_04.xlsx&amp;sheet=U0&amp;row=2556&amp;col=7&amp;number=0.025&amp;sourceID=14","0.025")</f>
        <v>0.025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HYPERLINK("http://141.218.60.56/~jnz1568/getInfo.php?workbook=12_04.xlsx&amp;sheet=U0&amp;row=2557&amp;col=6&amp;number=4.3&amp;sourceID=14","4.3")</f>
        <v>4.3</v>
      </c>
      <c r="G2557" s="4" t="str">
        <f>HYPERLINK("http://141.218.60.56/~jnz1568/getInfo.php?workbook=12_04.xlsx&amp;sheet=U0&amp;row=2557&amp;col=7&amp;number=0.0249&amp;sourceID=14","0.0249")</f>
        <v>0.0249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HYPERLINK("http://141.218.60.56/~jnz1568/getInfo.php?workbook=12_04.xlsx&amp;sheet=U0&amp;row=2558&amp;col=6&amp;number=4.4&amp;sourceID=14","4.4")</f>
        <v>4.4</v>
      </c>
      <c r="G2558" s="4" t="str">
        <f>HYPERLINK("http://141.218.60.56/~jnz1568/getInfo.php?workbook=12_04.xlsx&amp;sheet=U0&amp;row=2558&amp;col=7&amp;number=0.0248&amp;sourceID=14","0.0248")</f>
        <v>0.0248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HYPERLINK("http://141.218.60.56/~jnz1568/getInfo.php?workbook=12_04.xlsx&amp;sheet=U0&amp;row=2559&amp;col=6&amp;number=4.5&amp;sourceID=14","4.5")</f>
        <v>4.5</v>
      </c>
      <c r="G2559" s="4" t="str">
        <f>HYPERLINK("http://141.218.60.56/~jnz1568/getInfo.php?workbook=12_04.xlsx&amp;sheet=U0&amp;row=2559&amp;col=7&amp;number=0.0246&amp;sourceID=14","0.0246")</f>
        <v>0.0246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HYPERLINK("http://141.218.60.56/~jnz1568/getInfo.php?workbook=12_04.xlsx&amp;sheet=U0&amp;row=2560&amp;col=6&amp;number=4.6&amp;sourceID=14","4.6")</f>
        <v>4.6</v>
      </c>
      <c r="G2560" s="4" t="str">
        <f>HYPERLINK("http://141.218.60.56/~jnz1568/getInfo.php?workbook=12_04.xlsx&amp;sheet=U0&amp;row=2560&amp;col=7&amp;number=0.0243&amp;sourceID=14","0.0243")</f>
        <v>0.0243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HYPERLINK("http://141.218.60.56/~jnz1568/getInfo.php?workbook=12_04.xlsx&amp;sheet=U0&amp;row=2561&amp;col=6&amp;number=4.7&amp;sourceID=14","4.7")</f>
        <v>4.7</v>
      </c>
      <c r="G2561" s="4" t="str">
        <f>HYPERLINK("http://141.218.60.56/~jnz1568/getInfo.php?workbook=12_04.xlsx&amp;sheet=U0&amp;row=2561&amp;col=7&amp;number=0.024&amp;sourceID=14","0.024")</f>
        <v>0.024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HYPERLINK("http://141.218.60.56/~jnz1568/getInfo.php?workbook=12_04.xlsx&amp;sheet=U0&amp;row=2562&amp;col=6&amp;number=4.8&amp;sourceID=14","4.8")</f>
        <v>4.8</v>
      </c>
      <c r="G2562" s="4" t="str">
        <f>HYPERLINK("http://141.218.60.56/~jnz1568/getInfo.php?workbook=12_04.xlsx&amp;sheet=U0&amp;row=2562&amp;col=7&amp;number=0.0237&amp;sourceID=14","0.0237")</f>
        <v>0.0237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HYPERLINK("http://141.218.60.56/~jnz1568/getInfo.php?workbook=12_04.xlsx&amp;sheet=U0&amp;row=2563&amp;col=6&amp;number=4.9&amp;sourceID=14","4.9")</f>
        <v>4.9</v>
      </c>
      <c r="G2563" s="4" t="str">
        <f>HYPERLINK("http://141.218.60.56/~jnz1568/getInfo.php?workbook=12_04.xlsx&amp;sheet=U0&amp;row=2563&amp;col=7&amp;number=0.0233&amp;sourceID=14","0.0233")</f>
        <v>0.0233</v>
      </c>
    </row>
    <row r="2564" spans="1:7">
      <c r="A2564" s="3">
        <v>12</v>
      </c>
      <c r="B2564" s="3">
        <v>4</v>
      </c>
      <c r="C2564" s="3">
        <v>2</v>
      </c>
      <c r="D2564" s="3">
        <v>34</v>
      </c>
      <c r="E2564" s="3">
        <v>1</v>
      </c>
      <c r="F2564" s="4" t="str">
        <f>HYPERLINK("http://141.218.60.56/~jnz1568/getInfo.php?workbook=12_04.xlsx&amp;sheet=U0&amp;row=2564&amp;col=6&amp;number=3&amp;sourceID=14","3")</f>
        <v>3</v>
      </c>
      <c r="G2564" s="4" t="str">
        <f>HYPERLINK("http://141.218.60.56/~jnz1568/getInfo.php?workbook=12_04.xlsx&amp;sheet=U0&amp;row=2564&amp;col=7&amp;number=0.0142&amp;sourceID=14","0.0142")</f>
        <v>0.0142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HYPERLINK("http://141.218.60.56/~jnz1568/getInfo.php?workbook=12_04.xlsx&amp;sheet=U0&amp;row=2565&amp;col=6&amp;number=3.1&amp;sourceID=14","3.1")</f>
        <v>3.1</v>
      </c>
      <c r="G2565" s="4" t="str">
        <f>HYPERLINK("http://141.218.60.56/~jnz1568/getInfo.php?workbook=12_04.xlsx&amp;sheet=U0&amp;row=2565&amp;col=7&amp;number=0.0141&amp;sourceID=14","0.0141")</f>
        <v>0.0141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HYPERLINK("http://141.218.60.56/~jnz1568/getInfo.php?workbook=12_04.xlsx&amp;sheet=U0&amp;row=2566&amp;col=6&amp;number=3.2&amp;sourceID=14","3.2")</f>
        <v>3.2</v>
      </c>
      <c r="G2566" s="4" t="str">
        <f>HYPERLINK("http://141.218.60.56/~jnz1568/getInfo.php?workbook=12_04.xlsx&amp;sheet=U0&amp;row=2566&amp;col=7&amp;number=0.0141&amp;sourceID=14","0.0141")</f>
        <v>0.0141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HYPERLINK("http://141.218.60.56/~jnz1568/getInfo.php?workbook=12_04.xlsx&amp;sheet=U0&amp;row=2567&amp;col=6&amp;number=3.3&amp;sourceID=14","3.3")</f>
        <v>3.3</v>
      </c>
      <c r="G2567" s="4" t="str">
        <f>HYPERLINK("http://141.218.60.56/~jnz1568/getInfo.php?workbook=12_04.xlsx&amp;sheet=U0&amp;row=2567&amp;col=7&amp;number=0.0141&amp;sourceID=14","0.0141")</f>
        <v>0.0141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HYPERLINK("http://141.218.60.56/~jnz1568/getInfo.php?workbook=12_04.xlsx&amp;sheet=U0&amp;row=2568&amp;col=6&amp;number=3.4&amp;sourceID=14","3.4")</f>
        <v>3.4</v>
      </c>
      <c r="G2568" s="4" t="str">
        <f>HYPERLINK("http://141.218.60.56/~jnz1568/getInfo.php?workbook=12_04.xlsx&amp;sheet=U0&amp;row=2568&amp;col=7&amp;number=0.0141&amp;sourceID=14","0.0141")</f>
        <v>0.0141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HYPERLINK("http://141.218.60.56/~jnz1568/getInfo.php?workbook=12_04.xlsx&amp;sheet=U0&amp;row=2569&amp;col=6&amp;number=3.5&amp;sourceID=14","3.5")</f>
        <v>3.5</v>
      </c>
      <c r="G2569" s="4" t="str">
        <f>HYPERLINK("http://141.218.60.56/~jnz1568/getInfo.php?workbook=12_04.xlsx&amp;sheet=U0&amp;row=2569&amp;col=7&amp;number=0.014&amp;sourceID=14","0.014")</f>
        <v>0.014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HYPERLINK("http://141.218.60.56/~jnz1568/getInfo.php?workbook=12_04.xlsx&amp;sheet=U0&amp;row=2570&amp;col=6&amp;number=3.6&amp;sourceID=14","3.6")</f>
        <v>3.6</v>
      </c>
      <c r="G2570" s="4" t="str">
        <f>HYPERLINK("http://141.218.60.56/~jnz1568/getInfo.php?workbook=12_04.xlsx&amp;sheet=U0&amp;row=2570&amp;col=7&amp;number=0.014&amp;sourceID=14","0.014")</f>
        <v>0.014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HYPERLINK("http://141.218.60.56/~jnz1568/getInfo.php?workbook=12_04.xlsx&amp;sheet=U0&amp;row=2571&amp;col=6&amp;number=3.7&amp;sourceID=14","3.7")</f>
        <v>3.7</v>
      </c>
      <c r="G2571" s="4" t="str">
        <f>HYPERLINK("http://141.218.60.56/~jnz1568/getInfo.php?workbook=12_04.xlsx&amp;sheet=U0&amp;row=2571&amp;col=7&amp;number=0.014&amp;sourceID=14","0.014")</f>
        <v>0.014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HYPERLINK("http://141.218.60.56/~jnz1568/getInfo.php?workbook=12_04.xlsx&amp;sheet=U0&amp;row=2572&amp;col=6&amp;number=3.8&amp;sourceID=14","3.8")</f>
        <v>3.8</v>
      </c>
      <c r="G2572" s="4" t="str">
        <f>HYPERLINK("http://141.218.60.56/~jnz1568/getInfo.php?workbook=12_04.xlsx&amp;sheet=U0&amp;row=2572&amp;col=7&amp;number=0.0139&amp;sourceID=14","0.0139")</f>
        <v>0.0139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HYPERLINK("http://141.218.60.56/~jnz1568/getInfo.php?workbook=12_04.xlsx&amp;sheet=U0&amp;row=2573&amp;col=6&amp;number=3.9&amp;sourceID=14","3.9")</f>
        <v>3.9</v>
      </c>
      <c r="G2573" s="4" t="str">
        <f>HYPERLINK("http://141.218.60.56/~jnz1568/getInfo.php?workbook=12_04.xlsx&amp;sheet=U0&amp;row=2573&amp;col=7&amp;number=0.0138&amp;sourceID=14","0.0138")</f>
        <v>0.0138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HYPERLINK("http://141.218.60.56/~jnz1568/getInfo.php?workbook=12_04.xlsx&amp;sheet=U0&amp;row=2574&amp;col=6&amp;number=4&amp;sourceID=14","4")</f>
        <v>4</v>
      </c>
      <c r="G2574" s="4" t="str">
        <f>HYPERLINK("http://141.218.60.56/~jnz1568/getInfo.php?workbook=12_04.xlsx&amp;sheet=U0&amp;row=2574&amp;col=7&amp;number=0.0137&amp;sourceID=14","0.0137")</f>
        <v>0.0137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HYPERLINK("http://141.218.60.56/~jnz1568/getInfo.php?workbook=12_04.xlsx&amp;sheet=U0&amp;row=2575&amp;col=6&amp;number=4.1&amp;sourceID=14","4.1")</f>
        <v>4.1</v>
      </c>
      <c r="G2575" s="4" t="str">
        <f>HYPERLINK("http://141.218.60.56/~jnz1568/getInfo.php?workbook=12_04.xlsx&amp;sheet=U0&amp;row=2575&amp;col=7&amp;number=0.0136&amp;sourceID=14","0.0136")</f>
        <v>0.0136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HYPERLINK("http://141.218.60.56/~jnz1568/getInfo.php?workbook=12_04.xlsx&amp;sheet=U0&amp;row=2576&amp;col=6&amp;number=4.2&amp;sourceID=14","4.2")</f>
        <v>4.2</v>
      </c>
      <c r="G2576" s="4" t="str">
        <f>HYPERLINK("http://141.218.60.56/~jnz1568/getInfo.php?workbook=12_04.xlsx&amp;sheet=U0&amp;row=2576&amp;col=7&amp;number=0.0134&amp;sourceID=14","0.0134")</f>
        <v>0.0134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HYPERLINK("http://141.218.60.56/~jnz1568/getInfo.php?workbook=12_04.xlsx&amp;sheet=U0&amp;row=2577&amp;col=6&amp;number=4.3&amp;sourceID=14","4.3")</f>
        <v>4.3</v>
      </c>
      <c r="G2577" s="4" t="str">
        <f>HYPERLINK("http://141.218.60.56/~jnz1568/getInfo.php?workbook=12_04.xlsx&amp;sheet=U0&amp;row=2577&amp;col=7&amp;number=0.0132&amp;sourceID=14","0.0132")</f>
        <v>0.0132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HYPERLINK("http://141.218.60.56/~jnz1568/getInfo.php?workbook=12_04.xlsx&amp;sheet=U0&amp;row=2578&amp;col=6&amp;number=4.4&amp;sourceID=14","4.4")</f>
        <v>4.4</v>
      </c>
      <c r="G2578" s="4" t="str">
        <f>HYPERLINK("http://141.218.60.56/~jnz1568/getInfo.php?workbook=12_04.xlsx&amp;sheet=U0&amp;row=2578&amp;col=7&amp;number=0.0129&amp;sourceID=14","0.0129")</f>
        <v>0.0129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HYPERLINK("http://141.218.60.56/~jnz1568/getInfo.php?workbook=12_04.xlsx&amp;sheet=U0&amp;row=2579&amp;col=6&amp;number=4.5&amp;sourceID=14","4.5")</f>
        <v>4.5</v>
      </c>
      <c r="G2579" s="4" t="str">
        <f>HYPERLINK("http://141.218.60.56/~jnz1568/getInfo.php?workbook=12_04.xlsx&amp;sheet=U0&amp;row=2579&amp;col=7&amp;number=0.0126&amp;sourceID=14","0.0126")</f>
        <v>0.0126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HYPERLINK("http://141.218.60.56/~jnz1568/getInfo.php?workbook=12_04.xlsx&amp;sheet=U0&amp;row=2580&amp;col=6&amp;number=4.6&amp;sourceID=14","4.6")</f>
        <v>4.6</v>
      </c>
      <c r="G2580" s="4" t="str">
        <f>HYPERLINK("http://141.218.60.56/~jnz1568/getInfo.php?workbook=12_04.xlsx&amp;sheet=U0&amp;row=2580&amp;col=7&amp;number=0.0122&amp;sourceID=14","0.0122")</f>
        <v>0.0122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HYPERLINK("http://141.218.60.56/~jnz1568/getInfo.php?workbook=12_04.xlsx&amp;sheet=U0&amp;row=2581&amp;col=6&amp;number=4.7&amp;sourceID=14","4.7")</f>
        <v>4.7</v>
      </c>
      <c r="G2581" s="4" t="str">
        <f>HYPERLINK("http://141.218.60.56/~jnz1568/getInfo.php?workbook=12_04.xlsx&amp;sheet=U0&amp;row=2581&amp;col=7&amp;number=0.0117&amp;sourceID=14","0.0117")</f>
        <v>0.0117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HYPERLINK("http://141.218.60.56/~jnz1568/getInfo.php?workbook=12_04.xlsx&amp;sheet=U0&amp;row=2582&amp;col=6&amp;number=4.8&amp;sourceID=14","4.8")</f>
        <v>4.8</v>
      </c>
      <c r="G2582" s="4" t="str">
        <f>HYPERLINK("http://141.218.60.56/~jnz1568/getInfo.php?workbook=12_04.xlsx&amp;sheet=U0&amp;row=2582&amp;col=7&amp;number=0.0112&amp;sourceID=14","0.0112")</f>
        <v>0.0112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HYPERLINK("http://141.218.60.56/~jnz1568/getInfo.php?workbook=12_04.xlsx&amp;sheet=U0&amp;row=2583&amp;col=6&amp;number=4.9&amp;sourceID=14","4.9")</f>
        <v>4.9</v>
      </c>
      <c r="G2583" s="4" t="str">
        <f>HYPERLINK("http://141.218.60.56/~jnz1568/getInfo.php?workbook=12_04.xlsx&amp;sheet=U0&amp;row=2583&amp;col=7&amp;number=0.0105&amp;sourceID=14","0.0105")</f>
        <v>0.0105</v>
      </c>
    </row>
    <row r="2584" spans="1:7">
      <c r="A2584" s="3">
        <v>12</v>
      </c>
      <c r="B2584" s="3">
        <v>4</v>
      </c>
      <c r="C2584" s="3">
        <v>2</v>
      </c>
      <c r="D2584" s="3">
        <v>35</v>
      </c>
      <c r="E2584" s="3">
        <v>1</v>
      </c>
      <c r="F2584" s="4" t="str">
        <f>HYPERLINK("http://141.218.60.56/~jnz1568/getInfo.php?workbook=12_04.xlsx&amp;sheet=U0&amp;row=2584&amp;col=6&amp;number=3&amp;sourceID=14","3")</f>
        <v>3</v>
      </c>
      <c r="G2584" s="4" t="str">
        <f>HYPERLINK("http://141.218.60.56/~jnz1568/getInfo.php?workbook=12_04.xlsx&amp;sheet=U0&amp;row=2584&amp;col=7&amp;number=0.00927&amp;sourceID=14","0.00927")</f>
        <v>0.00927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HYPERLINK("http://141.218.60.56/~jnz1568/getInfo.php?workbook=12_04.xlsx&amp;sheet=U0&amp;row=2585&amp;col=6&amp;number=3.1&amp;sourceID=14","3.1")</f>
        <v>3.1</v>
      </c>
      <c r="G2585" s="4" t="str">
        <f>HYPERLINK("http://141.218.60.56/~jnz1568/getInfo.php?workbook=12_04.xlsx&amp;sheet=U0&amp;row=2585&amp;col=7&amp;number=0.00926&amp;sourceID=14","0.00926")</f>
        <v>0.00926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HYPERLINK("http://141.218.60.56/~jnz1568/getInfo.php?workbook=12_04.xlsx&amp;sheet=U0&amp;row=2586&amp;col=6&amp;number=3.2&amp;sourceID=14","3.2")</f>
        <v>3.2</v>
      </c>
      <c r="G2586" s="4" t="str">
        <f>HYPERLINK("http://141.218.60.56/~jnz1568/getInfo.php?workbook=12_04.xlsx&amp;sheet=U0&amp;row=2586&amp;col=7&amp;number=0.00925&amp;sourceID=14","0.00925")</f>
        <v>0.00925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HYPERLINK("http://141.218.60.56/~jnz1568/getInfo.php?workbook=12_04.xlsx&amp;sheet=U0&amp;row=2587&amp;col=6&amp;number=3.3&amp;sourceID=14","3.3")</f>
        <v>3.3</v>
      </c>
      <c r="G2587" s="4" t="str">
        <f>HYPERLINK("http://141.218.60.56/~jnz1568/getInfo.php?workbook=12_04.xlsx&amp;sheet=U0&amp;row=2587&amp;col=7&amp;number=0.00923&amp;sourceID=14","0.00923")</f>
        <v>0.00923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HYPERLINK("http://141.218.60.56/~jnz1568/getInfo.php?workbook=12_04.xlsx&amp;sheet=U0&amp;row=2588&amp;col=6&amp;number=3.4&amp;sourceID=14","3.4")</f>
        <v>3.4</v>
      </c>
      <c r="G2588" s="4" t="str">
        <f>HYPERLINK("http://141.218.60.56/~jnz1568/getInfo.php?workbook=12_04.xlsx&amp;sheet=U0&amp;row=2588&amp;col=7&amp;number=0.00922&amp;sourceID=14","0.00922")</f>
        <v>0.00922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HYPERLINK("http://141.218.60.56/~jnz1568/getInfo.php?workbook=12_04.xlsx&amp;sheet=U0&amp;row=2589&amp;col=6&amp;number=3.5&amp;sourceID=14","3.5")</f>
        <v>3.5</v>
      </c>
      <c r="G2589" s="4" t="str">
        <f>HYPERLINK("http://141.218.60.56/~jnz1568/getInfo.php?workbook=12_04.xlsx&amp;sheet=U0&amp;row=2589&amp;col=7&amp;number=0.0092&amp;sourceID=14","0.0092")</f>
        <v>0.0092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HYPERLINK("http://141.218.60.56/~jnz1568/getInfo.php?workbook=12_04.xlsx&amp;sheet=U0&amp;row=2590&amp;col=6&amp;number=3.6&amp;sourceID=14","3.6")</f>
        <v>3.6</v>
      </c>
      <c r="G2590" s="4" t="str">
        <f>HYPERLINK("http://141.218.60.56/~jnz1568/getInfo.php?workbook=12_04.xlsx&amp;sheet=U0&amp;row=2590&amp;col=7&amp;number=0.00917&amp;sourceID=14","0.00917")</f>
        <v>0.00917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HYPERLINK("http://141.218.60.56/~jnz1568/getInfo.php?workbook=12_04.xlsx&amp;sheet=U0&amp;row=2591&amp;col=6&amp;number=3.7&amp;sourceID=14","3.7")</f>
        <v>3.7</v>
      </c>
      <c r="G2591" s="4" t="str">
        <f>HYPERLINK("http://141.218.60.56/~jnz1568/getInfo.php?workbook=12_04.xlsx&amp;sheet=U0&amp;row=2591&amp;col=7&amp;number=0.00914&amp;sourceID=14","0.00914")</f>
        <v>0.00914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HYPERLINK("http://141.218.60.56/~jnz1568/getInfo.php?workbook=12_04.xlsx&amp;sheet=U0&amp;row=2592&amp;col=6&amp;number=3.8&amp;sourceID=14","3.8")</f>
        <v>3.8</v>
      </c>
      <c r="G2592" s="4" t="str">
        <f>HYPERLINK("http://141.218.60.56/~jnz1568/getInfo.php?workbook=12_04.xlsx&amp;sheet=U0&amp;row=2592&amp;col=7&amp;number=0.0091&amp;sourceID=14","0.0091")</f>
        <v>0.0091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HYPERLINK("http://141.218.60.56/~jnz1568/getInfo.php?workbook=12_04.xlsx&amp;sheet=U0&amp;row=2593&amp;col=6&amp;number=3.9&amp;sourceID=14","3.9")</f>
        <v>3.9</v>
      </c>
      <c r="G2593" s="4" t="str">
        <f>HYPERLINK("http://141.218.60.56/~jnz1568/getInfo.php?workbook=12_04.xlsx&amp;sheet=U0&amp;row=2593&amp;col=7&amp;number=0.00905&amp;sourceID=14","0.00905")</f>
        <v>0.00905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HYPERLINK("http://141.218.60.56/~jnz1568/getInfo.php?workbook=12_04.xlsx&amp;sheet=U0&amp;row=2594&amp;col=6&amp;number=4&amp;sourceID=14","4")</f>
        <v>4</v>
      </c>
      <c r="G2594" s="4" t="str">
        <f>HYPERLINK("http://141.218.60.56/~jnz1568/getInfo.php?workbook=12_04.xlsx&amp;sheet=U0&amp;row=2594&amp;col=7&amp;number=0.00898&amp;sourceID=14","0.00898")</f>
        <v>0.00898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HYPERLINK("http://141.218.60.56/~jnz1568/getInfo.php?workbook=12_04.xlsx&amp;sheet=U0&amp;row=2595&amp;col=6&amp;number=4.1&amp;sourceID=14","4.1")</f>
        <v>4.1</v>
      </c>
      <c r="G2595" s="4" t="str">
        <f>HYPERLINK("http://141.218.60.56/~jnz1568/getInfo.php?workbook=12_04.xlsx&amp;sheet=U0&amp;row=2595&amp;col=7&amp;number=0.0089&amp;sourceID=14","0.0089")</f>
        <v>0.0089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HYPERLINK("http://141.218.60.56/~jnz1568/getInfo.php?workbook=12_04.xlsx&amp;sheet=U0&amp;row=2596&amp;col=6&amp;number=4.2&amp;sourceID=14","4.2")</f>
        <v>4.2</v>
      </c>
      <c r="G2596" s="4" t="str">
        <f>HYPERLINK("http://141.218.60.56/~jnz1568/getInfo.php?workbook=12_04.xlsx&amp;sheet=U0&amp;row=2596&amp;col=7&amp;number=0.00881&amp;sourceID=14","0.00881")</f>
        <v>0.00881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HYPERLINK("http://141.218.60.56/~jnz1568/getInfo.php?workbook=12_04.xlsx&amp;sheet=U0&amp;row=2597&amp;col=6&amp;number=4.3&amp;sourceID=14","4.3")</f>
        <v>4.3</v>
      </c>
      <c r="G2597" s="4" t="str">
        <f>HYPERLINK("http://141.218.60.56/~jnz1568/getInfo.php?workbook=12_04.xlsx&amp;sheet=U0&amp;row=2597&amp;col=7&amp;number=0.00868&amp;sourceID=14","0.00868")</f>
        <v>0.00868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HYPERLINK("http://141.218.60.56/~jnz1568/getInfo.php?workbook=12_04.xlsx&amp;sheet=U0&amp;row=2598&amp;col=6&amp;number=4.4&amp;sourceID=14","4.4")</f>
        <v>4.4</v>
      </c>
      <c r="G2598" s="4" t="str">
        <f>HYPERLINK("http://141.218.60.56/~jnz1568/getInfo.php?workbook=12_04.xlsx&amp;sheet=U0&amp;row=2598&amp;col=7&amp;number=0.00854&amp;sourceID=14","0.00854")</f>
        <v>0.00854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HYPERLINK("http://141.218.60.56/~jnz1568/getInfo.php?workbook=12_04.xlsx&amp;sheet=U0&amp;row=2599&amp;col=6&amp;number=4.5&amp;sourceID=14","4.5")</f>
        <v>4.5</v>
      </c>
      <c r="G2599" s="4" t="str">
        <f>HYPERLINK("http://141.218.60.56/~jnz1568/getInfo.php?workbook=12_04.xlsx&amp;sheet=U0&amp;row=2599&amp;col=7&amp;number=0.00836&amp;sourceID=14","0.00836")</f>
        <v>0.00836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HYPERLINK("http://141.218.60.56/~jnz1568/getInfo.php?workbook=12_04.xlsx&amp;sheet=U0&amp;row=2600&amp;col=6&amp;number=4.6&amp;sourceID=14","4.6")</f>
        <v>4.6</v>
      </c>
      <c r="G2600" s="4" t="str">
        <f>HYPERLINK("http://141.218.60.56/~jnz1568/getInfo.php?workbook=12_04.xlsx&amp;sheet=U0&amp;row=2600&amp;col=7&amp;number=0.00815&amp;sourceID=14","0.00815")</f>
        <v>0.00815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HYPERLINK("http://141.218.60.56/~jnz1568/getInfo.php?workbook=12_04.xlsx&amp;sheet=U0&amp;row=2601&amp;col=6&amp;number=4.7&amp;sourceID=14","4.7")</f>
        <v>4.7</v>
      </c>
      <c r="G2601" s="4" t="str">
        <f>HYPERLINK("http://141.218.60.56/~jnz1568/getInfo.php?workbook=12_04.xlsx&amp;sheet=U0&amp;row=2601&amp;col=7&amp;number=0.00791&amp;sourceID=14","0.00791")</f>
        <v>0.00791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HYPERLINK("http://141.218.60.56/~jnz1568/getInfo.php?workbook=12_04.xlsx&amp;sheet=U0&amp;row=2602&amp;col=6&amp;number=4.8&amp;sourceID=14","4.8")</f>
        <v>4.8</v>
      </c>
      <c r="G2602" s="4" t="str">
        <f>HYPERLINK("http://141.218.60.56/~jnz1568/getInfo.php?workbook=12_04.xlsx&amp;sheet=U0&amp;row=2602&amp;col=7&amp;number=0.00764&amp;sourceID=14","0.00764")</f>
        <v>0.00764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HYPERLINK("http://141.218.60.56/~jnz1568/getInfo.php?workbook=12_04.xlsx&amp;sheet=U0&amp;row=2603&amp;col=6&amp;number=4.9&amp;sourceID=14","4.9")</f>
        <v>4.9</v>
      </c>
      <c r="G2603" s="4" t="str">
        <f>HYPERLINK("http://141.218.60.56/~jnz1568/getInfo.php?workbook=12_04.xlsx&amp;sheet=U0&amp;row=2603&amp;col=7&amp;number=0.00739&amp;sourceID=14","0.00739")</f>
        <v>0.00739</v>
      </c>
    </row>
    <row r="2604" spans="1:7">
      <c r="A2604" s="3">
        <v>12</v>
      </c>
      <c r="B2604" s="3">
        <v>4</v>
      </c>
      <c r="C2604" s="3">
        <v>2</v>
      </c>
      <c r="D2604" s="3">
        <v>36</v>
      </c>
      <c r="E2604" s="3">
        <v>1</v>
      </c>
      <c r="F2604" s="4" t="str">
        <f>HYPERLINK("http://141.218.60.56/~jnz1568/getInfo.php?workbook=12_04.xlsx&amp;sheet=U0&amp;row=2604&amp;col=6&amp;number=3&amp;sourceID=14","3")</f>
        <v>3</v>
      </c>
      <c r="G2604" s="4" t="str">
        <f>HYPERLINK("http://141.218.60.56/~jnz1568/getInfo.php?workbook=12_04.xlsx&amp;sheet=U0&amp;row=2604&amp;col=7&amp;number=0.00358&amp;sourceID=14","0.00358")</f>
        <v>0.00358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HYPERLINK("http://141.218.60.56/~jnz1568/getInfo.php?workbook=12_04.xlsx&amp;sheet=U0&amp;row=2605&amp;col=6&amp;number=3.1&amp;sourceID=14","3.1")</f>
        <v>3.1</v>
      </c>
      <c r="G2605" s="4" t="str">
        <f>HYPERLINK("http://141.218.60.56/~jnz1568/getInfo.php?workbook=12_04.xlsx&amp;sheet=U0&amp;row=2605&amp;col=7&amp;number=0.00357&amp;sourceID=14","0.00357")</f>
        <v>0.00357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HYPERLINK("http://141.218.60.56/~jnz1568/getInfo.php?workbook=12_04.xlsx&amp;sheet=U0&amp;row=2606&amp;col=6&amp;number=3.2&amp;sourceID=14","3.2")</f>
        <v>3.2</v>
      </c>
      <c r="G2606" s="4" t="str">
        <f>HYPERLINK("http://141.218.60.56/~jnz1568/getInfo.php?workbook=12_04.xlsx&amp;sheet=U0&amp;row=2606&amp;col=7&amp;number=0.00356&amp;sourceID=14","0.00356")</f>
        <v>0.00356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HYPERLINK("http://141.218.60.56/~jnz1568/getInfo.php?workbook=12_04.xlsx&amp;sheet=U0&amp;row=2607&amp;col=6&amp;number=3.3&amp;sourceID=14","3.3")</f>
        <v>3.3</v>
      </c>
      <c r="G2607" s="4" t="str">
        <f>HYPERLINK("http://141.218.60.56/~jnz1568/getInfo.php?workbook=12_04.xlsx&amp;sheet=U0&amp;row=2607&amp;col=7&amp;number=0.00355&amp;sourceID=14","0.00355")</f>
        <v>0.00355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HYPERLINK("http://141.218.60.56/~jnz1568/getInfo.php?workbook=12_04.xlsx&amp;sheet=U0&amp;row=2608&amp;col=6&amp;number=3.4&amp;sourceID=14","3.4")</f>
        <v>3.4</v>
      </c>
      <c r="G2608" s="4" t="str">
        <f>HYPERLINK("http://141.218.60.56/~jnz1568/getInfo.php?workbook=12_04.xlsx&amp;sheet=U0&amp;row=2608&amp;col=7&amp;number=0.00353&amp;sourceID=14","0.00353")</f>
        <v>0.00353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HYPERLINK("http://141.218.60.56/~jnz1568/getInfo.php?workbook=12_04.xlsx&amp;sheet=U0&amp;row=2609&amp;col=6&amp;number=3.5&amp;sourceID=14","3.5")</f>
        <v>3.5</v>
      </c>
      <c r="G2609" s="4" t="str">
        <f>HYPERLINK("http://141.218.60.56/~jnz1568/getInfo.php?workbook=12_04.xlsx&amp;sheet=U0&amp;row=2609&amp;col=7&amp;number=0.00351&amp;sourceID=14","0.00351")</f>
        <v>0.00351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HYPERLINK("http://141.218.60.56/~jnz1568/getInfo.php?workbook=12_04.xlsx&amp;sheet=U0&amp;row=2610&amp;col=6&amp;number=3.6&amp;sourceID=14","3.6")</f>
        <v>3.6</v>
      </c>
      <c r="G2610" s="4" t="str">
        <f>HYPERLINK("http://141.218.60.56/~jnz1568/getInfo.php?workbook=12_04.xlsx&amp;sheet=U0&amp;row=2610&amp;col=7&amp;number=0.00349&amp;sourceID=14","0.00349")</f>
        <v>0.00349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HYPERLINK("http://141.218.60.56/~jnz1568/getInfo.php?workbook=12_04.xlsx&amp;sheet=U0&amp;row=2611&amp;col=6&amp;number=3.7&amp;sourceID=14","3.7")</f>
        <v>3.7</v>
      </c>
      <c r="G2611" s="4" t="str">
        <f>HYPERLINK("http://141.218.60.56/~jnz1568/getInfo.php?workbook=12_04.xlsx&amp;sheet=U0&amp;row=2611&amp;col=7&amp;number=0.00346&amp;sourceID=14","0.00346")</f>
        <v>0.00346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HYPERLINK("http://141.218.60.56/~jnz1568/getInfo.php?workbook=12_04.xlsx&amp;sheet=U0&amp;row=2612&amp;col=6&amp;number=3.8&amp;sourceID=14","3.8")</f>
        <v>3.8</v>
      </c>
      <c r="G2612" s="4" t="str">
        <f>HYPERLINK("http://141.218.60.56/~jnz1568/getInfo.php?workbook=12_04.xlsx&amp;sheet=U0&amp;row=2612&amp;col=7&amp;number=0.00342&amp;sourceID=14","0.00342")</f>
        <v>0.00342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HYPERLINK("http://141.218.60.56/~jnz1568/getInfo.php?workbook=12_04.xlsx&amp;sheet=U0&amp;row=2613&amp;col=6&amp;number=3.9&amp;sourceID=14","3.9")</f>
        <v>3.9</v>
      </c>
      <c r="G2613" s="4" t="str">
        <f>HYPERLINK("http://141.218.60.56/~jnz1568/getInfo.php?workbook=12_04.xlsx&amp;sheet=U0&amp;row=2613&amp;col=7&amp;number=0.00337&amp;sourceID=14","0.00337")</f>
        <v>0.00337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HYPERLINK("http://141.218.60.56/~jnz1568/getInfo.php?workbook=12_04.xlsx&amp;sheet=U0&amp;row=2614&amp;col=6&amp;number=4&amp;sourceID=14","4")</f>
        <v>4</v>
      </c>
      <c r="G2614" s="4" t="str">
        <f>HYPERLINK("http://141.218.60.56/~jnz1568/getInfo.php?workbook=12_04.xlsx&amp;sheet=U0&amp;row=2614&amp;col=7&amp;number=0.0033&amp;sourceID=14","0.0033")</f>
        <v>0.0033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HYPERLINK("http://141.218.60.56/~jnz1568/getInfo.php?workbook=12_04.xlsx&amp;sheet=U0&amp;row=2615&amp;col=6&amp;number=4.1&amp;sourceID=14","4.1")</f>
        <v>4.1</v>
      </c>
      <c r="G2615" s="4" t="str">
        <f>HYPERLINK("http://141.218.60.56/~jnz1568/getInfo.php?workbook=12_04.xlsx&amp;sheet=U0&amp;row=2615&amp;col=7&amp;number=0.00323&amp;sourceID=14","0.00323")</f>
        <v>0.00323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HYPERLINK("http://141.218.60.56/~jnz1568/getInfo.php?workbook=12_04.xlsx&amp;sheet=U0&amp;row=2616&amp;col=6&amp;number=4.2&amp;sourceID=14","4.2")</f>
        <v>4.2</v>
      </c>
      <c r="G2616" s="4" t="str">
        <f>HYPERLINK("http://141.218.60.56/~jnz1568/getInfo.php?workbook=12_04.xlsx&amp;sheet=U0&amp;row=2616&amp;col=7&amp;number=0.00313&amp;sourceID=14","0.00313")</f>
        <v>0.00313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HYPERLINK("http://141.218.60.56/~jnz1568/getInfo.php?workbook=12_04.xlsx&amp;sheet=U0&amp;row=2617&amp;col=6&amp;number=4.3&amp;sourceID=14","4.3")</f>
        <v>4.3</v>
      </c>
      <c r="G2617" s="4" t="str">
        <f>HYPERLINK("http://141.218.60.56/~jnz1568/getInfo.php?workbook=12_04.xlsx&amp;sheet=U0&amp;row=2617&amp;col=7&amp;number=0.00301&amp;sourceID=14","0.00301")</f>
        <v>0.00301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HYPERLINK("http://141.218.60.56/~jnz1568/getInfo.php?workbook=12_04.xlsx&amp;sheet=U0&amp;row=2618&amp;col=6&amp;number=4.4&amp;sourceID=14","4.4")</f>
        <v>4.4</v>
      </c>
      <c r="G2618" s="4" t="str">
        <f>HYPERLINK("http://141.218.60.56/~jnz1568/getInfo.php?workbook=12_04.xlsx&amp;sheet=U0&amp;row=2618&amp;col=7&amp;number=0.00286&amp;sourceID=14","0.00286")</f>
        <v>0.00286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HYPERLINK("http://141.218.60.56/~jnz1568/getInfo.php?workbook=12_04.xlsx&amp;sheet=U0&amp;row=2619&amp;col=6&amp;number=4.5&amp;sourceID=14","4.5")</f>
        <v>4.5</v>
      </c>
      <c r="G2619" s="4" t="str">
        <f>HYPERLINK("http://141.218.60.56/~jnz1568/getInfo.php?workbook=12_04.xlsx&amp;sheet=U0&amp;row=2619&amp;col=7&amp;number=0.00269&amp;sourceID=14","0.00269")</f>
        <v>0.00269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HYPERLINK("http://141.218.60.56/~jnz1568/getInfo.php?workbook=12_04.xlsx&amp;sheet=U0&amp;row=2620&amp;col=6&amp;number=4.6&amp;sourceID=14","4.6")</f>
        <v>4.6</v>
      </c>
      <c r="G2620" s="4" t="str">
        <f>HYPERLINK("http://141.218.60.56/~jnz1568/getInfo.php?workbook=12_04.xlsx&amp;sheet=U0&amp;row=2620&amp;col=7&amp;number=0.00248&amp;sourceID=14","0.00248")</f>
        <v>0.00248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HYPERLINK("http://141.218.60.56/~jnz1568/getInfo.php?workbook=12_04.xlsx&amp;sheet=U0&amp;row=2621&amp;col=6&amp;number=4.7&amp;sourceID=14","4.7")</f>
        <v>4.7</v>
      </c>
      <c r="G2621" s="4" t="str">
        <f>HYPERLINK("http://141.218.60.56/~jnz1568/getInfo.php?workbook=12_04.xlsx&amp;sheet=U0&amp;row=2621&amp;col=7&amp;number=0.00224&amp;sourceID=14","0.00224")</f>
        <v>0.00224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HYPERLINK("http://141.218.60.56/~jnz1568/getInfo.php?workbook=12_04.xlsx&amp;sheet=U0&amp;row=2622&amp;col=6&amp;number=4.8&amp;sourceID=14","4.8")</f>
        <v>4.8</v>
      </c>
      <c r="G2622" s="4" t="str">
        <f>HYPERLINK("http://141.218.60.56/~jnz1568/getInfo.php?workbook=12_04.xlsx&amp;sheet=U0&amp;row=2622&amp;col=7&amp;number=0.00198&amp;sourceID=14","0.00198")</f>
        <v>0.00198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HYPERLINK("http://141.218.60.56/~jnz1568/getInfo.php?workbook=12_04.xlsx&amp;sheet=U0&amp;row=2623&amp;col=6&amp;number=4.9&amp;sourceID=14","4.9")</f>
        <v>4.9</v>
      </c>
      <c r="G2623" s="4" t="str">
        <f>HYPERLINK("http://141.218.60.56/~jnz1568/getInfo.php?workbook=12_04.xlsx&amp;sheet=U0&amp;row=2623&amp;col=7&amp;number=0.00171&amp;sourceID=14","0.00171")</f>
        <v>0.00171</v>
      </c>
    </row>
    <row r="2624" spans="1:7">
      <c r="A2624" s="3">
        <v>12</v>
      </c>
      <c r="B2624" s="3">
        <v>4</v>
      </c>
      <c r="C2624" s="3">
        <v>2</v>
      </c>
      <c r="D2624" s="3">
        <v>37</v>
      </c>
      <c r="E2624" s="3">
        <v>1</v>
      </c>
      <c r="F2624" s="4" t="str">
        <f>HYPERLINK("http://141.218.60.56/~jnz1568/getInfo.php?workbook=12_04.xlsx&amp;sheet=U0&amp;row=2624&amp;col=6&amp;number=3&amp;sourceID=14","3")</f>
        <v>3</v>
      </c>
      <c r="G2624" s="4" t="str">
        <f>HYPERLINK("http://141.218.60.56/~jnz1568/getInfo.php?workbook=12_04.xlsx&amp;sheet=U0&amp;row=2624&amp;col=7&amp;number=0.00421&amp;sourceID=14","0.00421")</f>
        <v>0.00421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HYPERLINK("http://141.218.60.56/~jnz1568/getInfo.php?workbook=12_04.xlsx&amp;sheet=U0&amp;row=2625&amp;col=6&amp;number=3.1&amp;sourceID=14","3.1")</f>
        <v>3.1</v>
      </c>
      <c r="G2625" s="4" t="str">
        <f>HYPERLINK("http://141.218.60.56/~jnz1568/getInfo.php?workbook=12_04.xlsx&amp;sheet=U0&amp;row=2625&amp;col=7&amp;number=0.00421&amp;sourceID=14","0.00421")</f>
        <v>0.00421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HYPERLINK("http://141.218.60.56/~jnz1568/getInfo.php?workbook=12_04.xlsx&amp;sheet=U0&amp;row=2626&amp;col=6&amp;number=3.2&amp;sourceID=14","3.2")</f>
        <v>3.2</v>
      </c>
      <c r="G2626" s="4" t="str">
        <f>HYPERLINK("http://141.218.60.56/~jnz1568/getInfo.php?workbook=12_04.xlsx&amp;sheet=U0&amp;row=2626&amp;col=7&amp;number=0.0042&amp;sourceID=14","0.0042")</f>
        <v>0.0042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HYPERLINK("http://141.218.60.56/~jnz1568/getInfo.php?workbook=12_04.xlsx&amp;sheet=U0&amp;row=2627&amp;col=6&amp;number=3.3&amp;sourceID=14","3.3")</f>
        <v>3.3</v>
      </c>
      <c r="G2627" s="4" t="str">
        <f>HYPERLINK("http://141.218.60.56/~jnz1568/getInfo.php?workbook=12_04.xlsx&amp;sheet=U0&amp;row=2627&amp;col=7&amp;number=0.0042&amp;sourceID=14","0.0042")</f>
        <v>0.0042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HYPERLINK("http://141.218.60.56/~jnz1568/getInfo.php?workbook=12_04.xlsx&amp;sheet=U0&amp;row=2628&amp;col=6&amp;number=3.4&amp;sourceID=14","3.4")</f>
        <v>3.4</v>
      </c>
      <c r="G2628" s="4" t="str">
        <f>HYPERLINK("http://141.218.60.56/~jnz1568/getInfo.php?workbook=12_04.xlsx&amp;sheet=U0&amp;row=2628&amp;col=7&amp;number=0.00419&amp;sourceID=14","0.00419")</f>
        <v>0.00419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HYPERLINK("http://141.218.60.56/~jnz1568/getInfo.php?workbook=12_04.xlsx&amp;sheet=U0&amp;row=2629&amp;col=6&amp;number=3.5&amp;sourceID=14","3.5")</f>
        <v>3.5</v>
      </c>
      <c r="G2629" s="4" t="str">
        <f>HYPERLINK("http://141.218.60.56/~jnz1568/getInfo.php?workbook=12_04.xlsx&amp;sheet=U0&amp;row=2629&amp;col=7&amp;number=0.00418&amp;sourceID=14","0.00418")</f>
        <v>0.00418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HYPERLINK("http://141.218.60.56/~jnz1568/getInfo.php?workbook=12_04.xlsx&amp;sheet=U0&amp;row=2630&amp;col=6&amp;number=3.6&amp;sourceID=14","3.6")</f>
        <v>3.6</v>
      </c>
      <c r="G2630" s="4" t="str">
        <f>HYPERLINK("http://141.218.60.56/~jnz1568/getInfo.php?workbook=12_04.xlsx&amp;sheet=U0&amp;row=2630&amp;col=7&amp;number=0.00418&amp;sourceID=14","0.00418")</f>
        <v>0.00418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HYPERLINK("http://141.218.60.56/~jnz1568/getInfo.php?workbook=12_04.xlsx&amp;sheet=U0&amp;row=2631&amp;col=6&amp;number=3.7&amp;sourceID=14","3.7")</f>
        <v>3.7</v>
      </c>
      <c r="G2631" s="4" t="str">
        <f>HYPERLINK("http://141.218.60.56/~jnz1568/getInfo.php?workbook=12_04.xlsx&amp;sheet=U0&amp;row=2631&amp;col=7&amp;number=0.00416&amp;sourceID=14","0.00416")</f>
        <v>0.00416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HYPERLINK("http://141.218.60.56/~jnz1568/getInfo.php?workbook=12_04.xlsx&amp;sheet=U0&amp;row=2632&amp;col=6&amp;number=3.8&amp;sourceID=14","3.8")</f>
        <v>3.8</v>
      </c>
      <c r="G2632" s="4" t="str">
        <f>HYPERLINK("http://141.218.60.56/~jnz1568/getInfo.php?workbook=12_04.xlsx&amp;sheet=U0&amp;row=2632&amp;col=7&amp;number=0.00415&amp;sourceID=14","0.00415")</f>
        <v>0.00415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HYPERLINK("http://141.218.60.56/~jnz1568/getInfo.php?workbook=12_04.xlsx&amp;sheet=U0&amp;row=2633&amp;col=6&amp;number=3.9&amp;sourceID=14","3.9")</f>
        <v>3.9</v>
      </c>
      <c r="G2633" s="4" t="str">
        <f>HYPERLINK("http://141.218.60.56/~jnz1568/getInfo.php?workbook=12_04.xlsx&amp;sheet=U0&amp;row=2633&amp;col=7&amp;number=0.00413&amp;sourceID=14","0.00413")</f>
        <v>0.00413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HYPERLINK("http://141.218.60.56/~jnz1568/getInfo.php?workbook=12_04.xlsx&amp;sheet=U0&amp;row=2634&amp;col=6&amp;number=4&amp;sourceID=14","4")</f>
        <v>4</v>
      </c>
      <c r="G2634" s="4" t="str">
        <f>HYPERLINK("http://141.218.60.56/~jnz1568/getInfo.php?workbook=12_04.xlsx&amp;sheet=U0&amp;row=2634&amp;col=7&amp;number=0.00411&amp;sourceID=14","0.00411")</f>
        <v>0.00411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HYPERLINK("http://141.218.60.56/~jnz1568/getInfo.php?workbook=12_04.xlsx&amp;sheet=U0&amp;row=2635&amp;col=6&amp;number=4.1&amp;sourceID=14","4.1")</f>
        <v>4.1</v>
      </c>
      <c r="G2635" s="4" t="str">
        <f>HYPERLINK("http://141.218.60.56/~jnz1568/getInfo.php?workbook=12_04.xlsx&amp;sheet=U0&amp;row=2635&amp;col=7&amp;number=0.00408&amp;sourceID=14","0.00408")</f>
        <v>0.00408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HYPERLINK("http://141.218.60.56/~jnz1568/getInfo.php?workbook=12_04.xlsx&amp;sheet=U0&amp;row=2636&amp;col=6&amp;number=4.2&amp;sourceID=14","4.2")</f>
        <v>4.2</v>
      </c>
      <c r="G2636" s="4" t="str">
        <f>HYPERLINK("http://141.218.60.56/~jnz1568/getInfo.php?workbook=12_04.xlsx&amp;sheet=U0&amp;row=2636&amp;col=7&amp;number=0.00405&amp;sourceID=14","0.00405")</f>
        <v>0.00405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HYPERLINK("http://141.218.60.56/~jnz1568/getInfo.php?workbook=12_04.xlsx&amp;sheet=U0&amp;row=2637&amp;col=6&amp;number=4.3&amp;sourceID=14","4.3")</f>
        <v>4.3</v>
      </c>
      <c r="G2637" s="4" t="str">
        <f>HYPERLINK("http://141.218.60.56/~jnz1568/getInfo.php?workbook=12_04.xlsx&amp;sheet=U0&amp;row=2637&amp;col=7&amp;number=0.004&amp;sourceID=14","0.004")</f>
        <v>0.004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HYPERLINK("http://141.218.60.56/~jnz1568/getInfo.php?workbook=12_04.xlsx&amp;sheet=U0&amp;row=2638&amp;col=6&amp;number=4.4&amp;sourceID=14","4.4")</f>
        <v>4.4</v>
      </c>
      <c r="G2638" s="4" t="str">
        <f>HYPERLINK("http://141.218.60.56/~jnz1568/getInfo.php?workbook=12_04.xlsx&amp;sheet=U0&amp;row=2638&amp;col=7&amp;number=0.00395&amp;sourceID=14","0.00395")</f>
        <v>0.00395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HYPERLINK("http://141.218.60.56/~jnz1568/getInfo.php?workbook=12_04.xlsx&amp;sheet=U0&amp;row=2639&amp;col=6&amp;number=4.5&amp;sourceID=14","4.5")</f>
        <v>4.5</v>
      </c>
      <c r="G2639" s="4" t="str">
        <f>HYPERLINK("http://141.218.60.56/~jnz1568/getInfo.php?workbook=12_04.xlsx&amp;sheet=U0&amp;row=2639&amp;col=7&amp;number=0.00388&amp;sourceID=14","0.00388")</f>
        <v>0.00388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HYPERLINK("http://141.218.60.56/~jnz1568/getInfo.php?workbook=12_04.xlsx&amp;sheet=U0&amp;row=2640&amp;col=6&amp;number=4.6&amp;sourceID=14","4.6")</f>
        <v>4.6</v>
      </c>
      <c r="G2640" s="4" t="str">
        <f>HYPERLINK("http://141.218.60.56/~jnz1568/getInfo.php?workbook=12_04.xlsx&amp;sheet=U0&amp;row=2640&amp;col=7&amp;number=0.00379&amp;sourceID=14","0.00379")</f>
        <v>0.00379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HYPERLINK("http://141.218.60.56/~jnz1568/getInfo.php?workbook=12_04.xlsx&amp;sheet=U0&amp;row=2641&amp;col=6&amp;number=4.7&amp;sourceID=14","4.7")</f>
        <v>4.7</v>
      </c>
      <c r="G2641" s="4" t="str">
        <f>HYPERLINK("http://141.218.60.56/~jnz1568/getInfo.php?workbook=12_04.xlsx&amp;sheet=U0&amp;row=2641&amp;col=7&amp;number=0.00369&amp;sourceID=14","0.00369")</f>
        <v>0.00369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HYPERLINK("http://141.218.60.56/~jnz1568/getInfo.php?workbook=12_04.xlsx&amp;sheet=U0&amp;row=2642&amp;col=6&amp;number=4.8&amp;sourceID=14","4.8")</f>
        <v>4.8</v>
      </c>
      <c r="G2642" s="4" t="str">
        <f>HYPERLINK("http://141.218.60.56/~jnz1568/getInfo.php?workbook=12_04.xlsx&amp;sheet=U0&amp;row=2642&amp;col=7&amp;number=0.00357&amp;sourceID=14","0.00357")</f>
        <v>0.00357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HYPERLINK("http://141.218.60.56/~jnz1568/getInfo.php?workbook=12_04.xlsx&amp;sheet=U0&amp;row=2643&amp;col=6&amp;number=4.9&amp;sourceID=14","4.9")</f>
        <v>4.9</v>
      </c>
      <c r="G2643" s="4" t="str">
        <f>HYPERLINK("http://141.218.60.56/~jnz1568/getInfo.php?workbook=12_04.xlsx&amp;sheet=U0&amp;row=2643&amp;col=7&amp;number=0.00342&amp;sourceID=14","0.00342")</f>
        <v>0.00342</v>
      </c>
    </row>
    <row r="2644" spans="1:7">
      <c r="A2644" s="3">
        <v>12</v>
      </c>
      <c r="B2644" s="3">
        <v>4</v>
      </c>
      <c r="C2644" s="3">
        <v>2</v>
      </c>
      <c r="D2644" s="3">
        <v>38</v>
      </c>
      <c r="E2644" s="3">
        <v>1</v>
      </c>
      <c r="F2644" s="4" t="str">
        <f>HYPERLINK("http://141.218.60.56/~jnz1568/getInfo.php?workbook=12_04.xlsx&amp;sheet=U0&amp;row=2644&amp;col=6&amp;number=3&amp;sourceID=14","3")</f>
        <v>3</v>
      </c>
      <c r="G2644" s="4" t="str">
        <f>HYPERLINK("http://141.218.60.56/~jnz1568/getInfo.php?workbook=12_04.xlsx&amp;sheet=U0&amp;row=2644&amp;col=7&amp;number=0.00371&amp;sourceID=14","0.00371")</f>
        <v>0.00371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HYPERLINK("http://141.218.60.56/~jnz1568/getInfo.php?workbook=12_04.xlsx&amp;sheet=U0&amp;row=2645&amp;col=6&amp;number=3.1&amp;sourceID=14","3.1")</f>
        <v>3.1</v>
      </c>
      <c r="G2645" s="4" t="str">
        <f>HYPERLINK("http://141.218.60.56/~jnz1568/getInfo.php?workbook=12_04.xlsx&amp;sheet=U0&amp;row=2645&amp;col=7&amp;number=0.00371&amp;sourceID=14","0.00371")</f>
        <v>0.00371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HYPERLINK("http://141.218.60.56/~jnz1568/getInfo.php?workbook=12_04.xlsx&amp;sheet=U0&amp;row=2646&amp;col=6&amp;number=3.2&amp;sourceID=14","3.2")</f>
        <v>3.2</v>
      </c>
      <c r="G2646" s="4" t="str">
        <f>HYPERLINK("http://141.218.60.56/~jnz1568/getInfo.php?workbook=12_04.xlsx&amp;sheet=U0&amp;row=2646&amp;col=7&amp;number=0.00371&amp;sourceID=14","0.00371")</f>
        <v>0.00371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HYPERLINK("http://141.218.60.56/~jnz1568/getInfo.php?workbook=12_04.xlsx&amp;sheet=U0&amp;row=2647&amp;col=6&amp;number=3.3&amp;sourceID=14","3.3")</f>
        <v>3.3</v>
      </c>
      <c r="G2647" s="4" t="str">
        <f>HYPERLINK("http://141.218.60.56/~jnz1568/getInfo.php?workbook=12_04.xlsx&amp;sheet=U0&amp;row=2647&amp;col=7&amp;number=0.0037&amp;sourceID=14","0.0037")</f>
        <v>0.0037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HYPERLINK("http://141.218.60.56/~jnz1568/getInfo.php?workbook=12_04.xlsx&amp;sheet=U0&amp;row=2648&amp;col=6&amp;number=3.4&amp;sourceID=14","3.4")</f>
        <v>3.4</v>
      </c>
      <c r="G2648" s="4" t="str">
        <f>HYPERLINK("http://141.218.60.56/~jnz1568/getInfo.php?workbook=12_04.xlsx&amp;sheet=U0&amp;row=2648&amp;col=7&amp;number=0.0037&amp;sourceID=14","0.0037")</f>
        <v>0.0037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HYPERLINK("http://141.218.60.56/~jnz1568/getInfo.php?workbook=12_04.xlsx&amp;sheet=U0&amp;row=2649&amp;col=6&amp;number=3.5&amp;sourceID=14","3.5")</f>
        <v>3.5</v>
      </c>
      <c r="G2649" s="4" t="str">
        <f>HYPERLINK("http://141.218.60.56/~jnz1568/getInfo.php?workbook=12_04.xlsx&amp;sheet=U0&amp;row=2649&amp;col=7&amp;number=0.0037&amp;sourceID=14","0.0037")</f>
        <v>0.0037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HYPERLINK("http://141.218.60.56/~jnz1568/getInfo.php?workbook=12_04.xlsx&amp;sheet=U0&amp;row=2650&amp;col=6&amp;number=3.6&amp;sourceID=14","3.6")</f>
        <v>3.6</v>
      </c>
      <c r="G2650" s="4" t="str">
        <f>HYPERLINK("http://141.218.60.56/~jnz1568/getInfo.php?workbook=12_04.xlsx&amp;sheet=U0&amp;row=2650&amp;col=7&amp;number=0.0037&amp;sourceID=14","0.0037")</f>
        <v>0.0037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HYPERLINK("http://141.218.60.56/~jnz1568/getInfo.php?workbook=12_04.xlsx&amp;sheet=U0&amp;row=2651&amp;col=6&amp;number=3.7&amp;sourceID=14","3.7")</f>
        <v>3.7</v>
      </c>
      <c r="G2651" s="4" t="str">
        <f>HYPERLINK("http://141.218.60.56/~jnz1568/getInfo.php?workbook=12_04.xlsx&amp;sheet=U0&amp;row=2651&amp;col=7&amp;number=0.00369&amp;sourceID=14","0.00369")</f>
        <v>0.00369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HYPERLINK("http://141.218.60.56/~jnz1568/getInfo.php?workbook=12_04.xlsx&amp;sheet=U0&amp;row=2652&amp;col=6&amp;number=3.8&amp;sourceID=14","3.8")</f>
        <v>3.8</v>
      </c>
      <c r="G2652" s="4" t="str">
        <f>HYPERLINK("http://141.218.60.56/~jnz1568/getInfo.php?workbook=12_04.xlsx&amp;sheet=U0&amp;row=2652&amp;col=7&amp;number=0.00369&amp;sourceID=14","0.00369")</f>
        <v>0.00369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HYPERLINK("http://141.218.60.56/~jnz1568/getInfo.php?workbook=12_04.xlsx&amp;sheet=U0&amp;row=2653&amp;col=6&amp;number=3.9&amp;sourceID=14","3.9")</f>
        <v>3.9</v>
      </c>
      <c r="G2653" s="4" t="str">
        <f>HYPERLINK("http://141.218.60.56/~jnz1568/getInfo.php?workbook=12_04.xlsx&amp;sheet=U0&amp;row=2653&amp;col=7&amp;number=0.00368&amp;sourceID=14","0.00368")</f>
        <v>0.00368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HYPERLINK("http://141.218.60.56/~jnz1568/getInfo.php?workbook=12_04.xlsx&amp;sheet=U0&amp;row=2654&amp;col=6&amp;number=4&amp;sourceID=14","4")</f>
        <v>4</v>
      </c>
      <c r="G2654" s="4" t="str">
        <f>HYPERLINK("http://141.218.60.56/~jnz1568/getInfo.php?workbook=12_04.xlsx&amp;sheet=U0&amp;row=2654&amp;col=7&amp;number=0.00368&amp;sourceID=14","0.00368")</f>
        <v>0.00368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HYPERLINK("http://141.218.60.56/~jnz1568/getInfo.php?workbook=12_04.xlsx&amp;sheet=U0&amp;row=2655&amp;col=6&amp;number=4.1&amp;sourceID=14","4.1")</f>
        <v>4.1</v>
      </c>
      <c r="G2655" s="4" t="str">
        <f>HYPERLINK("http://141.218.60.56/~jnz1568/getInfo.php?workbook=12_04.xlsx&amp;sheet=U0&amp;row=2655&amp;col=7&amp;number=0.00367&amp;sourceID=14","0.00367")</f>
        <v>0.00367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HYPERLINK("http://141.218.60.56/~jnz1568/getInfo.php?workbook=12_04.xlsx&amp;sheet=U0&amp;row=2656&amp;col=6&amp;number=4.2&amp;sourceID=14","4.2")</f>
        <v>4.2</v>
      </c>
      <c r="G2656" s="4" t="str">
        <f>HYPERLINK("http://141.218.60.56/~jnz1568/getInfo.php?workbook=12_04.xlsx&amp;sheet=U0&amp;row=2656&amp;col=7&amp;number=0.00366&amp;sourceID=14","0.00366")</f>
        <v>0.00366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HYPERLINK("http://141.218.60.56/~jnz1568/getInfo.php?workbook=12_04.xlsx&amp;sheet=U0&amp;row=2657&amp;col=6&amp;number=4.3&amp;sourceID=14","4.3")</f>
        <v>4.3</v>
      </c>
      <c r="G2657" s="4" t="str">
        <f>HYPERLINK("http://141.218.60.56/~jnz1568/getInfo.php?workbook=12_04.xlsx&amp;sheet=U0&amp;row=2657&amp;col=7&amp;number=0.00364&amp;sourceID=14","0.00364")</f>
        <v>0.00364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HYPERLINK("http://141.218.60.56/~jnz1568/getInfo.php?workbook=12_04.xlsx&amp;sheet=U0&amp;row=2658&amp;col=6&amp;number=4.4&amp;sourceID=14","4.4")</f>
        <v>4.4</v>
      </c>
      <c r="G2658" s="4" t="str">
        <f>HYPERLINK("http://141.218.60.56/~jnz1568/getInfo.php?workbook=12_04.xlsx&amp;sheet=U0&amp;row=2658&amp;col=7&amp;number=0.00362&amp;sourceID=14","0.00362")</f>
        <v>0.00362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HYPERLINK("http://141.218.60.56/~jnz1568/getInfo.php?workbook=12_04.xlsx&amp;sheet=U0&amp;row=2659&amp;col=6&amp;number=4.5&amp;sourceID=14","4.5")</f>
        <v>4.5</v>
      </c>
      <c r="G2659" s="4" t="str">
        <f>HYPERLINK("http://141.218.60.56/~jnz1568/getInfo.php?workbook=12_04.xlsx&amp;sheet=U0&amp;row=2659&amp;col=7&amp;number=0.0036&amp;sourceID=14","0.0036")</f>
        <v>0.0036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HYPERLINK("http://141.218.60.56/~jnz1568/getInfo.php?workbook=12_04.xlsx&amp;sheet=U0&amp;row=2660&amp;col=6&amp;number=4.6&amp;sourceID=14","4.6")</f>
        <v>4.6</v>
      </c>
      <c r="G2660" s="4" t="str">
        <f>HYPERLINK("http://141.218.60.56/~jnz1568/getInfo.php?workbook=12_04.xlsx&amp;sheet=U0&amp;row=2660&amp;col=7&amp;number=0.00357&amp;sourceID=14","0.00357")</f>
        <v>0.00357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HYPERLINK("http://141.218.60.56/~jnz1568/getInfo.php?workbook=12_04.xlsx&amp;sheet=U0&amp;row=2661&amp;col=6&amp;number=4.7&amp;sourceID=14","4.7")</f>
        <v>4.7</v>
      </c>
      <c r="G2661" s="4" t="str">
        <f>HYPERLINK("http://141.218.60.56/~jnz1568/getInfo.php?workbook=12_04.xlsx&amp;sheet=U0&amp;row=2661&amp;col=7&amp;number=0.00354&amp;sourceID=14","0.00354")</f>
        <v>0.00354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HYPERLINK("http://141.218.60.56/~jnz1568/getInfo.php?workbook=12_04.xlsx&amp;sheet=U0&amp;row=2662&amp;col=6&amp;number=4.8&amp;sourceID=14","4.8")</f>
        <v>4.8</v>
      </c>
      <c r="G2662" s="4" t="str">
        <f>HYPERLINK("http://141.218.60.56/~jnz1568/getInfo.php?workbook=12_04.xlsx&amp;sheet=U0&amp;row=2662&amp;col=7&amp;number=0.0035&amp;sourceID=14","0.0035")</f>
        <v>0.0035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HYPERLINK("http://141.218.60.56/~jnz1568/getInfo.php?workbook=12_04.xlsx&amp;sheet=U0&amp;row=2663&amp;col=6&amp;number=4.9&amp;sourceID=14","4.9")</f>
        <v>4.9</v>
      </c>
      <c r="G2663" s="4" t="str">
        <f>HYPERLINK("http://141.218.60.56/~jnz1568/getInfo.php?workbook=12_04.xlsx&amp;sheet=U0&amp;row=2663&amp;col=7&amp;number=0.00345&amp;sourceID=14","0.00345")</f>
        <v>0.00345</v>
      </c>
    </row>
    <row r="2664" spans="1:7">
      <c r="A2664" s="3">
        <v>12</v>
      </c>
      <c r="B2664" s="3">
        <v>4</v>
      </c>
      <c r="C2664" s="3">
        <v>2</v>
      </c>
      <c r="D2664" s="3">
        <v>39</v>
      </c>
      <c r="E2664" s="3">
        <v>1</v>
      </c>
      <c r="F2664" s="4" t="str">
        <f>HYPERLINK("http://141.218.60.56/~jnz1568/getInfo.php?workbook=12_04.xlsx&amp;sheet=U0&amp;row=2664&amp;col=6&amp;number=3&amp;sourceID=14","3")</f>
        <v>3</v>
      </c>
      <c r="G2664" s="4" t="str">
        <f>HYPERLINK("http://141.218.60.56/~jnz1568/getInfo.php?workbook=12_04.xlsx&amp;sheet=U0&amp;row=2664&amp;col=7&amp;number=0.0153&amp;sourceID=14","0.0153")</f>
        <v>0.0153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HYPERLINK("http://141.218.60.56/~jnz1568/getInfo.php?workbook=12_04.xlsx&amp;sheet=U0&amp;row=2665&amp;col=6&amp;number=3.1&amp;sourceID=14","3.1")</f>
        <v>3.1</v>
      </c>
      <c r="G2665" s="4" t="str">
        <f>HYPERLINK("http://141.218.60.56/~jnz1568/getInfo.php?workbook=12_04.xlsx&amp;sheet=U0&amp;row=2665&amp;col=7&amp;number=0.0153&amp;sourceID=14","0.0153")</f>
        <v>0.0153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HYPERLINK("http://141.218.60.56/~jnz1568/getInfo.php?workbook=12_04.xlsx&amp;sheet=U0&amp;row=2666&amp;col=6&amp;number=3.2&amp;sourceID=14","3.2")</f>
        <v>3.2</v>
      </c>
      <c r="G2666" s="4" t="str">
        <f>HYPERLINK("http://141.218.60.56/~jnz1568/getInfo.php?workbook=12_04.xlsx&amp;sheet=U0&amp;row=2666&amp;col=7&amp;number=0.0153&amp;sourceID=14","0.0153")</f>
        <v>0.0153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HYPERLINK("http://141.218.60.56/~jnz1568/getInfo.php?workbook=12_04.xlsx&amp;sheet=U0&amp;row=2667&amp;col=6&amp;number=3.3&amp;sourceID=14","3.3")</f>
        <v>3.3</v>
      </c>
      <c r="G2667" s="4" t="str">
        <f>HYPERLINK("http://141.218.60.56/~jnz1568/getInfo.php?workbook=12_04.xlsx&amp;sheet=U0&amp;row=2667&amp;col=7&amp;number=0.0153&amp;sourceID=14","0.0153")</f>
        <v>0.0153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HYPERLINK("http://141.218.60.56/~jnz1568/getInfo.php?workbook=12_04.xlsx&amp;sheet=U0&amp;row=2668&amp;col=6&amp;number=3.4&amp;sourceID=14","3.4")</f>
        <v>3.4</v>
      </c>
      <c r="G2668" s="4" t="str">
        <f>HYPERLINK("http://141.218.60.56/~jnz1568/getInfo.php?workbook=12_04.xlsx&amp;sheet=U0&amp;row=2668&amp;col=7&amp;number=0.0153&amp;sourceID=14","0.0153")</f>
        <v>0.0153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HYPERLINK("http://141.218.60.56/~jnz1568/getInfo.php?workbook=12_04.xlsx&amp;sheet=U0&amp;row=2669&amp;col=6&amp;number=3.5&amp;sourceID=14","3.5")</f>
        <v>3.5</v>
      </c>
      <c r="G2669" s="4" t="str">
        <f>HYPERLINK("http://141.218.60.56/~jnz1568/getInfo.php?workbook=12_04.xlsx&amp;sheet=U0&amp;row=2669&amp;col=7&amp;number=0.0153&amp;sourceID=14","0.0153")</f>
        <v>0.0153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HYPERLINK("http://141.218.60.56/~jnz1568/getInfo.php?workbook=12_04.xlsx&amp;sheet=U0&amp;row=2670&amp;col=6&amp;number=3.6&amp;sourceID=14","3.6")</f>
        <v>3.6</v>
      </c>
      <c r="G2670" s="4" t="str">
        <f>HYPERLINK("http://141.218.60.56/~jnz1568/getInfo.php?workbook=12_04.xlsx&amp;sheet=U0&amp;row=2670&amp;col=7&amp;number=0.0153&amp;sourceID=14","0.0153")</f>
        <v>0.0153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HYPERLINK("http://141.218.60.56/~jnz1568/getInfo.php?workbook=12_04.xlsx&amp;sheet=U0&amp;row=2671&amp;col=6&amp;number=3.7&amp;sourceID=14","3.7")</f>
        <v>3.7</v>
      </c>
      <c r="G2671" s="4" t="str">
        <f>HYPERLINK("http://141.218.60.56/~jnz1568/getInfo.php?workbook=12_04.xlsx&amp;sheet=U0&amp;row=2671&amp;col=7&amp;number=0.0153&amp;sourceID=14","0.0153")</f>
        <v>0.0153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HYPERLINK("http://141.218.60.56/~jnz1568/getInfo.php?workbook=12_04.xlsx&amp;sheet=U0&amp;row=2672&amp;col=6&amp;number=3.8&amp;sourceID=14","3.8")</f>
        <v>3.8</v>
      </c>
      <c r="G2672" s="4" t="str">
        <f>HYPERLINK("http://141.218.60.56/~jnz1568/getInfo.php?workbook=12_04.xlsx&amp;sheet=U0&amp;row=2672&amp;col=7&amp;number=0.0153&amp;sourceID=14","0.0153")</f>
        <v>0.0153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HYPERLINK("http://141.218.60.56/~jnz1568/getInfo.php?workbook=12_04.xlsx&amp;sheet=U0&amp;row=2673&amp;col=6&amp;number=3.9&amp;sourceID=14","3.9")</f>
        <v>3.9</v>
      </c>
      <c r="G2673" s="4" t="str">
        <f>HYPERLINK("http://141.218.60.56/~jnz1568/getInfo.php?workbook=12_04.xlsx&amp;sheet=U0&amp;row=2673&amp;col=7&amp;number=0.0153&amp;sourceID=14","0.0153")</f>
        <v>0.0153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HYPERLINK("http://141.218.60.56/~jnz1568/getInfo.php?workbook=12_04.xlsx&amp;sheet=U0&amp;row=2674&amp;col=6&amp;number=4&amp;sourceID=14","4")</f>
        <v>4</v>
      </c>
      <c r="G2674" s="4" t="str">
        <f>HYPERLINK("http://141.218.60.56/~jnz1568/getInfo.php?workbook=12_04.xlsx&amp;sheet=U0&amp;row=2674&amp;col=7&amp;number=0.0153&amp;sourceID=14","0.0153")</f>
        <v>0.0153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HYPERLINK("http://141.218.60.56/~jnz1568/getInfo.php?workbook=12_04.xlsx&amp;sheet=U0&amp;row=2675&amp;col=6&amp;number=4.1&amp;sourceID=14","4.1")</f>
        <v>4.1</v>
      </c>
      <c r="G2675" s="4" t="str">
        <f>HYPERLINK("http://141.218.60.56/~jnz1568/getInfo.php?workbook=12_04.xlsx&amp;sheet=U0&amp;row=2675&amp;col=7&amp;number=0.0153&amp;sourceID=14","0.0153")</f>
        <v>0.0153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HYPERLINK("http://141.218.60.56/~jnz1568/getInfo.php?workbook=12_04.xlsx&amp;sheet=U0&amp;row=2676&amp;col=6&amp;number=4.2&amp;sourceID=14","4.2")</f>
        <v>4.2</v>
      </c>
      <c r="G2676" s="4" t="str">
        <f>HYPERLINK("http://141.218.60.56/~jnz1568/getInfo.php?workbook=12_04.xlsx&amp;sheet=U0&amp;row=2676&amp;col=7&amp;number=0.0153&amp;sourceID=14","0.0153")</f>
        <v>0.0153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HYPERLINK("http://141.218.60.56/~jnz1568/getInfo.php?workbook=12_04.xlsx&amp;sheet=U0&amp;row=2677&amp;col=6&amp;number=4.3&amp;sourceID=14","4.3")</f>
        <v>4.3</v>
      </c>
      <c r="G2677" s="4" t="str">
        <f>HYPERLINK("http://141.218.60.56/~jnz1568/getInfo.php?workbook=12_04.xlsx&amp;sheet=U0&amp;row=2677&amp;col=7&amp;number=0.0153&amp;sourceID=14","0.0153")</f>
        <v>0.0153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HYPERLINK("http://141.218.60.56/~jnz1568/getInfo.php?workbook=12_04.xlsx&amp;sheet=U0&amp;row=2678&amp;col=6&amp;number=4.4&amp;sourceID=14","4.4")</f>
        <v>4.4</v>
      </c>
      <c r="G2678" s="4" t="str">
        <f>HYPERLINK("http://141.218.60.56/~jnz1568/getInfo.php?workbook=12_04.xlsx&amp;sheet=U0&amp;row=2678&amp;col=7&amp;number=0.0153&amp;sourceID=14","0.0153")</f>
        <v>0.0153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HYPERLINK("http://141.218.60.56/~jnz1568/getInfo.php?workbook=12_04.xlsx&amp;sheet=U0&amp;row=2679&amp;col=6&amp;number=4.5&amp;sourceID=14","4.5")</f>
        <v>4.5</v>
      </c>
      <c r="G2679" s="4" t="str">
        <f>HYPERLINK("http://141.218.60.56/~jnz1568/getInfo.php?workbook=12_04.xlsx&amp;sheet=U0&amp;row=2679&amp;col=7&amp;number=0.0153&amp;sourceID=14","0.0153")</f>
        <v>0.0153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HYPERLINK("http://141.218.60.56/~jnz1568/getInfo.php?workbook=12_04.xlsx&amp;sheet=U0&amp;row=2680&amp;col=6&amp;number=4.6&amp;sourceID=14","4.6")</f>
        <v>4.6</v>
      </c>
      <c r="G2680" s="4" t="str">
        <f>HYPERLINK("http://141.218.60.56/~jnz1568/getInfo.php?workbook=12_04.xlsx&amp;sheet=U0&amp;row=2680&amp;col=7&amp;number=0.0152&amp;sourceID=14","0.0152")</f>
        <v>0.0152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HYPERLINK("http://141.218.60.56/~jnz1568/getInfo.php?workbook=12_04.xlsx&amp;sheet=U0&amp;row=2681&amp;col=6&amp;number=4.7&amp;sourceID=14","4.7")</f>
        <v>4.7</v>
      </c>
      <c r="G2681" s="4" t="str">
        <f>HYPERLINK("http://141.218.60.56/~jnz1568/getInfo.php?workbook=12_04.xlsx&amp;sheet=U0&amp;row=2681&amp;col=7&amp;number=0.0152&amp;sourceID=14","0.0152")</f>
        <v>0.0152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HYPERLINK("http://141.218.60.56/~jnz1568/getInfo.php?workbook=12_04.xlsx&amp;sheet=U0&amp;row=2682&amp;col=6&amp;number=4.8&amp;sourceID=14","4.8")</f>
        <v>4.8</v>
      </c>
      <c r="G2682" s="4" t="str">
        <f>HYPERLINK("http://141.218.60.56/~jnz1568/getInfo.php?workbook=12_04.xlsx&amp;sheet=U0&amp;row=2682&amp;col=7&amp;number=0.0152&amp;sourceID=14","0.0152")</f>
        <v>0.0152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HYPERLINK("http://141.218.60.56/~jnz1568/getInfo.php?workbook=12_04.xlsx&amp;sheet=U0&amp;row=2683&amp;col=6&amp;number=4.9&amp;sourceID=14","4.9")</f>
        <v>4.9</v>
      </c>
      <c r="G2683" s="4" t="str">
        <f>HYPERLINK("http://141.218.60.56/~jnz1568/getInfo.php?workbook=12_04.xlsx&amp;sheet=U0&amp;row=2683&amp;col=7&amp;number=0.0151&amp;sourceID=14","0.0151")</f>
        <v>0.0151</v>
      </c>
    </row>
    <row r="2684" spans="1:7">
      <c r="A2684" s="3">
        <v>12</v>
      </c>
      <c r="B2684" s="3">
        <v>4</v>
      </c>
      <c r="C2684" s="3">
        <v>2</v>
      </c>
      <c r="D2684" s="3">
        <v>40</v>
      </c>
      <c r="E2684" s="3">
        <v>1</v>
      </c>
      <c r="F2684" s="4" t="str">
        <f>HYPERLINK("http://141.218.60.56/~jnz1568/getInfo.php?workbook=12_04.xlsx&amp;sheet=U0&amp;row=2684&amp;col=6&amp;number=3&amp;sourceID=14","3")</f>
        <v>3</v>
      </c>
      <c r="G2684" s="4" t="str">
        <f>HYPERLINK("http://141.218.60.56/~jnz1568/getInfo.php?workbook=12_04.xlsx&amp;sheet=U0&amp;row=2684&amp;col=7&amp;number=0.00318&amp;sourceID=14","0.00318")</f>
        <v>0.00318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HYPERLINK("http://141.218.60.56/~jnz1568/getInfo.php?workbook=12_04.xlsx&amp;sheet=U0&amp;row=2685&amp;col=6&amp;number=3.1&amp;sourceID=14","3.1")</f>
        <v>3.1</v>
      </c>
      <c r="G2685" s="4" t="str">
        <f>HYPERLINK("http://141.218.60.56/~jnz1568/getInfo.php?workbook=12_04.xlsx&amp;sheet=U0&amp;row=2685&amp;col=7&amp;number=0.00318&amp;sourceID=14","0.00318")</f>
        <v>0.00318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HYPERLINK("http://141.218.60.56/~jnz1568/getInfo.php?workbook=12_04.xlsx&amp;sheet=U0&amp;row=2686&amp;col=6&amp;number=3.2&amp;sourceID=14","3.2")</f>
        <v>3.2</v>
      </c>
      <c r="G2686" s="4" t="str">
        <f>HYPERLINK("http://141.218.60.56/~jnz1568/getInfo.php?workbook=12_04.xlsx&amp;sheet=U0&amp;row=2686&amp;col=7&amp;number=0.00318&amp;sourceID=14","0.00318")</f>
        <v>0.00318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HYPERLINK("http://141.218.60.56/~jnz1568/getInfo.php?workbook=12_04.xlsx&amp;sheet=U0&amp;row=2687&amp;col=6&amp;number=3.3&amp;sourceID=14","3.3")</f>
        <v>3.3</v>
      </c>
      <c r="G2687" s="4" t="str">
        <f>HYPERLINK("http://141.218.60.56/~jnz1568/getInfo.php?workbook=12_04.xlsx&amp;sheet=U0&amp;row=2687&amp;col=7&amp;number=0.00318&amp;sourceID=14","0.00318")</f>
        <v>0.00318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HYPERLINK("http://141.218.60.56/~jnz1568/getInfo.php?workbook=12_04.xlsx&amp;sheet=U0&amp;row=2688&amp;col=6&amp;number=3.4&amp;sourceID=14","3.4")</f>
        <v>3.4</v>
      </c>
      <c r="G2688" s="4" t="str">
        <f>HYPERLINK("http://141.218.60.56/~jnz1568/getInfo.php?workbook=12_04.xlsx&amp;sheet=U0&amp;row=2688&amp;col=7&amp;number=0.00318&amp;sourceID=14","0.00318")</f>
        <v>0.00318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HYPERLINK("http://141.218.60.56/~jnz1568/getInfo.php?workbook=12_04.xlsx&amp;sheet=U0&amp;row=2689&amp;col=6&amp;number=3.5&amp;sourceID=14","3.5")</f>
        <v>3.5</v>
      </c>
      <c r="G2689" s="4" t="str">
        <f>HYPERLINK("http://141.218.60.56/~jnz1568/getInfo.php?workbook=12_04.xlsx&amp;sheet=U0&amp;row=2689&amp;col=7&amp;number=0.00318&amp;sourceID=14","0.00318")</f>
        <v>0.00318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HYPERLINK("http://141.218.60.56/~jnz1568/getInfo.php?workbook=12_04.xlsx&amp;sheet=U0&amp;row=2690&amp;col=6&amp;number=3.6&amp;sourceID=14","3.6")</f>
        <v>3.6</v>
      </c>
      <c r="G2690" s="4" t="str">
        <f>HYPERLINK("http://141.218.60.56/~jnz1568/getInfo.php?workbook=12_04.xlsx&amp;sheet=U0&amp;row=2690&amp;col=7&amp;number=0.00318&amp;sourceID=14","0.00318")</f>
        <v>0.00318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HYPERLINK("http://141.218.60.56/~jnz1568/getInfo.php?workbook=12_04.xlsx&amp;sheet=U0&amp;row=2691&amp;col=6&amp;number=3.7&amp;sourceID=14","3.7")</f>
        <v>3.7</v>
      </c>
      <c r="G2691" s="4" t="str">
        <f>HYPERLINK("http://141.218.60.56/~jnz1568/getInfo.php?workbook=12_04.xlsx&amp;sheet=U0&amp;row=2691&amp;col=7&amp;number=0.00318&amp;sourceID=14","0.00318")</f>
        <v>0.00318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HYPERLINK("http://141.218.60.56/~jnz1568/getInfo.php?workbook=12_04.xlsx&amp;sheet=U0&amp;row=2692&amp;col=6&amp;number=3.8&amp;sourceID=14","3.8")</f>
        <v>3.8</v>
      </c>
      <c r="G2692" s="4" t="str">
        <f>HYPERLINK("http://141.218.60.56/~jnz1568/getInfo.php?workbook=12_04.xlsx&amp;sheet=U0&amp;row=2692&amp;col=7&amp;number=0.00318&amp;sourceID=14","0.00318")</f>
        <v>0.00318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HYPERLINK("http://141.218.60.56/~jnz1568/getInfo.php?workbook=12_04.xlsx&amp;sheet=U0&amp;row=2693&amp;col=6&amp;number=3.9&amp;sourceID=14","3.9")</f>
        <v>3.9</v>
      </c>
      <c r="G2693" s="4" t="str">
        <f>HYPERLINK("http://141.218.60.56/~jnz1568/getInfo.php?workbook=12_04.xlsx&amp;sheet=U0&amp;row=2693&amp;col=7&amp;number=0.00318&amp;sourceID=14","0.00318")</f>
        <v>0.00318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HYPERLINK("http://141.218.60.56/~jnz1568/getInfo.php?workbook=12_04.xlsx&amp;sheet=U0&amp;row=2694&amp;col=6&amp;number=4&amp;sourceID=14","4")</f>
        <v>4</v>
      </c>
      <c r="G2694" s="4" t="str">
        <f>HYPERLINK("http://141.218.60.56/~jnz1568/getInfo.php?workbook=12_04.xlsx&amp;sheet=U0&amp;row=2694&amp;col=7&amp;number=0.00318&amp;sourceID=14","0.00318")</f>
        <v>0.00318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HYPERLINK("http://141.218.60.56/~jnz1568/getInfo.php?workbook=12_04.xlsx&amp;sheet=U0&amp;row=2695&amp;col=6&amp;number=4.1&amp;sourceID=14","4.1")</f>
        <v>4.1</v>
      </c>
      <c r="G2695" s="4" t="str">
        <f>HYPERLINK("http://141.218.60.56/~jnz1568/getInfo.php?workbook=12_04.xlsx&amp;sheet=U0&amp;row=2695&amp;col=7&amp;number=0.00318&amp;sourceID=14","0.00318")</f>
        <v>0.00318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HYPERLINK("http://141.218.60.56/~jnz1568/getInfo.php?workbook=12_04.xlsx&amp;sheet=U0&amp;row=2696&amp;col=6&amp;number=4.2&amp;sourceID=14","4.2")</f>
        <v>4.2</v>
      </c>
      <c r="G2696" s="4" t="str">
        <f>HYPERLINK("http://141.218.60.56/~jnz1568/getInfo.php?workbook=12_04.xlsx&amp;sheet=U0&amp;row=2696&amp;col=7&amp;number=0.00318&amp;sourceID=14","0.00318")</f>
        <v>0.00318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HYPERLINK("http://141.218.60.56/~jnz1568/getInfo.php?workbook=12_04.xlsx&amp;sheet=U0&amp;row=2697&amp;col=6&amp;number=4.3&amp;sourceID=14","4.3")</f>
        <v>4.3</v>
      </c>
      <c r="G2697" s="4" t="str">
        <f>HYPERLINK("http://141.218.60.56/~jnz1568/getInfo.php?workbook=12_04.xlsx&amp;sheet=U0&amp;row=2697&amp;col=7&amp;number=0.00317&amp;sourceID=14","0.00317")</f>
        <v>0.00317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HYPERLINK("http://141.218.60.56/~jnz1568/getInfo.php?workbook=12_04.xlsx&amp;sheet=U0&amp;row=2698&amp;col=6&amp;number=4.4&amp;sourceID=14","4.4")</f>
        <v>4.4</v>
      </c>
      <c r="G2698" s="4" t="str">
        <f>HYPERLINK("http://141.218.60.56/~jnz1568/getInfo.php?workbook=12_04.xlsx&amp;sheet=U0&amp;row=2698&amp;col=7&amp;number=0.00317&amp;sourceID=14","0.00317")</f>
        <v>0.00317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HYPERLINK("http://141.218.60.56/~jnz1568/getInfo.php?workbook=12_04.xlsx&amp;sheet=U0&amp;row=2699&amp;col=6&amp;number=4.5&amp;sourceID=14","4.5")</f>
        <v>4.5</v>
      </c>
      <c r="G2699" s="4" t="str">
        <f>HYPERLINK("http://141.218.60.56/~jnz1568/getInfo.php?workbook=12_04.xlsx&amp;sheet=U0&amp;row=2699&amp;col=7&amp;number=0.00317&amp;sourceID=14","0.00317")</f>
        <v>0.00317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HYPERLINK("http://141.218.60.56/~jnz1568/getInfo.php?workbook=12_04.xlsx&amp;sheet=U0&amp;row=2700&amp;col=6&amp;number=4.6&amp;sourceID=14","4.6")</f>
        <v>4.6</v>
      </c>
      <c r="G2700" s="4" t="str">
        <f>HYPERLINK("http://141.218.60.56/~jnz1568/getInfo.php?workbook=12_04.xlsx&amp;sheet=U0&amp;row=2700&amp;col=7&amp;number=0.00317&amp;sourceID=14","0.00317")</f>
        <v>0.00317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HYPERLINK("http://141.218.60.56/~jnz1568/getInfo.php?workbook=12_04.xlsx&amp;sheet=U0&amp;row=2701&amp;col=6&amp;number=4.7&amp;sourceID=14","4.7")</f>
        <v>4.7</v>
      </c>
      <c r="G2701" s="4" t="str">
        <f>HYPERLINK("http://141.218.60.56/~jnz1568/getInfo.php?workbook=12_04.xlsx&amp;sheet=U0&amp;row=2701&amp;col=7&amp;number=0.00317&amp;sourceID=14","0.00317")</f>
        <v>0.00317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HYPERLINK("http://141.218.60.56/~jnz1568/getInfo.php?workbook=12_04.xlsx&amp;sheet=U0&amp;row=2702&amp;col=6&amp;number=4.8&amp;sourceID=14","4.8")</f>
        <v>4.8</v>
      </c>
      <c r="G2702" s="4" t="str">
        <f>HYPERLINK("http://141.218.60.56/~jnz1568/getInfo.php?workbook=12_04.xlsx&amp;sheet=U0&amp;row=2702&amp;col=7&amp;number=0.00317&amp;sourceID=14","0.00317")</f>
        <v>0.00317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HYPERLINK("http://141.218.60.56/~jnz1568/getInfo.php?workbook=12_04.xlsx&amp;sheet=U0&amp;row=2703&amp;col=6&amp;number=4.9&amp;sourceID=14","4.9")</f>
        <v>4.9</v>
      </c>
      <c r="G2703" s="4" t="str">
        <f>HYPERLINK("http://141.218.60.56/~jnz1568/getInfo.php?workbook=12_04.xlsx&amp;sheet=U0&amp;row=2703&amp;col=7&amp;number=0.00316&amp;sourceID=14","0.00316")</f>
        <v>0.00316</v>
      </c>
    </row>
    <row r="2704" spans="1:7">
      <c r="A2704" s="3">
        <v>12</v>
      </c>
      <c r="B2704" s="3">
        <v>4</v>
      </c>
      <c r="C2704" s="3">
        <v>2</v>
      </c>
      <c r="D2704" s="3">
        <v>41</v>
      </c>
      <c r="E2704" s="3">
        <v>1</v>
      </c>
      <c r="F2704" s="4" t="str">
        <f>HYPERLINK("http://141.218.60.56/~jnz1568/getInfo.php?workbook=12_04.xlsx&amp;sheet=U0&amp;row=2704&amp;col=6&amp;number=3&amp;sourceID=14","3")</f>
        <v>3</v>
      </c>
      <c r="G2704" s="4" t="str">
        <f>HYPERLINK("http://141.218.60.56/~jnz1568/getInfo.php?workbook=12_04.xlsx&amp;sheet=U0&amp;row=2704&amp;col=7&amp;number=0.00535&amp;sourceID=14","0.00535")</f>
        <v>0.00535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HYPERLINK("http://141.218.60.56/~jnz1568/getInfo.php?workbook=12_04.xlsx&amp;sheet=U0&amp;row=2705&amp;col=6&amp;number=3.1&amp;sourceID=14","3.1")</f>
        <v>3.1</v>
      </c>
      <c r="G2705" s="4" t="str">
        <f>HYPERLINK("http://141.218.60.56/~jnz1568/getInfo.php?workbook=12_04.xlsx&amp;sheet=U0&amp;row=2705&amp;col=7&amp;number=0.00535&amp;sourceID=14","0.00535")</f>
        <v>0.00535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HYPERLINK("http://141.218.60.56/~jnz1568/getInfo.php?workbook=12_04.xlsx&amp;sheet=U0&amp;row=2706&amp;col=6&amp;number=3.2&amp;sourceID=14","3.2")</f>
        <v>3.2</v>
      </c>
      <c r="G2706" s="4" t="str">
        <f>HYPERLINK("http://141.218.60.56/~jnz1568/getInfo.php?workbook=12_04.xlsx&amp;sheet=U0&amp;row=2706&amp;col=7&amp;number=0.00535&amp;sourceID=14","0.00535")</f>
        <v>0.00535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HYPERLINK("http://141.218.60.56/~jnz1568/getInfo.php?workbook=12_04.xlsx&amp;sheet=U0&amp;row=2707&amp;col=6&amp;number=3.3&amp;sourceID=14","3.3")</f>
        <v>3.3</v>
      </c>
      <c r="G2707" s="4" t="str">
        <f>HYPERLINK("http://141.218.60.56/~jnz1568/getInfo.php?workbook=12_04.xlsx&amp;sheet=U0&amp;row=2707&amp;col=7&amp;number=0.00535&amp;sourceID=14","0.00535")</f>
        <v>0.00535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HYPERLINK("http://141.218.60.56/~jnz1568/getInfo.php?workbook=12_04.xlsx&amp;sheet=U0&amp;row=2708&amp;col=6&amp;number=3.4&amp;sourceID=14","3.4")</f>
        <v>3.4</v>
      </c>
      <c r="G2708" s="4" t="str">
        <f>HYPERLINK("http://141.218.60.56/~jnz1568/getInfo.php?workbook=12_04.xlsx&amp;sheet=U0&amp;row=2708&amp;col=7&amp;number=0.00535&amp;sourceID=14","0.00535")</f>
        <v>0.00535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HYPERLINK("http://141.218.60.56/~jnz1568/getInfo.php?workbook=12_04.xlsx&amp;sheet=U0&amp;row=2709&amp;col=6&amp;number=3.5&amp;sourceID=14","3.5")</f>
        <v>3.5</v>
      </c>
      <c r="G2709" s="4" t="str">
        <f>HYPERLINK("http://141.218.60.56/~jnz1568/getInfo.php?workbook=12_04.xlsx&amp;sheet=U0&amp;row=2709&amp;col=7&amp;number=0.00536&amp;sourceID=14","0.00536")</f>
        <v>0.00536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HYPERLINK("http://141.218.60.56/~jnz1568/getInfo.php?workbook=12_04.xlsx&amp;sheet=U0&amp;row=2710&amp;col=6&amp;number=3.6&amp;sourceID=14","3.6")</f>
        <v>3.6</v>
      </c>
      <c r="G2710" s="4" t="str">
        <f>HYPERLINK("http://141.218.60.56/~jnz1568/getInfo.php?workbook=12_04.xlsx&amp;sheet=U0&amp;row=2710&amp;col=7&amp;number=0.00536&amp;sourceID=14","0.00536")</f>
        <v>0.00536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HYPERLINK("http://141.218.60.56/~jnz1568/getInfo.php?workbook=12_04.xlsx&amp;sheet=U0&amp;row=2711&amp;col=6&amp;number=3.7&amp;sourceID=14","3.7")</f>
        <v>3.7</v>
      </c>
      <c r="G2711" s="4" t="str">
        <f>HYPERLINK("http://141.218.60.56/~jnz1568/getInfo.php?workbook=12_04.xlsx&amp;sheet=U0&amp;row=2711&amp;col=7&amp;number=0.00536&amp;sourceID=14","0.00536")</f>
        <v>0.00536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HYPERLINK("http://141.218.60.56/~jnz1568/getInfo.php?workbook=12_04.xlsx&amp;sheet=U0&amp;row=2712&amp;col=6&amp;number=3.8&amp;sourceID=14","3.8")</f>
        <v>3.8</v>
      </c>
      <c r="G2712" s="4" t="str">
        <f>HYPERLINK("http://141.218.60.56/~jnz1568/getInfo.php?workbook=12_04.xlsx&amp;sheet=U0&amp;row=2712&amp;col=7&amp;number=0.00537&amp;sourceID=14","0.00537")</f>
        <v>0.00537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HYPERLINK("http://141.218.60.56/~jnz1568/getInfo.php?workbook=12_04.xlsx&amp;sheet=U0&amp;row=2713&amp;col=6&amp;number=3.9&amp;sourceID=14","3.9")</f>
        <v>3.9</v>
      </c>
      <c r="G2713" s="4" t="str">
        <f>HYPERLINK("http://141.218.60.56/~jnz1568/getInfo.php?workbook=12_04.xlsx&amp;sheet=U0&amp;row=2713&amp;col=7&amp;number=0.00538&amp;sourceID=14","0.00538")</f>
        <v>0.00538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HYPERLINK("http://141.218.60.56/~jnz1568/getInfo.php?workbook=12_04.xlsx&amp;sheet=U0&amp;row=2714&amp;col=6&amp;number=4&amp;sourceID=14","4")</f>
        <v>4</v>
      </c>
      <c r="G2714" s="4" t="str">
        <f>HYPERLINK("http://141.218.60.56/~jnz1568/getInfo.php?workbook=12_04.xlsx&amp;sheet=U0&amp;row=2714&amp;col=7&amp;number=0.00538&amp;sourceID=14","0.00538")</f>
        <v>0.00538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HYPERLINK("http://141.218.60.56/~jnz1568/getInfo.php?workbook=12_04.xlsx&amp;sheet=U0&amp;row=2715&amp;col=6&amp;number=4.1&amp;sourceID=14","4.1")</f>
        <v>4.1</v>
      </c>
      <c r="G2715" s="4" t="str">
        <f>HYPERLINK("http://141.218.60.56/~jnz1568/getInfo.php?workbook=12_04.xlsx&amp;sheet=U0&amp;row=2715&amp;col=7&amp;number=0.00539&amp;sourceID=14","0.00539")</f>
        <v>0.00539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HYPERLINK("http://141.218.60.56/~jnz1568/getInfo.php?workbook=12_04.xlsx&amp;sheet=U0&amp;row=2716&amp;col=6&amp;number=4.2&amp;sourceID=14","4.2")</f>
        <v>4.2</v>
      </c>
      <c r="G2716" s="4" t="str">
        <f>HYPERLINK("http://141.218.60.56/~jnz1568/getInfo.php?workbook=12_04.xlsx&amp;sheet=U0&amp;row=2716&amp;col=7&amp;number=0.00541&amp;sourceID=14","0.00541")</f>
        <v>0.00541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HYPERLINK("http://141.218.60.56/~jnz1568/getInfo.php?workbook=12_04.xlsx&amp;sheet=U0&amp;row=2717&amp;col=6&amp;number=4.3&amp;sourceID=14","4.3")</f>
        <v>4.3</v>
      </c>
      <c r="G2717" s="4" t="str">
        <f>HYPERLINK("http://141.218.60.56/~jnz1568/getInfo.php?workbook=12_04.xlsx&amp;sheet=U0&amp;row=2717&amp;col=7&amp;number=0.00542&amp;sourceID=14","0.00542")</f>
        <v>0.00542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HYPERLINK("http://141.218.60.56/~jnz1568/getInfo.php?workbook=12_04.xlsx&amp;sheet=U0&amp;row=2718&amp;col=6&amp;number=4.4&amp;sourceID=14","4.4")</f>
        <v>4.4</v>
      </c>
      <c r="G2718" s="4" t="str">
        <f>HYPERLINK("http://141.218.60.56/~jnz1568/getInfo.php?workbook=12_04.xlsx&amp;sheet=U0&amp;row=2718&amp;col=7&amp;number=0.00545&amp;sourceID=14","0.00545")</f>
        <v>0.00545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HYPERLINK("http://141.218.60.56/~jnz1568/getInfo.php?workbook=12_04.xlsx&amp;sheet=U0&amp;row=2719&amp;col=6&amp;number=4.5&amp;sourceID=14","4.5")</f>
        <v>4.5</v>
      </c>
      <c r="G2719" s="4" t="str">
        <f>HYPERLINK("http://141.218.60.56/~jnz1568/getInfo.php?workbook=12_04.xlsx&amp;sheet=U0&amp;row=2719&amp;col=7&amp;number=0.00547&amp;sourceID=14","0.00547")</f>
        <v>0.00547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HYPERLINK("http://141.218.60.56/~jnz1568/getInfo.php?workbook=12_04.xlsx&amp;sheet=U0&amp;row=2720&amp;col=6&amp;number=4.6&amp;sourceID=14","4.6")</f>
        <v>4.6</v>
      </c>
      <c r="G2720" s="4" t="str">
        <f>HYPERLINK("http://141.218.60.56/~jnz1568/getInfo.php?workbook=12_04.xlsx&amp;sheet=U0&amp;row=2720&amp;col=7&amp;number=0.0055&amp;sourceID=14","0.0055")</f>
        <v>0.0055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HYPERLINK("http://141.218.60.56/~jnz1568/getInfo.php?workbook=12_04.xlsx&amp;sheet=U0&amp;row=2721&amp;col=6&amp;number=4.7&amp;sourceID=14","4.7")</f>
        <v>4.7</v>
      </c>
      <c r="G2721" s="4" t="str">
        <f>HYPERLINK("http://141.218.60.56/~jnz1568/getInfo.php?workbook=12_04.xlsx&amp;sheet=U0&amp;row=2721&amp;col=7&amp;number=0.00554&amp;sourceID=14","0.00554")</f>
        <v>0.00554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HYPERLINK("http://141.218.60.56/~jnz1568/getInfo.php?workbook=12_04.xlsx&amp;sheet=U0&amp;row=2722&amp;col=6&amp;number=4.8&amp;sourceID=14","4.8")</f>
        <v>4.8</v>
      </c>
      <c r="G2722" s="4" t="str">
        <f>HYPERLINK("http://141.218.60.56/~jnz1568/getInfo.php?workbook=12_04.xlsx&amp;sheet=U0&amp;row=2722&amp;col=7&amp;number=0.00559&amp;sourceID=14","0.00559")</f>
        <v>0.00559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HYPERLINK("http://141.218.60.56/~jnz1568/getInfo.php?workbook=12_04.xlsx&amp;sheet=U0&amp;row=2723&amp;col=6&amp;number=4.9&amp;sourceID=14","4.9")</f>
        <v>4.9</v>
      </c>
      <c r="G2723" s="4" t="str">
        <f>HYPERLINK("http://141.218.60.56/~jnz1568/getInfo.php?workbook=12_04.xlsx&amp;sheet=U0&amp;row=2723&amp;col=7&amp;number=0.00564&amp;sourceID=14","0.00564")</f>
        <v>0.00564</v>
      </c>
    </row>
    <row r="2724" spans="1:7">
      <c r="A2724" s="3">
        <v>12</v>
      </c>
      <c r="B2724" s="3">
        <v>4</v>
      </c>
      <c r="C2724" s="3">
        <v>2</v>
      </c>
      <c r="D2724" s="3">
        <v>42</v>
      </c>
      <c r="E2724" s="3">
        <v>1</v>
      </c>
      <c r="F2724" s="4" t="str">
        <f>HYPERLINK("http://141.218.60.56/~jnz1568/getInfo.php?workbook=12_04.xlsx&amp;sheet=U0&amp;row=2724&amp;col=6&amp;number=3&amp;sourceID=14","3")</f>
        <v>3</v>
      </c>
      <c r="G2724" s="4" t="str">
        <f>HYPERLINK("http://141.218.60.56/~jnz1568/getInfo.php?workbook=12_04.xlsx&amp;sheet=U0&amp;row=2724&amp;col=7&amp;number=0.000609&amp;sourceID=14","0.000609")</f>
        <v>0.000609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HYPERLINK("http://141.218.60.56/~jnz1568/getInfo.php?workbook=12_04.xlsx&amp;sheet=U0&amp;row=2725&amp;col=6&amp;number=3.1&amp;sourceID=14","3.1")</f>
        <v>3.1</v>
      </c>
      <c r="G2725" s="4" t="str">
        <f>HYPERLINK("http://141.218.60.56/~jnz1568/getInfo.php?workbook=12_04.xlsx&amp;sheet=U0&amp;row=2725&amp;col=7&amp;number=0.00061&amp;sourceID=14","0.00061")</f>
        <v>0.00061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HYPERLINK("http://141.218.60.56/~jnz1568/getInfo.php?workbook=12_04.xlsx&amp;sheet=U0&amp;row=2726&amp;col=6&amp;number=3.2&amp;sourceID=14","3.2")</f>
        <v>3.2</v>
      </c>
      <c r="G2726" s="4" t="str">
        <f>HYPERLINK("http://141.218.60.56/~jnz1568/getInfo.php?workbook=12_04.xlsx&amp;sheet=U0&amp;row=2726&amp;col=7&amp;number=0.000612&amp;sourceID=14","0.000612")</f>
        <v>0.000612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HYPERLINK("http://141.218.60.56/~jnz1568/getInfo.php?workbook=12_04.xlsx&amp;sheet=U0&amp;row=2727&amp;col=6&amp;number=3.3&amp;sourceID=14","3.3")</f>
        <v>3.3</v>
      </c>
      <c r="G2727" s="4" t="str">
        <f>HYPERLINK("http://141.218.60.56/~jnz1568/getInfo.php?workbook=12_04.xlsx&amp;sheet=U0&amp;row=2727&amp;col=7&amp;number=0.000613&amp;sourceID=14","0.000613")</f>
        <v>0.000613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HYPERLINK("http://141.218.60.56/~jnz1568/getInfo.php?workbook=12_04.xlsx&amp;sheet=U0&amp;row=2728&amp;col=6&amp;number=3.4&amp;sourceID=14","3.4")</f>
        <v>3.4</v>
      </c>
      <c r="G2728" s="4" t="str">
        <f>HYPERLINK("http://141.218.60.56/~jnz1568/getInfo.php?workbook=12_04.xlsx&amp;sheet=U0&amp;row=2728&amp;col=7&amp;number=0.000615&amp;sourceID=14","0.000615")</f>
        <v>0.000615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HYPERLINK("http://141.218.60.56/~jnz1568/getInfo.php?workbook=12_04.xlsx&amp;sheet=U0&amp;row=2729&amp;col=6&amp;number=3.5&amp;sourceID=14","3.5")</f>
        <v>3.5</v>
      </c>
      <c r="G2729" s="4" t="str">
        <f>HYPERLINK("http://141.218.60.56/~jnz1568/getInfo.php?workbook=12_04.xlsx&amp;sheet=U0&amp;row=2729&amp;col=7&amp;number=0.000618&amp;sourceID=14","0.000618")</f>
        <v>0.000618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HYPERLINK("http://141.218.60.56/~jnz1568/getInfo.php?workbook=12_04.xlsx&amp;sheet=U0&amp;row=2730&amp;col=6&amp;number=3.6&amp;sourceID=14","3.6")</f>
        <v>3.6</v>
      </c>
      <c r="G2730" s="4" t="str">
        <f>HYPERLINK("http://141.218.60.56/~jnz1568/getInfo.php?workbook=12_04.xlsx&amp;sheet=U0&amp;row=2730&amp;col=7&amp;number=0.000621&amp;sourceID=14","0.000621")</f>
        <v>0.000621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HYPERLINK("http://141.218.60.56/~jnz1568/getInfo.php?workbook=12_04.xlsx&amp;sheet=U0&amp;row=2731&amp;col=6&amp;number=3.7&amp;sourceID=14","3.7")</f>
        <v>3.7</v>
      </c>
      <c r="G2731" s="4" t="str">
        <f>HYPERLINK("http://141.218.60.56/~jnz1568/getInfo.php?workbook=12_04.xlsx&amp;sheet=U0&amp;row=2731&amp;col=7&amp;number=0.000625&amp;sourceID=14","0.000625")</f>
        <v>0.000625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HYPERLINK("http://141.218.60.56/~jnz1568/getInfo.php?workbook=12_04.xlsx&amp;sheet=U0&amp;row=2732&amp;col=6&amp;number=3.8&amp;sourceID=14","3.8")</f>
        <v>3.8</v>
      </c>
      <c r="G2732" s="4" t="str">
        <f>HYPERLINK("http://141.218.60.56/~jnz1568/getInfo.php?workbook=12_04.xlsx&amp;sheet=U0&amp;row=2732&amp;col=7&amp;number=0.00063&amp;sourceID=14","0.00063")</f>
        <v>0.00063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HYPERLINK("http://141.218.60.56/~jnz1568/getInfo.php?workbook=12_04.xlsx&amp;sheet=U0&amp;row=2733&amp;col=6&amp;number=3.9&amp;sourceID=14","3.9")</f>
        <v>3.9</v>
      </c>
      <c r="G2733" s="4" t="str">
        <f>HYPERLINK("http://141.218.60.56/~jnz1568/getInfo.php?workbook=12_04.xlsx&amp;sheet=U0&amp;row=2733&amp;col=7&amp;number=0.000637&amp;sourceID=14","0.000637")</f>
        <v>0.000637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HYPERLINK("http://141.218.60.56/~jnz1568/getInfo.php?workbook=12_04.xlsx&amp;sheet=U0&amp;row=2734&amp;col=6&amp;number=4&amp;sourceID=14","4")</f>
        <v>4</v>
      </c>
      <c r="G2734" s="4" t="str">
        <f>HYPERLINK("http://141.218.60.56/~jnz1568/getInfo.php?workbook=12_04.xlsx&amp;sheet=U0&amp;row=2734&amp;col=7&amp;number=0.000645&amp;sourceID=14","0.000645")</f>
        <v>0.000645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HYPERLINK("http://141.218.60.56/~jnz1568/getInfo.php?workbook=12_04.xlsx&amp;sheet=U0&amp;row=2735&amp;col=6&amp;number=4.1&amp;sourceID=14","4.1")</f>
        <v>4.1</v>
      </c>
      <c r="G2735" s="4" t="str">
        <f>HYPERLINK("http://141.218.60.56/~jnz1568/getInfo.php?workbook=12_04.xlsx&amp;sheet=U0&amp;row=2735&amp;col=7&amp;number=0.000655&amp;sourceID=14","0.000655")</f>
        <v>0.000655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HYPERLINK("http://141.218.60.56/~jnz1568/getInfo.php?workbook=12_04.xlsx&amp;sheet=U0&amp;row=2736&amp;col=6&amp;number=4.2&amp;sourceID=14","4.2")</f>
        <v>4.2</v>
      </c>
      <c r="G2736" s="4" t="str">
        <f>HYPERLINK("http://141.218.60.56/~jnz1568/getInfo.php?workbook=12_04.xlsx&amp;sheet=U0&amp;row=2736&amp;col=7&amp;number=0.000667&amp;sourceID=14","0.000667")</f>
        <v>0.000667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HYPERLINK("http://141.218.60.56/~jnz1568/getInfo.php?workbook=12_04.xlsx&amp;sheet=U0&amp;row=2737&amp;col=6&amp;number=4.3&amp;sourceID=14","4.3")</f>
        <v>4.3</v>
      </c>
      <c r="G2737" s="4" t="str">
        <f>HYPERLINK("http://141.218.60.56/~jnz1568/getInfo.php?workbook=12_04.xlsx&amp;sheet=U0&amp;row=2737&amp;col=7&amp;number=0.000683&amp;sourceID=14","0.000683")</f>
        <v>0.000683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HYPERLINK("http://141.218.60.56/~jnz1568/getInfo.php?workbook=12_04.xlsx&amp;sheet=U0&amp;row=2738&amp;col=6&amp;number=4.4&amp;sourceID=14","4.4")</f>
        <v>4.4</v>
      </c>
      <c r="G2738" s="4" t="str">
        <f>HYPERLINK("http://141.218.60.56/~jnz1568/getInfo.php?workbook=12_04.xlsx&amp;sheet=U0&amp;row=2738&amp;col=7&amp;number=0.000702&amp;sourceID=14","0.000702")</f>
        <v>0.000702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HYPERLINK("http://141.218.60.56/~jnz1568/getInfo.php?workbook=12_04.xlsx&amp;sheet=U0&amp;row=2739&amp;col=6&amp;number=4.5&amp;sourceID=14","4.5")</f>
        <v>4.5</v>
      </c>
      <c r="G2739" s="4" t="str">
        <f>HYPERLINK("http://141.218.60.56/~jnz1568/getInfo.php?workbook=12_04.xlsx&amp;sheet=U0&amp;row=2739&amp;col=7&amp;number=0.000726&amp;sourceID=14","0.000726")</f>
        <v>0.000726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HYPERLINK("http://141.218.60.56/~jnz1568/getInfo.php?workbook=12_04.xlsx&amp;sheet=U0&amp;row=2740&amp;col=6&amp;number=4.6&amp;sourceID=14","4.6")</f>
        <v>4.6</v>
      </c>
      <c r="G2740" s="4" t="str">
        <f>HYPERLINK("http://141.218.60.56/~jnz1568/getInfo.php?workbook=12_04.xlsx&amp;sheet=U0&amp;row=2740&amp;col=7&amp;number=0.000755&amp;sourceID=14","0.000755")</f>
        <v>0.000755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HYPERLINK("http://141.218.60.56/~jnz1568/getInfo.php?workbook=12_04.xlsx&amp;sheet=U0&amp;row=2741&amp;col=6&amp;number=4.7&amp;sourceID=14","4.7")</f>
        <v>4.7</v>
      </c>
      <c r="G2741" s="4" t="str">
        <f>HYPERLINK("http://141.218.60.56/~jnz1568/getInfo.php?workbook=12_04.xlsx&amp;sheet=U0&amp;row=2741&amp;col=7&amp;number=0.000791&amp;sourceID=14","0.000791")</f>
        <v>0.000791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HYPERLINK("http://141.218.60.56/~jnz1568/getInfo.php?workbook=12_04.xlsx&amp;sheet=U0&amp;row=2742&amp;col=6&amp;number=4.8&amp;sourceID=14","4.8")</f>
        <v>4.8</v>
      </c>
      <c r="G2742" s="4" t="str">
        <f>HYPERLINK("http://141.218.60.56/~jnz1568/getInfo.php?workbook=12_04.xlsx&amp;sheet=U0&amp;row=2742&amp;col=7&amp;number=0.000834&amp;sourceID=14","0.000834")</f>
        <v>0.000834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HYPERLINK("http://141.218.60.56/~jnz1568/getInfo.php?workbook=12_04.xlsx&amp;sheet=U0&amp;row=2743&amp;col=6&amp;number=4.9&amp;sourceID=14","4.9")</f>
        <v>4.9</v>
      </c>
      <c r="G2743" s="4" t="str">
        <f>HYPERLINK("http://141.218.60.56/~jnz1568/getInfo.php?workbook=12_04.xlsx&amp;sheet=U0&amp;row=2743&amp;col=7&amp;number=0.000883&amp;sourceID=14","0.000883")</f>
        <v>0.000883</v>
      </c>
    </row>
    <row r="2744" spans="1:7">
      <c r="A2744" s="3">
        <v>12</v>
      </c>
      <c r="B2744" s="3">
        <v>4</v>
      </c>
      <c r="C2744" s="3">
        <v>2</v>
      </c>
      <c r="D2744" s="3">
        <v>43</v>
      </c>
      <c r="E2744" s="3">
        <v>1</v>
      </c>
      <c r="F2744" s="4" t="str">
        <f>HYPERLINK("http://141.218.60.56/~jnz1568/getInfo.php?workbook=12_04.xlsx&amp;sheet=U0&amp;row=2744&amp;col=6&amp;number=3&amp;sourceID=14","3")</f>
        <v>3</v>
      </c>
      <c r="G2744" s="4" t="str">
        <f>HYPERLINK("http://141.218.60.56/~jnz1568/getInfo.php?workbook=12_04.xlsx&amp;sheet=U0&amp;row=2744&amp;col=7&amp;number=0.000111&amp;sourceID=14","0.000111")</f>
        <v>0.000111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HYPERLINK("http://141.218.60.56/~jnz1568/getInfo.php?workbook=12_04.xlsx&amp;sheet=U0&amp;row=2745&amp;col=6&amp;number=3.1&amp;sourceID=14","3.1")</f>
        <v>3.1</v>
      </c>
      <c r="G2745" s="4" t="str">
        <f>HYPERLINK("http://141.218.60.56/~jnz1568/getInfo.php?workbook=12_04.xlsx&amp;sheet=U0&amp;row=2745&amp;col=7&amp;number=0.000112&amp;sourceID=14","0.000112")</f>
        <v>0.000112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HYPERLINK("http://141.218.60.56/~jnz1568/getInfo.php?workbook=12_04.xlsx&amp;sheet=U0&amp;row=2746&amp;col=6&amp;number=3.2&amp;sourceID=14","3.2")</f>
        <v>3.2</v>
      </c>
      <c r="G2746" s="4" t="str">
        <f>HYPERLINK("http://141.218.60.56/~jnz1568/getInfo.php?workbook=12_04.xlsx&amp;sheet=U0&amp;row=2746&amp;col=7&amp;number=0.000114&amp;sourceID=14","0.000114")</f>
        <v>0.000114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HYPERLINK("http://141.218.60.56/~jnz1568/getInfo.php?workbook=12_04.xlsx&amp;sheet=U0&amp;row=2747&amp;col=6&amp;number=3.3&amp;sourceID=14","3.3")</f>
        <v>3.3</v>
      </c>
      <c r="G2747" s="4" t="str">
        <f>HYPERLINK("http://141.218.60.56/~jnz1568/getInfo.php?workbook=12_04.xlsx&amp;sheet=U0&amp;row=2747&amp;col=7&amp;number=0.000115&amp;sourceID=14","0.000115")</f>
        <v>0.000115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HYPERLINK("http://141.218.60.56/~jnz1568/getInfo.php?workbook=12_04.xlsx&amp;sheet=U0&amp;row=2748&amp;col=6&amp;number=3.4&amp;sourceID=14","3.4")</f>
        <v>3.4</v>
      </c>
      <c r="G2748" s="4" t="str">
        <f>HYPERLINK("http://141.218.60.56/~jnz1568/getInfo.php?workbook=12_04.xlsx&amp;sheet=U0&amp;row=2748&amp;col=7&amp;number=0.000117&amp;sourceID=14","0.000117")</f>
        <v>0.000117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HYPERLINK("http://141.218.60.56/~jnz1568/getInfo.php?workbook=12_04.xlsx&amp;sheet=U0&amp;row=2749&amp;col=6&amp;number=3.5&amp;sourceID=14","3.5")</f>
        <v>3.5</v>
      </c>
      <c r="G2749" s="4" t="str">
        <f>HYPERLINK("http://141.218.60.56/~jnz1568/getInfo.php?workbook=12_04.xlsx&amp;sheet=U0&amp;row=2749&amp;col=7&amp;number=0.000119&amp;sourceID=14","0.000119")</f>
        <v>0.000119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HYPERLINK("http://141.218.60.56/~jnz1568/getInfo.php?workbook=12_04.xlsx&amp;sheet=U0&amp;row=2750&amp;col=6&amp;number=3.6&amp;sourceID=14","3.6")</f>
        <v>3.6</v>
      </c>
      <c r="G2750" s="4" t="str">
        <f>HYPERLINK("http://141.218.60.56/~jnz1568/getInfo.php?workbook=12_04.xlsx&amp;sheet=U0&amp;row=2750&amp;col=7&amp;number=0.000122&amp;sourceID=14","0.000122")</f>
        <v>0.000122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HYPERLINK("http://141.218.60.56/~jnz1568/getInfo.php?workbook=12_04.xlsx&amp;sheet=U0&amp;row=2751&amp;col=6&amp;number=3.7&amp;sourceID=14","3.7")</f>
        <v>3.7</v>
      </c>
      <c r="G2751" s="4" t="str">
        <f>HYPERLINK("http://141.218.60.56/~jnz1568/getInfo.php?workbook=12_04.xlsx&amp;sheet=U0&amp;row=2751&amp;col=7&amp;number=0.000126&amp;sourceID=14","0.000126")</f>
        <v>0.000126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HYPERLINK("http://141.218.60.56/~jnz1568/getInfo.php?workbook=12_04.xlsx&amp;sheet=U0&amp;row=2752&amp;col=6&amp;number=3.8&amp;sourceID=14","3.8")</f>
        <v>3.8</v>
      </c>
      <c r="G2752" s="4" t="str">
        <f>HYPERLINK("http://141.218.60.56/~jnz1568/getInfo.php?workbook=12_04.xlsx&amp;sheet=U0&amp;row=2752&amp;col=7&amp;number=0.000131&amp;sourceID=14","0.000131")</f>
        <v>0.000131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HYPERLINK("http://141.218.60.56/~jnz1568/getInfo.php?workbook=12_04.xlsx&amp;sheet=U0&amp;row=2753&amp;col=6&amp;number=3.9&amp;sourceID=14","3.9")</f>
        <v>3.9</v>
      </c>
      <c r="G2753" s="4" t="str">
        <f>HYPERLINK("http://141.218.60.56/~jnz1568/getInfo.php?workbook=12_04.xlsx&amp;sheet=U0&amp;row=2753&amp;col=7&amp;number=0.000137&amp;sourceID=14","0.000137")</f>
        <v>0.000137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HYPERLINK("http://141.218.60.56/~jnz1568/getInfo.php?workbook=12_04.xlsx&amp;sheet=U0&amp;row=2754&amp;col=6&amp;number=4&amp;sourceID=14","4")</f>
        <v>4</v>
      </c>
      <c r="G2754" s="4" t="str">
        <f>HYPERLINK("http://141.218.60.56/~jnz1568/getInfo.php?workbook=12_04.xlsx&amp;sheet=U0&amp;row=2754&amp;col=7&amp;number=0.000144&amp;sourceID=14","0.000144")</f>
        <v>0.000144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HYPERLINK("http://141.218.60.56/~jnz1568/getInfo.php?workbook=12_04.xlsx&amp;sheet=U0&amp;row=2755&amp;col=6&amp;number=4.1&amp;sourceID=14","4.1")</f>
        <v>4.1</v>
      </c>
      <c r="G2755" s="4" t="str">
        <f>HYPERLINK("http://141.218.60.56/~jnz1568/getInfo.php?workbook=12_04.xlsx&amp;sheet=U0&amp;row=2755&amp;col=7&amp;number=0.000153&amp;sourceID=14","0.000153")</f>
        <v>0.000153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HYPERLINK("http://141.218.60.56/~jnz1568/getInfo.php?workbook=12_04.xlsx&amp;sheet=U0&amp;row=2756&amp;col=6&amp;number=4.2&amp;sourceID=14","4.2")</f>
        <v>4.2</v>
      </c>
      <c r="G2756" s="4" t="str">
        <f>HYPERLINK("http://141.218.60.56/~jnz1568/getInfo.php?workbook=12_04.xlsx&amp;sheet=U0&amp;row=2756&amp;col=7&amp;number=0.000164&amp;sourceID=14","0.000164")</f>
        <v>0.000164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HYPERLINK("http://141.218.60.56/~jnz1568/getInfo.php?workbook=12_04.xlsx&amp;sheet=U0&amp;row=2757&amp;col=6&amp;number=4.3&amp;sourceID=14","4.3")</f>
        <v>4.3</v>
      </c>
      <c r="G2757" s="4" t="str">
        <f>HYPERLINK("http://141.218.60.56/~jnz1568/getInfo.php?workbook=12_04.xlsx&amp;sheet=U0&amp;row=2757&amp;col=7&amp;number=0.000177&amp;sourceID=14","0.000177")</f>
        <v>0.000177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HYPERLINK("http://141.218.60.56/~jnz1568/getInfo.php?workbook=12_04.xlsx&amp;sheet=U0&amp;row=2758&amp;col=6&amp;number=4.4&amp;sourceID=14","4.4")</f>
        <v>4.4</v>
      </c>
      <c r="G2758" s="4" t="str">
        <f>HYPERLINK("http://141.218.60.56/~jnz1568/getInfo.php?workbook=12_04.xlsx&amp;sheet=U0&amp;row=2758&amp;col=7&amp;number=0.000194&amp;sourceID=14","0.000194")</f>
        <v>0.000194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HYPERLINK("http://141.218.60.56/~jnz1568/getInfo.php?workbook=12_04.xlsx&amp;sheet=U0&amp;row=2759&amp;col=6&amp;number=4.5&amp;sourceID=14","4.5")</f>
        <v>4.5</v>
      </c>
      <c r="G2759" s="4" t="str">
        <f>HYPERLINK("http://141.218.60.56/~jnz1568/getInfo.php?workbook=12_04.xlsx&amp;sheet=U0&amp;row=2759&amp;col=7&amp;number=0.000214&amp;sourceID=14","0.000214")</f>
        <v>0.000214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HYPERLINK("http://141.218.60.56/~jnz1568/getInfo.php?workbook=12_04.xlsx&amp;sheet=U0&amp;row=2760&amp;col=6&amp;number=4.6&amp;sourceID=14","4.6")</f>
        <v>4.6</v>
      </c>
      <c r="G2760" s="4" t="str">
        <f>HYPERLINK("http://141.218.60.56/~jnz1568/getInfo.php?workbook=12_04.xlsx&amp;sheet=U0&amp;row=2760&amp;col=7&amp;number=0.000237&amp;sourceID=14","0.000237")</f>
        <v>0.000237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HYPERLINK("http://141.218.60.56/~jnz1568/getInfo.php?workbook=12_04.xlsx&amp;sheet=U0&amp;row=2761&amp;col=6&amp;number=4.7&amp;sourceID=14","4.7")</f>
        <v>4.7</v>
      </c>
      <c r="G2761" s="4" t="str">
        <f>HYPERLINK("http://141.218.60.56/~jnz1568/getInfo.php?workbook=12_04.xlsx&amp;sheet=U0&amp;row=2761&amp;col=7&amp;number=0.000263&amp;sourceID=14","0.000263")</f>
        <v>0.000263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HYPERLINK("http://141.218.60.56/~jnz1568/getInfo.php?workbook=12_04.xlsx&amp;sheet=U0&amp;row=2762&amp;col=6&amp;number=4.8&amp;sourceID=14","4.8")</f>
        <v>4.8</v>
      </c>
      <c r="G2762" s="4" t="str">
        <f>HYPERLINK("http://141.218.60.56/~jnz1568/getInfo.php?workbook=12_04.xlsx&amp;sheet=U0&amp;row=2762&amp;col=7&amp;number=0.00029&amp;sourceID=14","0.00029")</f>
        <v>0.00029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HYPERLINK("http://141.218.60.56/~jnz1568/getInfo.php?workbook=12_04.xlsx&amp;sheet=U0&amp;row=2763&amp;col=6&amp;number=4.9&amp;sourceID=14","4.9")</f>
        <v>4.9</v>
      </c>
      <c r="G2763" s="4" t="str">
        <f>HYPERLINK("http://141.218.60.56/~jnz1568/getInfo.php?workbook=12_04.xlsx&amp;sheet=U0&amp;row=2763&amp;col=7&amp;number=0.000317&amp;sourceID=14","0.000317")</f>
        <v>0.000317</v>
      </c>
    </row>
    <row r="2764" spans="1:7">
      <c r="A2764" s="3">
        <v>12</v>
      </c>
      <c r="B2764" s="3">
        <v>4</v>
      </c>
      <c r="C2764" s="3">
        <v>2</v>
      </c>
      <c r="D2764" s="3">
        <v>44</v>
      </c>
      <c r="E2764" s="3">
        <v>1</v>
      </c>
      <c r="F2764" s="4" t="str">
        <f>HYPERLINK("http://141.218.60.56/~jnz1568/getInfo.php?workbook=12_04.xlsx&amp;sheet=U0&amp;row=2764&amp;col=6&amp;number=3&amp;sourceID=14","3")</f>
        <v>3</v>
      </c>
      <c r="G2764" s="4" t="str">
        <f>HYPERLINK("http://141.218.60.56/~jnz1568/getInfo.php?workbook=12_04.xlsx&amp;sheet=U0&amp;row=2764&amp;col=7&amp;number=0.000705&amp;sourceID=14","0.000705")</f>
        <v>0.000705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HYPERLINK("http://141.218.60.56/~jnz1568/getInfo.php?workbook=12_04.xlsx&amp;sheet=U0&amp;row=2765&amp;col=6&amp;number=3.1&amp;sourceID=14","3.1")</f>
        <v>3.1</v>
      </c>
      <c r="G2765" s="4" t="str">
        <f>HYPERLINK("http://141.218.60.56/~jnz1568/getInfo.php?workbook=12_04.xlsx&amp;sheet=U0&amp;row=2765&amp;col=7&amp;number=0.000705&amp;sourceID=14","0.000705")</f>
        <v>0.000705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HYPERLINK("http://141.218.60.56/~jnz1568/getInfo.php?workbook=12_04.xlsx&amp;sheet=U0&amp;row=2766&amp;col=6&amp;number=3.2&amp;sourceID=14","3.2")</f>
        <v>3.2</v>
      </c>
      <c r="G2766" s="4" t="str">
        <f>HYPERLINK("http://141.218.60.56/~jnz1568/getInfo.php?workbook=12_04.xlsx&amp;sheet=U0&amp;row=2766&amp;col=7&amp;number=0.000704&amp;sourceID=14","0.000704")</f>
        <v>0.000704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HYPERLINK("http://141.218.60.56/~jnz1568/getInfo.php?workbook=12_04.xlsx&amp;sheet=U0&amp;row=2767&amp;col=6&amp;number=3.3&amp;sourceID=14","3.3")</f>
        <v>3.3</v>
      </c>
      <c r="G2767" s="4" t="str">
        <f>HYPERLINK("http://141.218.60.56/~jnz1568/getInfo.php?workbook=12_04.xlsx&amp;sheet=U0&amp;row=2767&amp;col=7&amp;number=0.000704&amp;sourceID=14","0.000704")</f>
        <v>0.000704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HYPERLINK("http://141.218.60.56/~jnz1568/getInfo.php?workbook=12_04.xlsx&amp;sheet=U0&amp;row=2768&amp;col=6&amp;number=3.4&amp;sourceID=14","3.4")</f>
        <v>3.4</v>
      </c>
      <c r="G2768" s="4" t="str">
        <f>HYPERLINK("http://141.218.60.56/~jnz1568/getInfo.php?workbook=12_04.xlsx&amp;sheet=U0&amp;row=2768&amp;col=7&amp;number=0.000703&amp;sourceID=14","0.000703")</f>
        <v>0.000703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HYPERLINK("http://141.218.60.56/~jnz1568/getInfo.php?workbook=12_04.xlsx&amp;sheet=U0&amp;row=2769&amp;col=6&amp;number=3.5&amp;sourceID=14","3.5")</f>
        <v>3.5</v>
      </c>
      <c r="G2769" s="4" t="str">
        <f>HYPERLINK("http://141.218.60.56/~jnz1568/getInfo.php?workbook=12_04.xlsx&amp;sheet=U0&amp;row=2769&amp;col=7&amp;number=0.000703&amp;sourceID=14","0.000703")</f>
        <v>0.000703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HYPERLINK("http://141.218.60.56/~jnz1568/getInfo.php?workbook=12_04.xlsx&amp;sheet=U0&amp;row=2770&amp;col=6&amp;number=3.6&amp;sourceID=14","3.6")</f>
        <v>3.6</v>
      </c>
      <c r="G2770" s="4" t="str">
        <f>HYPERLINK("http://141.218.60.56/~jnz1568/getInfo.php?workbook=12_04.xlsx&amp;sheet=U0&amp;row=2770&amp;col=7&amp;number=0.000702&amp;sourceID=14","0.000702")</f>
        <v>0.000702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HYPERLINK("http://141.218.60.56/~jnz1568/getInfo.php?workbook=12_04.xlsx&amp;sheet=U0&amp;row=2771&amp;col=6&amp;number=3.7&amp;sourceID=14","3.7")</f>
        <v>3.7</v>
      </c>
      <c r="G2771" s="4" t="str">
        <f>HYPERLINK("http://141.218.60.56/~jnz1568/getInfo.php?workbook=12_04.xlsx&amp;sheet=U0&amp;row=2771&amp;col=7&amp;number=0.000701&amp;sourceID=14","0.000701")</f>
        <v>0.000701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HYPERLINK("http://141.218.60.56/~jnz1568/getInfo.php?workbook=12_04.xlsx&amp;sheet=U0&amp;row=2772&amp;col=6&amp;number=3.8&amp;sourceID=14","3.8")</f>
        <v>3.8</v>
      </c>
      <c r="G2772" s="4" t="str">
        <f>HYPERLINK("http://141.218.60.56/~jnz1568/getInfo.php?workbook=12_04.xlsx&amp;sheet=U0&amp;row=2772&amp;col=7&amp;number=0.0007&amp;sourceID=14","0.0007")</f>
        <v>0.0007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HYPERLINK("http://141.218.60.56/~jnz1568/getInfo.php?workbook=12_04.xlsx&amp;sheet=U0&amp;row=2773&amp;col=6&amp;number=3.9&amp;sourceID=14","3.9")</f>
        <v>3.9</v>
      </c>
      <c r="G2773" s="4" t="str">
        <f>HYPERLINK("http://141.218.60.56/~jnz1568/getInfo.php?workbook=12_04.xlsx&amp;sheet=U0&amp;row=2773&amp;col=7&amp;number=0.000698&amp;sourceID=14","0.000698")</f>
        <v>0.000698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HYPERLINK("http://141.218.60.56/~jnz1568/getInfo.php?workbook=12_04.xlsx&amp;sheet=U0&amp;row=2774&amp;col=6&amp;number=4&amp;sourceID=14","4")</f>
        <v>4</v>
      </c>
      <c r="G2774" s="4" t="str">
        <f>HYPERLINK("http://141.218.60.56/~jnz1568/getInfo.php?workbook=12_04.xlsx&amp;sheet=U0&amp;row=2774&amp;col=7&amp;number=0.000696&amp;sourceID=14","0.000696")</f>
        <v>0.000696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HYPERLINK("http://141.218.60.56/~jnz1568/getInfo.php?workbook=12_04.xlsx&amp;sheet=U0&amp;row=2775&amp;col=6&amp;number=4.1&amp;sourceID=14","4.1")</f>
        <v>4.1</v>
      </c>
      <c r="G2775" s="4" t="str">
        <f>HYPERLINK("http://141.218.60.56/~jnz1568/getInfo.php?workbook=12_04.xlsx&amp;sheet=U0&amp;row=2775&amp;col=7&amp;number=0.000693&amp;sourceID=14","0.000693")</f>
        <v>0.000693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HYPERLINK("http://141.218.60.56/~jnz1568/getInfo.php?workbook=12_04.xlsx&amp;sheet=U0&amp;row=2776&amp;col=6&amp;number=4.2&amp;sourceID=14","4.2")</f>
        <v>4.2</v>
      </c>
      <c r="G2776" s="4" t="str">
        <f>HYPERLINK("http://141.218.60.56/~jnz1568/getInfo.php?workbook=12_04.xlsx&amp;sheet=U0&amp;row=2776&amp;col=7&amp;number=0.00069&amp;sourceID=14","0.00069")</f>
        <v>0.00069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HYPERLINK("http://141.218.60.56/~jnz1568/getInfo.php?workbook=12_04.xlsx&amp;sheet=U0&amp;row=2777&amp;col=6&amp;number=4.3&amp;sourceID=14","4.3")</f>
        <v>4.3</v>
      </c>
      <c r="G2777" s="4" t="str">
        <f>HYPERLINK("http://141.218.60.56/~jnz1568/getInfo.php?workbook=12_04.xlsx&amp;sheet=U0&amp;row=2777&amp;col=7&amp;number=0.000686&amp;sourceID=14","0.000686")</f>
        <v>0.000686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HYPERLINK("http://141.218.60.56/~jnz1568/getInfo.php?workbook=12_04.xlsx&amp;sheet=U0&amp;row=2778&amp;col=6&amp;number=4.4&amp;sourceID=14","4.4")</f>
        <v>4.4</v>
      </c>
      <c r="G2778" s="4" t="str">
        <f>HYPERLINK("http://141.218.60.56/~jnz1568/getInfo.php?workbook=12_04.xlsx&amp;sheet=U0&amp;row=2778&amp;col=7&amp;number=0.000681&amp;sourceID=14","0.000681")</f>
        <v>0.000681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HYPERLINK("http://141.218.60.56/~jnz1568/getInfo.php?workbook=12_04.xlsx&amp;sheet=U0&amp;row=2779&amp;col=6&amp;number=4.5&amp;sourceID=14","4.5")</f>
        <v>4.5</v>
      </c>
      <c r="G2779" s="4" t="str">
        <f>HYPERLINK("http://141.218.60.56/~jnz1568/getInfo.php?workbook=12_04.xlsx&amp;sheet=U0&amp;row=2779&amp;col=7&amp;number=0.000675&amp;sourceID=14","0.000675")</f>
        <v>0.000675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HYPERLINK("http://141.218.60.56/~jnz1568/getInfo.php?workbook=12_04.xlsx&amp;sheet=U0&amp;row=2780&amp;col=6&amp;number=4.6&amp;sourceID=14","4.6")</f>
        <v>4.6</v>
      </c>
      <c r="G2780" s="4" t="str">
        <f>HYPERLINK("http://141.218.60.56/~jnz1568/getInfo.php?workbook=12_04.xlsx&amp;sheet=U0&amp;row=2780&amp;col=7&amp;number=0.000667&amp;sourceID=14","0.000667")</f>
        <v>0.000667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HYPERLINK("http://141.218.60.56/~jnz1568/getInfo.php?workbook=12_04.xlsx&amp;sheet=U0&amp;row=2781&amp;col=6&amp;number=4.7&amp;sourceID=14","4.7")</f>
        <v>4.7</v>
      </c>
      <c r="G2781" s="4" t="str">
        <f>HYPERLINK("http://141.218.60.56/~jnz1568/getInfo.php?workbook=12_04.xlsx&amp;sheet=U0&amp;row=2781&amp;col=7&amp;number=0.000658&amp;sourceID=14","0.000658")</f>
        <v>0.000658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HYPERLINK("http://141.218.60.56/~jnz1568/getInfo.php?workbook=12_04.xlsx&amp;sheet=U0&amp;row=2782&amp;col=6&amp;number=4.8&amp;sourceID=14","4.8")</f>
        <v>4.8</v>
      </c>
      <c r="G2782" s="4" t="str">
        <f>HYPERLINK("http://141.218.60.56/~jnz1568/getInfo.php?workbook=12_04.xlsx&amp;sheet=U0&amp;row=2782&amp;col=7&amp;number=0.000646&amp;sourceID=14","0.000646")</f>
        <v>0.000646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HYPERLINK("http://141.218.60.56/~jnz1568/getInfo.php?workbook=12_04.xlsx&amp;sheet=U0&amp;row=2783&amp;col=6&amp;number=4.9&amp;sourceID=14","4.9")</f>
        <v>4.9</v>
      </c>
      <c r="G2783" s="4" t="str">
        <f>HYPERLINK("http://141.218.60.56/~jnz1568/getInfo.php?workbook=12_04.xlsx&amp;sheet=U0&amp;row=2783&amp;col=7&amp;number=0.000632&amp;sourceID=14","0.000632")</f>
        <v>0.000632</v>
      </c>
    </row>
    <row r="2784" spans="1:7">
      <c r="A2784" s="3">
        <v>12</v>
      </c>
      <c r="B2784" s="3">
        <v>4</v>
      </c>
      <c r="C2784" s="3">
        <v>2</v>
      </c>
      <c r="D2784" s="3">
        <v>45</v>
      </c>
      <c r="E2784" s="3">
        <v>1</v>
      </c>
      <c r="F2784" s="4" t="str">
        <f>HYPERLINK("http://141.218.60.56/~jnz1568/getInfo.php?workbook=12_04.xlsx&amp;sheet=U0&amp;row=2784&amp;col=6&amp;number=3&amp;sourceID=14","3")</f>
        <v>3</v>
      </c>
      <c r="G2784" s="4" t="str">
        <f>HYPERLINK("http://141.218.60.56/~jnz1568/getInfo.php?workbook=12_04.xlsx&amp;sheet=U0&amp;row=2784&amp;col=7&amp;number=0.0028&amp;sourceID=14","0.0028")</f>
        <v>0.0028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HYPERLINK("http://141.218.60.56/~jnz1568/getInfo.php?workbook=12_04.xlsx&amp;sheet=U0&amp;row=2785&amp;col=6&amp;number=3.1&amp;sourceID=14","3.1")</f>
        <v>3.1</v>
      </c>
      <c r="G2785" s="4" t="str">
        <f>HYPERLINK("http://141.218.60.56/~jnz1568/getInfo.php?workbook=12_04.xlsx&amp;sheet=U0&amp;row=2785&amp;col=7&amp;number=0.0028&amp;sourceID=14","0.0028")</f>
        <v>0.0028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HYPERLINK("http://141.218.60.56/~jnz1568/getInfo.php?workbook=12_04.xlsx&amp;sheet=U0&amp;row=2786&amp;col=6&amp;number=3.2&amp;sourceID=14","3.2")</f>
        <v>3.2</v>
      </c>
      <c r="G2786" s="4" t="str">
        <f>HYPERLINK("http://141.218.60.56/~jnz1568/getInfo.php?workbook=12_04.xlsx&amp;sheet=U0&amp;row=2786&amp;col=7&amp;number=0.0028&amp;sourceID=14","0.0028")</f>
        <v>0.0028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HYPERLINK("http://141.218.60.56/~jnz1568/getInfo.php?workbook=12_04.xlsx&amp;sheet=U0&amp;row=2787&amp;col=6&amp;number=3.3&amp;sourceID=14","3.3")</f>
        <v>3.3</v>
      </c>
      <c r="G2787" s="4" t="str">
        <f>HYPERLINK("http://141.218.60.56/~jnz1568/getInfo.php?workbook=12_04.xlsx&amp;sheet=U0&amp;row=2787&amp;col=7&amp;number=0.00281&amp;sourceID=14","0.00281")</f>
        <v>0.00281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HYPERLINK("http://141.218.60.56/~jnz1568/getInfo.php?workbook=12_04.xlsx&amp;sheet=U0&amp;row=2788&amp;col=6&amp;number=3.4&amp;sourceID=14","3.4")</f>
        <v>3.4</v>
      </c>
      <c r="G2788" s="4" t="str">
        <f>HYPERLINK("http://141.218.60.56/~jnz1568/getInfo.php?workbook=12_04.xlsx&amp;sheet=U0&amp;row=2788&amp;col=7&amp;number=0.00282&amp;sourceID=14","0.00282")</f>
        <v>0.00282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HYPERLINK("http://141.218.60.56/~jnz1568/getInfo.php?workbook=12_04.xlsx&amp;sheet=U0&amp;row=2789&amp;col=6&amp;number=3.5&amp;sourceID=14","3.5")</f>
        <v>3.5</v>
      </c>
      <c r="G2789" s="4" t="str">
        <f>HYPERLINK("http://141.218.60.56/~jnz1568/getInfo.php?workbook=12_04.xlsx&amp;sheet=U0&amp;row=2789&amp;col=7&amp;number=0.00282&amp;sourceID=14","0.00282")</f>
        <v>0.00282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HYPERLINK("http://141.218.60.56/~jnz1568/getInfo.php?workbook=12_04.xlsx&amp;sheet=U0&amp;row=2790&amp;col=6&amp;number=3.6&amp;sourceID=14","3.6")</f>
        <v>3.6</v>
      </c>
      <c r="G2790" s="4" t="str">
        <f>HYPERLINK("http://141.218.60.56/~jnz1568/getInfo.php?workbook=12_04.xlsx&amp;sheet=U0&amp;row=2790&amp;col=7&amp;number=0.00283&amp;sourceID=14","0.00283")</f>
        <v>0.00283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HYPERLINK("http://141.218.60.56/~jnz1568/getInfo.php?workbook=12_04.xlsx&amp;sheet=U0&amp;row=2791&amp;col=6&amp;number=3.7&amp;sourceID=14","3.7")</f>
        <v>3.7</v>
      </c>
      <c r="G2791" s="4" t="str">
        <f>HYPERLINK("http://141.218.60.56/~jnz1568/getInfo.php?workbook=12_04.xlsx&amp;sheet=U0&amp;row=2791&amp;col=7&amp;number=0.00285&amp;sourceID=14","0.00285")</f>
        <v>0.00285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HYPERLINK("http://141.218.60.56/~jnz1568/getInfo.php?workbook=12_04.xlsx&amp;sheet=U0&amp;row=2792&amp;col=6&amp;number=3.8&amp;sourceID=14","3.8")</f>
        <v>3.8</v>
      </c>
      <c r="G2792" s="4" t="str">
        <f>HYPERLINK("http://141.218.60.56/~jnz1568/getInfo.php?workbook=12_04.xlsx&amp;sheet=U0&amp;row=2792&amp;col=7&amp;number=0.00286&amp;sourceID=14","0.00286")</f>
        <v>0.00286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HYPERLINK("http://141.218.60.56/~jnz1568/getInfo.php?workbook=12_04.xlsx&amp;sheet=U0&amp;row=2793&amp;col=6&amp;number=3.9&amp;sourceID=14","3.9")</f>
        <v>3.9</v>
      </c>
      <c r="G2793" s="4" t="str">
        <f>HYPERLINK("http://141.218.60.56/~jnz1568/getInfo.php?workbook=12_04.xlsx&amp;sheet=U0&amp;row=2793&amp;col=7&amp;number=0.00288&amp;sourceID=14","0.00288")</f>
        <v>0.00288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HYPERLINK("http://141.218.60.56/~jnz1568/getInfo.php?workbook=12_04.xlsx&amp;sheet=U0&amp;row=2794&amp;col=6&amp;number=4&amp;sourceID=14","4")</f>
        <v>4</v>
      </c>
      <c r="G2794" s="4" t="str">
        <f>HYPERLINK("http://141.218.60.56/~jnz1568/getInfo.php?workbook=12_04.xlsx&amp;sheet=U0&amp;row=2794&amp;col=7&amp;number=0.00291&amp;sourceID=14","0.00291")</f>
        <v>0.00291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HYPERLINK("http://141.218.60.56/~jnz1568/getInfo.php?workbook=12_04.xlsx&amp;sheet=U0&amp;row=2795&amp;col=6&amp;number=4.1&amp;sourceID=14","4.1")</f>
        <v>4.1</v>
      </c>
      <c r="G2795" s="4" t="str">
        <f>HYPERLINK("http://141.218.60.56/~jnz1568/getInfo.php?workbook=12_04.xlsx&amp;sheet=U0&amp;row=2795&amp;col=7&amp;number=0.00294&amp;sourceID=14","0.00294")</f>
        <v>0.00294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HYPERLINK("http://141.218.60.56/~jnz1568/getInfo.php?workbook=12_04.xlsx&amp;sheet=U0&amp;row=2796&amp;col=6&amp;number=4.2&amp;sourceID=14","4.2")</f>
        <v>4.2</v>
      </c>
      <c r="G2796" s="4" t="str">
        <f>HYPERLINK("http://141.218.60.56/~jnz1568/getInfo.php?workbook=12_04.xlsx&amp;sheet=U0&amp;row=2796&amp;col=7&amp;number=0.00297&amp;sourceID=14","0.00297")</f>
        <v>0.00297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HYPERLINK("http://141.218.60.56/~jnz1568/getInfo.php?workbook=12_04.xlsx&amp;sheet=U0&amp;row=2797&amp;col=6&amp;number=4.3&amp;sourceID=14","4.3")</f>
        <v>4.3</v>
      </c>
      <c r="G2797" s="4" t="str">
        <f>HYPERLINK("http://141.218.60.56/~jnz1568/getInfo.php?workbook=12_04.xlsx&amp;sheet=U0&amp;row=2797&amp;col=7&amp;number=0.00302&amp;sourceID=14","0.00302")</f>
        <v>0.00302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HYPERLINK("http://141.218.60.56/~jnz1568/getInfo.php?workbook=12_04.xlsx&amp;sheet=U0&amp;row=2798&amp;col=6&amp;number=4.4&amp;sourceID=14","4.4")</f>
        <v>4.4</v>
      </c>
      <c r="G2798" s="4" t="str">
        <f>HYPERLINK("http://141.218.60.56/~jnz1568/getInfo.php?workbook=12_04.xlsx&amp;sheet=U0&amp;row=2798&amp;col=7&amp;number=0.00308&amp;sourceID=14","0.00308")</f>
        <v>0.00308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HYPERLINK("http://141.218.60.56/~jnz1568/getInfo.php?workbook=12_04.xlsx&amp;sheet=U0&amp;row=2799&amp;col=6&amp;number=4.5&amp;sourceID=14","4.5")</f>
        <v>4.5</v>
      </c>
      <c r="G2799" s="4" t="str">
        <f>HYPERLINK("http://141.218.60.56/~jnz1568/getInfo.php?workbook=12_04.xlsx&amp;sheet=U0&amp;row=2799&amp;col=7&amp;number=0.00316&amp;sourceID=14","0.00316")</f>
        <v>0.00316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HYPERLINK("http://141.218.60.56/~jnz1568/getInfo.php?workbook=12_04.xlsx&amp;sheet=U0&amp;row=2800&amp;col=6&amp;number=4.6&amp;sourceID=14","4.6")</f>
        <v>4.6</v>
      </c>
      <c r="G2800" s="4" t="str">
        <f>HYPERLINK("http://141.218.60.56/~jnz1568/getInfo.php?workbook=12_04.xlsx&amp;sheet=U0&amp;row=2800&amp;col=7&amp;number=0.00325&amp;sourceID=14","0.00325")</f>
        <v>0.00325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HYPERLINK("http://141.218.60.56/~jnz1568/getInfo.php?workbook=12_04.xlsx&amp;sheet=U0&amp;row=2801&amp;col=6&amp;number=4.7&amp;sourceID=14","4.7")</f>
        <v>4.7</v>
      </c>
      <c r="G2801" s="4" t="str">
        <f>HYPERLINK("http://141.218.60.56/~jnz1568/getInfo.php?workbook=12_04.xlsx&amp;sheet=U0&amp;row=2801&amp;col=7&amp;number=0.00336&amp;sourceID=14","0.00336")</f>
        <v>0.00336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HYPERLINK("http://141.218.60.56/~jnz1568/getInfo.php?workbook=12_04.xlsx&amp;sheet=U0&amp;row=2802&amp;col=6&amp;number=4.8&amp;sourceID=14","4.8")</f>
        <v>4.8</v>
      </c>
      <c r="G2802" s="4" t="str">
        <f>HYPERLINK("http://141.218.60.56/~jnz1568/getInfo.php?workbook=12_04.xlsx&amp;sheet=U0&amp;row=2802&amp;col=7&amp;number=0.00349&amp;sourceID=14","0.00349")</f>
        <v>0.00349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HYPERLINK("http://141.218.60.56/~jnz1568/getInfo.php?workbook=12_04.xlsx&amp;sheet=U0&amp;row=2803&amp;col=6&amp;number=4.9&amp;sourceID=14","4.9")</f>
        <v>4.9</v>
      </c>
      <c r="G2803" s="4" t="str">
        <f>HYPERLINK("http://141.218.60.56/~jnz1568/getInfo.php?workbook=12_04.xlsx&amp;sheet=U0&amp;row=2803&amp;col=7&amp;number=0.00364&amp;sourceID=14","0.00364")</f>
        <v>0.00364</v>
      </c>
    </row>
    <row r="2804" spans="1:7">
      <c r="A2804" s="3">
        <v>12</v>
      </c>
      <c r="B2804" s="3">
        <v>4</v>
      </c>
      <c r="C2804" s="3">
        <v>2</v>
      </c>
      <c r="D2804" s="3">
        <v>46</v>
      </c>
      <c r="E2804" s="3">
        <v>1</v>
      </c>
      <c r="F2804" s="4" t="str">
        <f>HYPERLINK("http://141.218.60.56/~jnz1568/getInfo.php?workbook=12_04.xlsx&amp;sheet=U0&amp;row=2804&amp;col=6&amp;number=3&amp;sourceID=14","3")</f>
        <v>3</v>
      </c>
      <c r="G2804" s="4" t="str">
        <f>HYPERLINK("http://141.218.60.56/~jnz1568/getInfo.php?workbook=12_04.xlsx&amp;sheet=U0&amp;row=2804&amp;col=7&amp;number=0.00129&amp;sourceID=14","0.00129")</f>
        <v>0.00129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HYPERLINK("http://141.218.60.56/~jnz1568/getInfo.php?workbook=12_04.xlsx&amp;sheet=U0&amp;row=2805&amp;col=6&amp;number=3.1&amp;sourceID=14","3.1")</f>
        <v>3.1</v>
      </c>
      <c r="G2805" s="4" t="str">
        <f>HYPERLINK("http://141.218.60.56/~jnz1568/getInfo.php?workbook=12_04.xlsx&amp;sheet=U0&amp;row=2805&amp;col=7&amp;number=0.00129&amp;sourceID=14","0.00129")</f>
        <v>0.00129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HYPERLINK("http://141.218.60.56/~jnz1568/getInfo.php?workbook=12_04.xlsx&amp;sheet=U0&amp;row=2806&amp;col=6&amp;number=3.2&amp;sourceID=14","3.2")</f>
        <v>3.2</v>
      </c>
      <c r="G2806" s="4" t="str">
        <f>HYPERLINK("http://141.218.60.56/~jnz1568/getInfo.php?workbook=12_04.xlsx&amp;sheet=U0&amp;row=2806&amp;col=7&amp;number=0.0013&amp;sourceID=14","0.0013")</f>
        <v>0.0013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HYPERLINK("http://141.218.60.56/~jnz1568/getInfo.php?workbook=12_04.xlsx&amp;sheet=U0&amp;row=2807&amp;col=6&amp;number=3.3&amp;sourceID=14","3.3")</f>
        <v>3.3</v>
      </c>
      <c r="G2807" s="4" t="str">
        <f>HYPERLINK("http://141.218.60.56/~jnz1568/getInfo.php?workbook=12_04.xlsx&amp;sheet=U0&amp;row=2807&amp;col=7&amp;number=0.0013&amp;sourceID=14","0.0013")</f>
        <v>0.0013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HYPERLINK("http://141.218.60.56/~jnz1568/getInfo.php?workbook=12_04.xlsx&amp;sheet=U0&amp;row=2808&amp;col=6&amp;number=3.4&amp;sourceID=14","3.4")</f>
        <v>3.4</v>
      </c>
      <c r="G2808" s="4" t="str">
        <f>HYPERLINK("http://141.218.60.56/~jnz1568/getInfo.php?workbook=12_04.xlsx&amp;sheet=U0&amp;row=2808&amp;col=7&amp;number=0.0013&amp;sourceID=14","0.0013")</f>
        <v>0.0013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HYPERLINK("http://141.218.60.56/~jnz1568/getInfo.php?workbook=12_04.xlsx&amp;sheet=U0&amp;row=2809&amp;col=6&amp;number=3.5&amp;sourceID=14","3.5")</f>
        <v>3.5</v>
      </c>
      <c r="G2809" s="4" t="str">
        <f>HYPERLINK("http://141.218.60.56/~jnz1568/getInfo.php?workbook=12_04.xlsx&amp;sheet=U0&amp;row=2809&amp;col=7&amp;number=0.0013&amp;sourceID=14","0.0013")</f>
        <v>0.0013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HYPERLINK("http://141.218.60.56/~jnz1568/getInfo.php?workbook=12_04.xlsx&amp;sheet=U0&amp;row=2810&amp;col=6&amp;number=3.6&amp;sourceID=14","3.6")</f>
        <v>3.6</v>
      </c>
      <c r="G2810" s="4" t="str">
        <f>HYPERLINK("http://141.218.60.56/~jnz1568/getInfo.php?workbook=12_04.xlsx&amp;sheet=U0&amp;row=2810&amp;col=7&amp;number=0.00131&amp;sourceID=14","0.00131")</f>
        <v>0.00131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HYPERLINK("http://141.218.60.56/~jnz1568/getInfo.php?workbook=12_04.xlsx&amp;sheet=U0&amp;row=2811&amp;col=6&amp;number=3.7&amp;sourceID=14","3.7")</f>
        <v>3.7</v>
      </c>
      <c r="G2811" s="4" t="str">
        <f>HYPERLINK("http://141.218.60.56/~jnz1568/getInfo.php?workbook=12_04.xlsx&amp;sheet=U0&amp;row=2811&amp;col=7&amp;number=0.00131&amp;sourceID=14","0.00131")</f>
        <v>0.00131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HYPERLINK("http://141.218.60.56/~jnz1568/getInfo.php?workbook=12_04.xlsx&amp;sheet=U0&amp;row=2812&amp;col=6&amp;number=3.8&amp;sourceID=14","3.8")</f>
        <v>3.8</v>
      </c>
      <c r="G2812" s="4" t="str">
        <f>HYPERLINK("http://141.218.60.56/~jnz1568/getInfo.php?workbook=12_04.xlsx&amp;sheet=U0&amp;row=2812&amp;col=7&amp;number=0.00132&amp;sourceID=14","0.00132")</f>
        <v>0.00132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HYPERLINK("http://141.218.60.56/~jnz1568/getInfo.php?workbook=12_04.xlsx&amp;sheet=U0&amp;row=2813&amp;col=6&amp;number=3.9&amp;sourceID=14","3.9")</f>
        <v>3.9</v>
      </c>
      <c r="G2813" s="4" t="str">
        <f>HYPERLINK("http://141.218.60.56/~jnz1568/getInfo.php?workbook=12_04.xlsx&amp;sheet=U0&amp;row=2813&amp;col=7&amp;number=0.00132&amp;sourceID=14","0.00132")</f>
        <v>0.00132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HYPERLINK("http://141.218.60.56/~jnz1568/getInfo.php?workbook=12_04.xlsx&amp;sheet=U0&amp;row=2814&amp;col=6&amp;number=4&amp;sourceID=14","4")</f>
        <v>4</v>
      </c>
      <c r="G2814" s="4" t="str">
        <f>HYPERLINK("http://141.218.60.56/~jnz1568/getInfo.php?workbook=12_04.xlsx&amp;sheet=U0&amp;row=2814&amp;col=7&amp;number=0.00133&amp;sourceID=14","0.00133")</f>
        <v>0.00133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HYPERLINK("http://141.218.60.56/~jnz1568/getInfo.php?workbook=12_04.xlsx&amp;sheet=U0&amp;row=2815&amp;col=6&amp;number=4.1&amp;sourceID=14","4.1")</f>
        <v>4.1</v>
      </c>
      <c r="G2815" s="4" t="str">
        <f>HYPERLINK("http://141.218.60.56/~jnz1568/getInfo.php?workbook=12_04.xlsx&amp;sheet=U0&amp;row=2815&amp;col=7&amp;number=0.00134&amp;sourceID=14","0.00134")</f>
        <v>0.00134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HYPERLINK("http://141.218.60.56/~jnz1568/getInfo.php?workbook=12_04.xlsx&amp;sheet=U0&amp;row=2816&amp;col=6&amp;number=4.2&amp;sourceID=14","4.2")</f>
        <v>4.2</v>
      </c>
      <c r="G2816" s="4" t="str">
        <f>HYPERLINK("http://141.218.60.56/~jnz1568/getInfo.php?workbook=12_04.xlsx&amp;sheet=U0&amp;row=2816&amp;col=7&amp;number=0.00136&amp;sourceID=14","0.00136")</f>
        <v>0.00136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HYPERLINK("http://141.218.60.56/~jnz1568/getInfo.php?workbook=12_04.xlsx&amp;sheet=U0&amp;row=2817&amp;col=6&amp;number=4.3&amp;sourceID=14","4.3")</f>
        <v>4.3</v>
      </c>
      <c r="G2817" s="4" t="str">
        <f>HYPERLINK("http://141.218.60.56/~jnz1568/getInfo.php?workbook=12_04.xlsx&amp;sheet=U0&amp;row=2817&amp;col=7&amp;number=0.00138&amp;sourceID=14","0.00138")</f>
        <v>0.00138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HYPERLINK("http://141.218.60.56/~jnz1568/getInfo.php?workbook=12_04.xlsx&amp;sheet=U0&amp;row=2818&amp;col=6&amp;number=4.4&amp;sourceID=14","4.4")</f>
        <v>4.4</v>
      </c>
      <c r="G2818" s="4" t="str">
        <f>HYPERLINK("http://141.218.60.56/~jnz1568/getInfo.php?workbook=12_04.xlsx&amp;sheet=U0&amp;row=2818&amp;col=7&amp;number=0.0014&amp;sourceID=14","0.0014")</f>
        <v>0.0014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HYPERLINK("http://141.218.60.56/~jnz1568/getInfo.php?workbook=12_04.xlsx&amp;sheet=U0&amp;row=2819&amp;col=6&amp;number=4.5&amp;sourceID=14","4.5")</f>
        <v>4.5</v>
      </c>
      <c r="G2819" s="4" t="str">
        <f>HYPERLINK("http://141.218.60.56/~jnz1568/getInfo.php?workbook=12_04.xlsx&amp;sheet=U0&amp;row=2819&amp;col=7&amp;number=0.00142&amp;sourceID=14","0.00142")</f>
        <v>0.00142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HYPERLINK("http://141.218.60.56/~jnz1568/getInfo.php?workbook=12_04.xlsx&amp;sheet=U0&amp;row=2820&amp;col=6&amp;number=4.6&amp;sourceID=14","4.6")</f>
        <v>4.6</v>
      </c>
      <c r="G2820" s="4" t="str">
        <f>HYPERLINK("http://141.218.60.56/~jnz1568/getInfo.php?workbook=12_04.xlsx&amp;sheet=U0&amp;row=2820&amp;col=7&amp;number=0.00146&amp;sourceID=14","0.00146")</f>
        <v>0.00146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HYPERLINK("http://141.218.60.56/~jnz1568/getInfo.php?workbook=12_04.xlsx&amp;sheet=U0&amp;row=2821&amp;col=6&amp;number=4.7&amp;sourceID=14","4.7")</f>
        <v>4.7</v>
      </c>
      <c r="G2821" s="4" t="str">
        <f>HYPERLINK("http://141.218.60.56/~jnz1568/getInfo.php?workbook=12_04.xlsx&amp;sheet=U0&amp;row=2821&amp;col=7&amp;number=0.0015&amp;sourceID=14","0.0015")</f>
        <v>0.0015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HYPERLINK("http://141.218.60.56/~jnz1568/getInfo.php?workbook=12_04.xlsx&amp;sheet=U0&amp;row=2822&amp;col=6&amp;number=4.8&amp;sourceID=14","4.8")</f>
        <v>4.8</v>
      </c>
      <c r="G2822" s="4" t="str">
        <f>HYPERLINK("http://141.218.60.56/~jnz1568/getInfo.php?workbook=12_04.xlsx&amp;sheet=U0&amp;row=2822&amp;col=7&amp;number=0.00155&amp;sourceID=14","0.00155")</f>
        <v>0.00155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HYPERLINK("http://141.218.60.56/~jnz1568/getInfo.php?workbook=12_04.xlsx&amp;sheet=U0&amp;row=2823&amp;col=6&amp;number=4.9&amp;sourceID=14","4.9")</f>
        <v>4.9</v>
      </c>
      <c r="G2823" s="4" t="str">
        <f>HYPERLINK("http://141.218.60.56/~jnz1568/getInfo.php?workbook=12_04.xlsx&amp;sheet=U0&amp;row=2823&amp;col=7&amp;number=0.0016&amp;sourceID=14","0.0016")</f>
        <v>0.0016</v>
      </c>
    </row>
    <row r="2824" spans="1:7">
      <c r="A2824" s="3">
        <v>12</v>
      </c>
      <c r="B2824" s="3">
        <v>4</v>
      </c>
      <c r="C2824" s="3">
        <v>2</v>
      </c>
      <c r="D2824" s="3">
        <v>47</v>
      </c>
      <c r="E2824" s="3">
        <v>1</v>
      </c>
      <c r="F2824" s="4" t="str">
        <f>HYPERLINK("http://141.218.60.56/~jnz1568/getInfo.php?workbook=12_04.xlsx&amp;sheet=U0&amp;row=2824&amp;col=6&amp;number=3&amp;sourceID=14","3")</f>
        <v>3</v>
      </c>
      <c r="G2824" s="4" t="str">
        <f>HYPERLINK("http://141.218.60.56/~jnz1568/getInfo.php?workbook=12_04.xlsx&amp;sheet=U0&amp;row=2824&amp;col=7&amp;number=0.0185&amp;sourceID=14","0.0185")</f>
        <v>0.0185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HYPERLINK("http://141.218.60.56/~jnz1568/getInfo.php?workbook=12_04.xlsx&amp;sheet=U0&amp;row=2825&amp;col=6&amp;number=3.1&amp;sourceID=14","3.1")</f>
        <v>3.1</v>
      </c>
      <c r="G2825" s="4" t="str">
        <f>HYPERLINK("http://141.218.60.56/~jnz1568/getInfo.php?workbook=12_04.xlsx&amp;sheet=U0&amp;row=2825&amp;col=7&amp;number=0.0185&amp;sourceID=14","0.0185")</f>
        <v>0.0185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HYPERLINK("http://141.218.60.56/~jnz1568/getInfo.php?workbook=12_04.xlsx&amp;sheet=U0&amp;row=2826&amp;col=6&amp;number=3.2&amp;sourceID=14","3.2")</f>
        <v>3.2</v>
      </c>
      <c r="G2826" s="4" t="str">
        <f>HYPERLINK("http://141.218.60.56/~jnz1568/getInfo.php?workbook=12_04.xlsx&amp;sheet=U0&amp;row=2826&amp;col=7&amp;number=0.0185&amp;sourceID=14","0.0185")</f>
        <v>0.0185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HYPERLINK("http://141.218.60.56/~jnz1568/getInfo.php?workbook=12_04.xlsx&amp;sheet=U0&amp;row=2827&amp;col=6&amp;number=3.3&amp;sourceID=14","3.3")</f>
        <v>3.3</v>
      </c>
      <c r="G2827" s="4" t="str">
        <f>HYPERLINK("http://141.218.60.56/~jnz1568/getInfo.php?workbook=12_04.xlsx&amp;sheet=U0&amp;row=2827&amp;col=7&amp;number=0.0184&amp;sourceID=14","0.0184")</f>
        <v>0.0184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HYPERLINK("http://141.218.60.56/~jnz1568/getInfo.php?workbook=12_04.xlsx&amp;sheet=U0&amp;row=2828&amp;col=6&amp;number=3.4&amp;sourceID=14","3.4")</f>
        <v>3.4</v>
      </c>
      <c r="G2828" s="4" t="str">
        <f>HYPERLINK("http://141.218.60.56/~jnz1568/getInfo.php?workbook=12_04.xlsx&amp;sheet=U0&amp;row=2828&amp;col=7&amp;number=0.0184&amp;sourceID=14","0.0184")</f>
        <v>0.0184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HYPERLINK("http://141.218.60.56/~jnz1568/getInfo.php?workbook=12_04.xlsx&amp;sheet=U0&amp;row=2829&amp;col=6&amp;number=3.5&amp;sourceID=14","3.5")</f>
        <v>3.5</v>
      </c>
      <c r="G2829" s="4" t="str">
        <f>HYPERLINK("http://141.218.60.56/~jnz1568/getInfo.php?workbook=12_04.xlsx&amp;sheet=U0&amp;row=2829&amp;col=7&amp;number=0.0183&amp;sourceID=14","0.0183")</f>
        <v>0.0183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HYPERLINK("http://141.218.60.56/~jnz1568/getInfo.php?workbook=12_04.xlsx&amp;sheet=U0&amp;row=2830&amp;col=6&amp;number=3.6&amp;sourceID=14","3.6")</f>
        <v>3.6</v>
      </c>
      <c r="G2830" s="4" t="str">
        <f>HYPERLINK("http://141.218.60.56/~jnz1568/getInfo.php?workbook=12_04.xlsx&amp;sheet=U0&amp;row=2830&amp;col=7&amp;number=0.0183&amp;sourceID=14","0.0183")</f>
        <v>0.0183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HYPERLINK("http://141.218.60.56/~jnz1568/getInfo.php?workbook=12_04.xlsx&amp;sheet=U0&amp;row=2831&amp;col=6&amp;number=3.7&amp;sourceID=14","3.7")</f>
        <v>3.7</v>
      </c>
      <c r="G2831" s="4" t="str">
        <f>HYPERLINK("http://141.218.60.56/~jnz1568/getInfo.php?workbook=12_04.xlsx&amp;sheet=U0&amp;row=2831&amp;col=7&amp;number=0.0182&amp;sourceID=14","0.0182")</f>
        <v>0.0182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HYPERLINK("http://141.218.60.56/~jnz1568/getInfo.php?workbook=12_04.xlsx&amp;sheet=U0&amp;row=2832&amp;col=6&amp;number=3.8&amp;sourceID=14","3.8")</f>
        <v>3.8</v>
      </c>
      <c r="G2832" s="4" t="str">
        <f>HYPERLINK("http://141.218.60.56/~jnz1568/getInfo.php?workbook=12_04.xlsx&amp;sheet=U0&amp;row=2832&amp;col=7&amp;number=0.0181&amp;sourceID=14","0.0181")</f>
        <v>0.0181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HYPERLINK("http://141.218.60.56/~jnz1568/getInfo.php?workbook=12_04.xlsx&amp;sheet=U0&amp;row=2833&amp;col=6&amp;number=3.9&amp;sourceID=14","3.9")</f>
        <v>3.9</v>
      </c>
      <c r="G2833" s="4" t="str">
        <f>HYPERLINK("http://141.218.60.56/~jnz1568/getInfo.php?workbook=12_04.xlsx&amp;sheet=U0&amp;row=2833&amp;col=7&amp;number=0.0179&amp;sourceID=14","0.0179")</f>
        <v>0.0179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HYPERLINK("http://141.218.60.56/~jnz1568/getInfo.php?workbook=12_04.xlsx&amp;sheet=U0&amp;row=2834&amp;col=6&amp;number=4&amp;sourceID=14","4")</f>
        <v>4</v>
      </c>
      <c r="G2834" s="4" t="str">
        <f>HYPERLINK("http://141.218.60.56/~jnz1568/getInfo.php?workbook=12_04.xlsx&amp;sheet=U0&amp;row=2834&amp;col=7&amp;number=0.0177&amp;sourceID=14","0.0177")</f>
        <v>0.0177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HYPERLINK("http://141.218.60.56/~jnz1568/getInfo.php?workbook=12_04.xlsx&amp;sheet=U0&amp;row=2835&amp;col=6&amp;number=4.1&amp;sourceID=14","4.1")</f>
        <v>4.1</v>
      </c>
      <c r="G2835" s="4" t="str">
        <f>HYPERLINK("http://141.218.60.56/~jnz1568/getInfo.php?workbook=12_04.xlsx&amp;sheet=U0&amp;row=2835&amp;col=7&amp;number=0.0175&amp;sourceID=14","0.0175")</f>
        <v>0.0175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HYPERLINK("http://141.218.60.56/~jnz1568/getInfo.php?workbook=12_04.xlsx&amp;sheet=U0&amp;row=2836&amp;col=6&amp;number=4.2&amp;sourceID=14","4.2")</f>
        <v>4.2</v>
      </c>
      <c r="G2836" s="4" t="str">
        <f>HYPERLINK("http://141.218.60.56/~jnz1568/getInfo.php?workbook=12_04.xlsx&amp;sheet=U0&amp;row=2836&amp;col=7&amp;number=0.0172&amp;sourceID=14","0.0172")</f>
        <v>0.0172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HYPERLINK("http://141.218.60.56/~jnz1568/getInfo.php?workbook=12_04.xlsx&amp;sheet=U0&amp;row=2837&amp;col=6&amp;number=4.3&amp;sourceID=14","4.3")</f>
        <v>4.3</v>
      </c>
      <c r="G2837" s="4" t="str">
        <f>HYPERLINK("http://141.218.60.56/~jnz1568/getInfo.php?workbook=12_04.xlsx&amp;sheet=U0&amp;row=2837&amp;col=7&amp;number=0.0169&amp;sourceID=14","0.0169")</f>
        <v>0.0169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HYPERLINK("http://141.218.60.56/~jnz1568/getInfo.php?workbook=12_04.xlsx&amp;sheet=U0&amp;row=2838&amp;col=6&amp;number=4.4&amp;sourceID=14","4.4")</f>
        <v>4.4</v>
      </c>
      <c r="G2838" s="4" t="str">
        <f>HYPERLINK("http://141.218.60.56/~jnz1568/getInfo.php?workbook=12_04.xlsx&amp;sheet=U0&amp;row=2838&amp;col=7&amp;number=0.0164&amp;sourceID=14","0.0164")</f>
        <v>0.0164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HYPERLINK("http://141.218.60.56/~jnz1568/getInfo.php?workbook=12_04.xlsx&amp;sheet=U0&amp;row=2839&amp;col=6&amp;number=4.5&amp;sourceID=14","4.5")</f>
        <v>4.5</v>
      </c>
      <c r="G2839" s="4" t="str">
        <f>HYPERLINK("http://141.218.60.56/~jnz1568/getInfo.php?workbook=12_04.xlsx&amp;sheet=U0&amp;row=2839&amp;col=7&amp;number=0.0159&amp;sourceID=14","0.0159")</f>
        <v>0.0159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HYPERLINK("http://141.218.60.56/~jnz1568/getInfo.php?workbook=12_04.xlsx&amp;sheet=U0&amp;row=2840&amp;col=6&amp;number=4.6&amp;sourceID=14","4.6")</f>
        <v>4.6</v>
      </c>
      <c r="G2840" s="4" t="str">
        <f>HYPERLINK("http://141.218.60.56/~jnz1568/getInfo.php?workbook=12_04.xlsx&amp;sheet=U0&amp;row=2840&amp;col=7&amp;number=0.0152&amp;sourceID=14","0.0152")</f>
        <v>0.0152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HYPERLINK("http://141.218.60.56/~jnz1568/getInfo.php?workbook=12_04.xlsx&amp;sheet=U0&amp;row=2841&amp;col=6&amp;number=4.7&amp;sourceID=14","4.7")</f>
        <v>4.7</v>
      </c>
      <c r="G2841" s="4" t="str">
        <f>HYPERLINK("http://141.218.60.56/~jnz1568/getInfo.php?workbook=12_04.xlsx&amp;sheet=U0&amp;row=2841&amp;col=7&amp;number=0.0144&amp;sourceID=14","0.0144")</f>
        <v>0.0144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HYPERLINK("http://141.218.60.56/~jnz1568/getInfo.php?workbook=12_04.xlsx&amp;sheet=U0&amp;row=2842&amp;col=6&amp;number=4.8&amp;sourceID=14","4.8")</f>
        <v>4.8</v>
      </c>
      <c r="G2842" s="4" t="str">
        <f>HYPERLINK("http://141.218.60.56/~jnz1568/getInfo.php?workbook=12_04.xlsx&amp;sheet=U0&amp;row=2842&amp;col=7&amp;number=0.0134&amp;sourceID=14","0.0134")</f>
        <v>0.0134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HYPERLINK("http://141.218.60.56/~jnz1568/getInfo.php?workbook=12_04.xlsx&amp;sheet=U0&amp;row=2843&amp;col=6&amp;number=4.9&amp;sourceID=14","4.9")</f>
        <v>4.9</v>
      </c>
      <c r="G2843" s="4" t="str">
        <f>HYPERLINK("http://141.218.60.56/~jnz1568/getInfo.php?workbook=12_04.xlsx&amp;sheet=U0&amp;row=2843&amp;col=7&amp;number=0.0121&amp;sourceID=14","0.0121")</f>
        <v>0.0121</v>
      </c>
    </row>
    <row r="2844" spans="1:7">
      <c r="A2844" s="3">
        <v>12</v>
      </c>
      <c r="B2844" s="3">
        <v>4</v>
      </c>
      <c r="C2844" s="3">
        <v>2</v>
      </c>
      <c r="D2844" s="3">
        <v>48</v>
      </c>
      <c r="E2844" s="3">
        <v>1</v>
      </c>
      <c r="F2844" s="4" t="str">
        <f>HYPERLINK("http://141.218.60.56/~jnz1568/getInfo.php?workbook=12_04.xlsx&amp;sheet=U0&amp;row=2844&amp;col=6&amp;number=3&amp;sourceID=14","3")</f>
        <v>3</v>
      </c>
      <c r="G2844" s="4" t="str">
        <f>HYPERLINK("http://141.218.60.56/~jnz1568/getInfo.php?workbook=12_04.xlsx&amp;sheet=U0&amp;row=2844&amp;col=7&amp;number=0.00359&amp;sourceID=14","0.00359")</f>
        <v>0.00359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HYPERLINK("http://141.218.60.56/~jnz1568/getInfo.php?workbook=12_04.xlsx&amp;sheet=U0&amp;row=2845&amp;col=6&amp;number=3.1&amp;sourceID=14","3.1")</f>
        <v>3.1</v>
      </c>
      <c r="G2845" s="4" t="str">
        <f>HYPERLINK("http://141.218.60.56/~jnz1568/getInfo.php?workbook=12_04.xlsx&amp;sheet=U0&amp;row=2845&amp;col=7&amp;number=0.00359&amp;sourceID=14","0.00359")</f>
        <v>0.00359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HYPERLINK("http://141.218.60.56/~jnz1568/getInfo.php?workbook=12_04.xlsx&amp;sheet=U0&amp;row=2846&amp;col=6&amp;number=3.2&amp;sourceID=14","3.2")</f>
        <v>3.2</v>
      </c>
      <c r="G2846" s="4" t="str">
        <f>HYPERLINK("http://141.218.60.56/~jnz1568/getInfo.php?workbook=12_04.xlsx&amp;sheet=U0&amp;row=2846&amp;col=7&amp;number=0.00358&amp;sourceID=14","0.00358")</f>
        <v>0.00358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HYPERLINK("http://141.218.60.56/~jnz1568/getInfo.php?workbook=12_04.xlsx&amp;sheet=U0&amp;row=2847&amp;col=6&amp;number=3.3&amp;sourceID=14","3.3")</f>
        <v>3.3</v>
      </c>
      <c r="G2847" s="4" t="str">
        <f>HYPERLINK("http://141.218.60.56/~jnz1568/getInfo.php?workbook=12_04.xlsx&amp;sheet=U0&amp;row=2847&amp;col=7&amp;number=0.00357&amp;sourceID=14","0.00357")</f>
        <v>0.00357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HYPERLINK("http://141.218.60.56/~jnz1568/getInfo.php?workbook=12_04.xlsx&amp;sheet=U0&amp;row=2848&amp;col=6&amp;number=3.4&amp;sourceID=14","3.4")</f>
        <v>3.4</v>
      </c>
      <c r="G2848" s="4" t="str">
        <f>HYPERLINK("http://141.218.60.56/~jnz1568/getInfo.php?workbook=12_04.xlsx&amp;sheet=U0&amp;row=2848&amp;col=7&amp;number=0.00356&amp;sourceID=14","0.00356")</f>
        <v>0.00356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HYPERLINK("http://141.218.60.56/~jnz1568/getInfo.php?workbook=12_04.xlsx&amp;sheet=U0&amp;row=2849&amp;col=6&amp;number=3.5&amp;sourceID=14","3.5")</f>
        <v>3.5</v>
      </c>
      <c r="G2849" s="4" t="str">
        <f>HYPERLINK("http://141.218.60.56/~jnz1568/getInfo.php?workbook=12_04.xlsx&amp;sheet=U0&amp;row=2849&amp;col=7&amp;number=0.00355&amp;sourceID=14","0.00355")</f>
        <v>0.00355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HYPERLINK("http://141.218.60.56/~jnz1568/getInfo.php?workbook=12_04.xlsx&amp;sheet=U0&amp;row=2850&amp;col=6&amp;number=3.6&amp;sourceID=14","3.6")</f>
        <v>3.6</v>
      </c>
      <c r="G2850" s="4" t="str">
        <f>HYPERLINK("http://141.218.60.56/~jnz1568/getInfo.php?workbook=12_04.xlsx&amp;sheet=U0&amp;row=2850&amp;col=7&amp;number=0.00353&amp;sourceID=14","0.00353")</f>
        <v>0.00353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HYPERLINK("http://141.218.60.56/~jnz1568/getInfo.php?workbook=12_04.xlsx&amp;sheet=U0&amp;row=2851&amp;col=6&amp;number=3.7&amp;sourceID=14","3.7")</f>
        <v>3.7</v>
      </c>
      <c r="G2851" s="4" t="str">
        <f>HYPERLINK("http://141.218.60.56/~jnz1568/getInfo.php?workbook=12_04.xlsx&amp;sheet=U0&amp;row=2851&amp;col=7&amp;number=0.0035&amp;sourceID=14","0.0035")</f>
        <v>0.0035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HYPERLINK("http://141.218.60.56/~jnz1568/getInfo.php?workbook=12_04.xlsx&amp;sheet=U0&amp;row=2852&amp;col=6&amp;number=3.8&amp;sourceID=14","3.8")</f>
        <v>3.8</v>
      </c>
      <c r="G2852" s="4" t="str">
        <f>HYPERLINK("http://141.218.60.56/~jnz1568/getInfo.php?workbook=12_04.xlsx&amp;sheet=U0&amp;row=2852&amp;col=7&amp;number=0.00348&amp;sourceID=14","0.00348")</f>
        <v>0.00348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HYPERLINK("http://141.218.60.56/~jnz1568/getInfo.php?workbook=12_04.xlsx&amp;sheet=U0&amp;row=2853&amp;col=6&amp;number=3.9&amp;sourceID=14","3.9")</f>
        <v>3.9</v>
      </c>
      <c r="G2853" s="4" t="str">
        <f>HYPERLINK("http://141.218.60.56/~jnz1568/getInfo.php?workbook=12_04.xlsx&amp;sheet=U0&amp;row=2853&amp;col=7&amp;number=0.00344&amp;sourceID=14","0.00344")</f>
        <v>0.00344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HYPERLINK("http://141.218.60.56/~jnz1568/getInfo.php?workbook=12_04.xlsx&amp;sheet=U0&amp;row=2854&amp;col=6&amp;number=4&amp;sourceID=14","4")</f>
        <v>4</v>
      </c>
      <c r="G2854" s="4" t="str">
        <f>HYPERLINK("http://141.218.60.56/~jnz1568/getInfo.php?workbook=12_04.xlsx&amp;sheet=U0&amp;row=2854&amp;col=7&amp;number=0.0034&amp;sourceID=14","0.0034")</f>
        <v>0.0034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HYPERLINK("http://141.218.60.56/~jnz1568/getInfo.php?workbook=12_04.xlsx&amp;sheet=U0&amp;row=2855&amp;col=6&amp;number=4.1&amp;sourceID=14","4.1")</f>
        <v>4.1</v>
      </c>
      <c r="G2855" s="4" t="str">
        <f>HYPERLINK("http://141.218.60.56/~jnz1568/getInfo.php?workbook=12_04.xlsx&amp;sheet=U0&amp;row=2855&amp;col=7&amp;number=0.00334&amp;sourceID=14","0.00334")</f>
        <v>0.00334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HYPERLINK("http://141.218.60.56/~jnz1568/getInfo.php?workbook=12_04.xlsx&amp;sheet=U0&amp;row=2856&amp;col=6&amp;number=4.2&amp;sourceID=14","4.2")</f>
        <v>4.2</v>
      </c>
      <c r="G2856" s="4" t="str">
        <f>HYPERLINK("http://141.218.60.56/~jnz1568/getInfo.php?workbook=12_04.xlsx&amp;sheet=U0&amp;row=2856&amp;col=7&amp;number=0.00327&amp;sourceID=14","0.00327")</f>
        <v>0.00327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HYPERLINK("http://141.218.60.56/~jnz1568/getInfo.php?workbook=12_04.xlsx&amp;sheet=U0&amp;row=2857&amp;col=6&amp;number=4.3&amp;sourceID=14","4.3")</f>
        <v>4.3</v>
      </c>
      <c r="G2857" s="4" t="str">
        <f>HYPERLINK("http://141.218.60.56/~jnz1568/getInfo.php?workbook=12_04.xlsx&amp;sheet=U0&amp;row=2857&amp;col=7&amp;number=0.00319&amp;sourceID=14","0.00319")</f>
        <v>0.00319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HYPERLINK("http://141.218.60.56/~jnz1568/getInfo.php?workbook=12_04.xlsx&amp;sheet=U0&amp;row=2858&amp;col=6&amp;number=4.4&amp;sourceID=14","4.4")</f>
        <v>4.4</v>
      </c>
      <c r="G2858" s="4" t="str">
        <f>HYPERLINK("http://141.218.60.56/~jnz1568/getInfo.php?workbook=12_04.xlsx&amp;sheet=U0&amp;row=2858&amp;col=7&amp;number=0.00308&amp;sourceID=14","0.00308")</f>
        <v>0.00308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HYPERLINK("http://141.218.60.56/~jnz1568/getInfo.php?workbook=12_04.xlsx&amp;sheet=U0&amp;row=2859&amp;col=6&amp;number=4.5&amp;sourceID=14","4.5")</f>
        <v>4.5</v>
      </c>
      <c r="G2859" s="4" t="str">
        <f>HYPERLINK("http://141.218.60.56/~jnz1568/getInfo.php?workbook=12_04.xlsx&amp;sheet=U0&amp;row=2859&amp;col=7&amp;number=0.00295&amp;sourceID=14","0.00295")</f>
        <v>0.00295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HYPERLINK("http://141.218.60.56/~jnz1568/getInfo.php?workbook=12_04.xlsx&amp;sheet=U0&amp;row=2860&amp;col=6&amp;number=4.6&amp;sourceID=14","4.6")</f>
        <v>4.6</v>
      </c>
      <c r="G2860" s="4" t="str">
        <f>HYPERLINK("http://141.218.60.56/~jnz1568/getInfo.php?workbook=12_04.xlsx&amp;sheet=U0&amp;row=2860&amp;col=7&amp;number=0.00279&amp;sourceID=14","0.00279")</f>
        <v>0.00279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HYPERLINK("http://141.218.60.56/~jnz1568/getInfo.php?workbook=12_04.xlsx&amp;sheet=U0&amp;row=2861&amp;col=6&amp;number=4.7&amp;sourceID=14","4.7")</f>
        <v>4.7</v>
      </c>
      <c r="G2861" s="4" t="str">
        <f>HYPERLINK("http://141.218.60.56/~jnz1568/getInfo.php?workbook=12_04.xlsx&amp;sheet=U0&amp;row=2861&amp;col=7&amp;number=0.00259&amp;sourceID=14","0.00259")</f>
        <v>0.00259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HYPERLINK("http://141.218.60.56/~jnz1568/getInfo.php?workbook=12_04.xlsx&amp;sheet=U0&amp;row=2862&amp;col=6&amp;number=4.8&amp;sourceID=14","4.8")</f>
        <v>4.8</v>
      </c>
      <c r="G2862" s="4" t="str">
        <f>HYPERLINK("http://141.218.60.56/~jnz1568/getInfo.php?workbook=12_04.xlsx&amp;sheet=U0&amp;row=2862&amp;col=7&amp;number=0.00236&amp;sourceID=14","0.00236")</f>
        <v>0.00236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HYPERLINK("http://141.218.60.56/~jnz1568/getInfo.php?workbook=12_04.xlsx&amp;sheet=U0&amp;row=2863&amp;col=6&amp;number=4.9&amp;sourceID=14","4.9")</f>
        <v>4.9</v>
      </c>
      <c r="G2863" s="4" t="str">
        <f>HYPERLINK("http://141.218.60.56/~jnz1568/getInfo.php?workbook=12_04.xlsx&amp;sheet=U0&amp;row=2863&amp;col=7&amp;number=0.00209&amp;sourceID=14","0.00209")</f>
        <v>0.00209</v>
      </c>
    </row>
    <row r="2864" spans="1:7">
      <c r="A2864" s="3">
        <v>12</v>
      </c>
      <c r="B2864" s="3">
        <v>4</v>
      </c>
      <c r="C2864" s="3">
        <v>2</v>
      </c>
      <c r="D2864" s="3">
        <v>49</v>
      </c>
      <c r="E2864" s="3">
        <v>1</v>
      </c>
      <c r="F2864" s="4" t="str">
        <f>HYPERLINK("http://141.218.60.56/~jnz1568/getInfo.php?workbook=12_04.xlsx&amp;sheet=U0&amp;row=2864&amp;col=6&amp;number=3&amp;sourceID=14","3")</f>
        <v>3</v>
      </c>
      <c r="G2864" s="4" t="str">
        <f>HYPERLINK("http://141.218.60.56/~jnz1568/getInfo.php?workbook=12_04.xlsx&amp;sheet=U0&amp;row=2864&amp;col=7&amp;number=0.0153&amp;sourceID=14","0.0153")</f>
        <v>0.0153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HYPERLINK("http://141.218.60.56/~jnz1568/getInfo.php?workbook=12_04.xlsx&amp;sheet=U0&amp;row=2865&amp;col=6&amp;number=3.1&amp;sourceID=14","3.1")</f>
        <v>3.1</v>
      </c>
      <c r="G2865" s="4" t="str">
        <f>HYPERLINK("http://141.218.60.56/~jnz1568/getInfo.php?workbook=12_04.xlsx&amp;sheet=U0&amp;row=2865&amp;col=7&amp;number=0.0153&amp;sourceID=14","0.0153")</f>
        <v>0.0153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HYPERLINK("http://141.218.60.56/~jnz1568/getInfo.php?workbook=12_04.xlsx&amp;sheet=U0&amp;row=2866&amp;col=6&amp;number=3.2&amp;sourceID=14","3.2")</f>
        <v>3.2</v>
      </c>
      <c r="G2866" s="4" t="str">
        <f>HYPERLINK("http://141.218.60.56/~jnz1568/getInfo.php?workbook=12_04.xlsx&amp;sheet=U0&amp;row=2866&amp;col=7&amp;number=0.0152&amp;sourceID=14","0.0152")</f>
        <v>0.0152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HYPERLINK("http://141.218.60.56/~jnz1568/getInfo.php?workbook=12_04.xlsx&amp;sheet=U0&amp;row=2867&amp;col=6&amp;number=3.3&amp;sourceID=14","3.3")</f>
        <v>3.3</v>
      </c>
      <c r="G2867" s="4" t="str">
        <f>HYPERLINK("http://141.218.60.56/~jnz1568/getInfo.php?workbook=12_04.xlsx&amp;sheet=U0&amp;row=2867&amp;col=7&amp;number=0.0152&amp;sourceID=14","0.0152")</f>
        <v>0.0152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HYPERLINK("http://141.218.60.56/~jnz1568/getInfo.php?workbook=12_04.xlsx&amp;sheet=U0&amp;row=2868&amp;col=6&amp;number=3.4&amp;sourceID=14","3.4")</f>
        <v>3.4</v>
      </c>
      <c r="G2868" s="4" t="str">
        <f>HYPERLINK("http://141.218.60.56/~jnz1568/getInfo.php?workbook=12_04.xlsx&amp;sheet=U0&amp;row=2868&amp;col=7&amp;number=0.0152&amp;sourceID=14","0.0152")</f>
        <v>0.0152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HYPERLINK("http://141.218.60.56/~jnz1568/getInfo.php?workbook=12_04.xlsx&amp;sheet=U0&amp;row=2869&amp;col=6&amp;number=3.5&amp;sourceID=14","3.5")</f>
        <v>3.5</v>
      </c>
      <c r="G2869" s="4" t="str">
        <f>HYPERLINK("http://141.218.60.56/~jnz1568/getInfo.php?workbook=12_04.xlsx&amp;sheet=U0&amp;row=2869&amp;col=7&amp;number=0.0151&amp;sourceID=14","0.0151")</f>
        <v>0.0151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HYPERLINK("http://141.218.60.56/~jnz1568/getInfo.php?workbook=12_04.xlsx&amp;sheet=U0&amp;row=2870&amp;col=6&amp;number=3.6&amp;sourceID=14","3.6")</f>
        <v>3.6</v>
      </c>
      <c r="G2870" s="4" t="str">
        <f>HYPERLINK("http://141.218.60.56/~jnz1568/getInfo.php?workbook=12_04.xlsx&amp;sheet=U0&amp;row=2870&amp;col=7&amp;number=0.015&amp;sourceID=14","0.015")</f>
        <v>0.015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HYPERLINK("http://141.218.60.56/~jnz1568/getInfo.php?workbook=12_04.xlsx&amp;sheet=U0&amp;row=2871&amp;col=6&amp;number=3.7&amp;sourceID=14","3.7")</f>
        <v>3.7</v>
      </c>
      <c r="G2871" s="4" t="str">
        <f>HYPERLINK("http://141.218.60.56/~jnz1568/getInfo.php?workbook=12_04.xlsx&amp;sheet=U0&amp;row=2871&amp;col=7&amp;number=0.0149&amp;sourceID=14","0.0149")</f>
        <v>0.0149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HYPERLINK("http://141.218.60.56/~jnz1568/getInfo.php?workbook=12_04.xlsx&amp;sheet=U0&amp;row=2872&amp;col=6&amp;number=3.8&amp;sourceID=14","3.8")</f>
        <v>3.8</v>
      </c>
      <c r="G2872" s="4" t="str">
        <f>HYPERLINK("http://141.218.60.56/~jnz1568/getInfo.php?workbook=12_04.xlsx&amp;sheet=U0&amp;row=2872&amp;col=7&amp;number=0.0148&amp;sourceID=14","0.0148")</f>
        <v>0.0148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HYPERLINK("http://141.218.60.56/~jnz1568/getInfo.php?workbook=12_04.xlsx&amp;sheet=U0&amp;row=2873&amp;col=6&amp;number=3.9&amp;sourceID=14","3.9")</f>
        <v>3.9</v>
      </c>
      <c r="G2873" s="4" t="str">
        <f>HYPERLINK("http://141.218.60.56/~jnz1568/getInfo.php?workbook=12_04.xlsx&amp;sheet=U0&amp;row=2873&amp;col=7&amp;number=0.0147&amp;sourceID=14","0.0147")</f>
        <v>0.0147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HYPERLINK("http://141.218.60.56/~jnz1568/getInfo.php?workbook=12_04.xlsx&amp;sheet=U0&amp;row=2874&amp;col=6&amp;number=4&amp;sourceID=14","4")</f>
        <v>4</v>
      </c>
      <c r="G2874" s="4" t="str">
        <f>HYPERLINK("http://141.218.60.56/~jnz1568/getInfo.php?workbook=12_04.xlsx&amp;sheet=U0&amp;row=2874&amp;col=7&amp;number=0.0145&amp;sourceID=14","0.0145")</f>
        <v>0.0145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HYPERLINK("http://141.218.60.56/~jnz1568/getInfo.php?workbook=12_04.xlsx&amp;sheet=U0&amp;row=2875&amp;col=6&amp;number=4.1&amp;sourceID=14","4.1")</f>
        <v>4.1</v>
      </c>
      <c r="G2875" s="4" t="str">
        <f>HYPERLINK("http://141.218.60.56/~jnz1568/getInfo.php?workbook=12_04.xlsx&amp;sheet=U0&amp;row=2875&amp;col=7&amp;number=0.0143&amp;sourceID=14","0.0143")</f>
        <v>0.0143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HYPERLINK("http://141.218.60.56/~jnz1568/getInfo.php?workbook=12_04.xlsx&amp;sheet=U0&amp;row=2876&amp;col=6&amp;number=4.2&amp;sourceID=14","4.2")</f>
        <v>4.2</v>
      </c>
      <c r="G2876" s="4" t="str">
        <f>HYPERLINK("http://141.218.60.56/~jnz1568/getInfo.php?workbook=12_04.xlsx&amp;sheet=U0&amp;row=2876&amp;col=7&amp;number=0.014&amp;sourceID=14","0.014")</f>
        <v>0.014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HYPERLINK("http://141.218.60.56/~jnz1568/getInfo.php?workbook=12_04.xlsx&amp;sheet=U0&amp;row=2877&amp;col=6&amp;number=4.3&amp;sourceID=14","4.3")</f>
        <v>4.3</v>
      </c>
      <c r="G2877" s="4" t="str">
        <f>HYPERLINK("http://141.218.60.56/~jnz1568/getInfo.php?workbook=12_04.xlsx&amp;sheet=U0&amp;row=2877&amp;col=7&amp;number=0.0137&amp;sourceID=14","0.0137")</f>
        <v>0.0137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HYPERLINK("http://141.218.60.56/~jnz1568/getInfo.php?workbook=12_04.xlsx&amp;sheet=U0&amp;row=2878&amp;col=6&amp;number=4.4&amp;sourceID=14","4.4")</f>
        <v>4.4</v>
      </c>
      <c r="G2878" s="4" t="str">
        <f>HYPERLINK("http://141.218.60.56/~jnz1568/getInfo.php?workbook=12_04.xlsx&amp;sheet=U0&amp;row=2878&amp;col=7&amp;number=0.0132&amp;sourceID=14","0.0132")</f>
        <v>0.0132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HYPERLINK("http://141.218.60.56/~jnz1568/getInfo.php?workbook=12_04.xlsx&amp;sheet=U0&amp;row=2879&amp;col=6&amp;number=4.5&amp;sourceID=14","4.5")</f>
        <v>4.5</v>
      </c>
      <c r="G2879" s="4" t="str">
        <f>HYPERLINK("http://141.218.60.56/~jnz1568/getInfo.php?workbook=12_04.xlsx&amp;sheet=U0&amp;row=2879&amp;col=7&amp;number=0.0127&amp;sourceID=14","0.0127")</f>
        <v>0.0127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HYPERLINK("http://141.218.60.56/~jnz1568/getInfo.php?workbook=12_04.xlsx&amp;sheet=U0&amp;row=2880&amp;col=6&amp;number=4.6&amp;sourceID=14","4.6")</f>
        <v>4.6</v>
      </c>
      <c r="G2880" s="4" t="str">
        <f>HYPERLINK("http://141.218.60.56/~jnz1568/getInfo.php?workbook=12_04.xlsx&amp;sheet=U0&amp;row=2880&amp;col=7&amp;number=0.0122&amp;sourceID=14","0.0122")</f>
        <v>0.0122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HYPERLINK("http://141.218.60.56/~jnz1568/getInfo.php?workbook=12_04.xlsx&amp;sheet=U0&amp;row=2881&amp;col=6&amp;number=4.7&amp;sourceID=14","4.7")</f>
        <v>4.7</v>
      </c>
      <c r="G2881" s="4" t="str">
        <f>HYPERLINK("http://141.218.60.56/~jnz1568/getInfo.php?workbook=12_04.xlsx&amp;sheet=U0&amp;row=2881&amp;col=7&amp;number=0.0115&amp;sourceID=14","0.0115")</f>
        <v>0.0115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HYPERLINK("http://141.218.60.56/~jnz1568/getInfo.php?workbook=12_04.xlsx&amp;sheet=U0&amp;row=2882&amp;col=6&amp;number=4.8&amp;sourceID=14","4.8")</f>
        <v>4.8</v>
      </c>
      <c r="G2882" s="4" t="str">
        <f>HYPERLINK("http://141.218.60.56/~jnz1568/getInfo.php?workbook=12_04.xlsx&amp;sheet=U0&amp;row=2882&amp;col=7&amp;number=0.0108&amp;sourceID=14","0.0108")</f>
        <v>0.0108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HYPERLINK("http://141.218.60.56/~jnz1568/getInfo.php?workbook=12_04.xlsx&amp;sheet=U0&amp;row=2883&amp;col=6&amp;number=4.9&amp;sourceID=14","4.9")</f>
        <v>4.9</v>
      </c>
      <c r="G2883" s="4" t="str">
        <f>HYPERLINK("http://141.218.60.56/~jnz1568/getInfo.php?workbook=12_04.xlsx&amp;sheet=U0&amp;row=2883&amp;col=7&amp;number=0.0101&amp;sourceID=14","0.0101")</f>
        <v>0.0101</v>
      </c>
    </row>
    <row r="2884" spans="1:7">
      <c r="A2884" s="3">
        <v>12</v>
      </c>
      <c r="B2884" s="3">
        <v>4</v>
      </c>
      <c r="C2884" s="3">
        <v>2</v>
      </c>
      <c r="D2884" s="3">
        <v>50</v>
      </c>
      <c r="E2884" s="3">
        <v>1</v>
      </c>
      <c r="F2884" s="4" t="str">
        <f>HYPERLINK("http://141.218.60.56/~jnz1568/getInfo.php?workbook=12_04.xlsx&amp;sheet=U0&amp;row=2884&amp;col=6&amp;number=3&amp;sourceID=14","3")</f>
        <v>3</v>
      </c>
      <c r="G2884" s="4" t="str">
        <f>HYPERLINK("http://141.218.60.56/~jnz1568/getInfo.php?workbook=12_04.xlsx&amp;sheet=U0&amp;row=2884&amp;col=7&amp;number=0.0107&amp;sourceID=14","0.0107")</f>
        <v>0.0107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HYPERLINK("http://141.218.60.56/~jnz1568/getInfo.php?workbook=12_04.xlsx&amp;sheet=U0&amp;row=2885&amp;col=6&amp;number=3.1&amp;sourceID=14","3.1")</f>
        <v>3.1</v>
      </c>
      <c r="G2885" s="4" t="str">
        <f>HYPERLINK("http://141.218.60.56/~jnz1568/getInfo.php?workbook=12_04.xlsx&amp;sheet=U0&amp;row=2885&amp;col=7&amp;number=0.0106&amp;sourceID=14","0.0106")</f>
        <v>0.0106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HYPERLINK("http://141.218.60.56/~jnz1568/getInfo.php?workbook=12_04.xlsx&amp;sheet=U0&amp;row=2886&amp;col=6&amp;number=3.2&amp;sourceID=14","3.2")</f>
        <v>3.2</v>
      </c>
      <c r="G2886" s="4" t="str">
        <f>HYPERLINK("http://141.218.60.56/~jnz1568/getInfo.php?workbook=12_04.xlsx&amp;sheet=U0&amp;row=2886&amp;col=7&amp;number=0.0106&amp;sourceID=14","0.0106")</f>
        <v>0.0106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HYPERLINK("http://141.218.60.56/~jnz1568/getInfo.php?workbook=12_04.xlsx&amp;sheet=U0&amp;row=2887&amp;col=6&amp;number=3.3&amp;sourceID=14","3.3")</f>
        <v>3.3</v>
      </c>
      <c r="G2887" s="4" t="str">
        <f>HYPERLINK("http://141.218.60.56/~jnz1568/getInfo.php?workbook=12_04.xlsx&amp;sheet=U0&amp;row=2887&amp;col=7&amp;number=0.0106&amp;sourceID=14","0.0106")</f>
        <v>0.0106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HYPERLINK("http://141.218.60.56/~jnz1568/getInfo.php?workbook=12_04.xlsx&amp;sheet=U0&amp;row=2888&amp;col=6&amp;number=3.4&amp;sourceID=14","3.4")</f>
        <v>3.4</v>
      </c>
      <c r="G2888" s="4" t="str">
        <f>HYPERLINK("http://141.218.60.56/~jnz1568/getInfo.php?workbook=12_04.xlsx&amp;sheet=U0&amp;row=2888&amp;col=7&amp;number=0.0106&amp;sourceID=14","0.0106")</f>
        <v>0.0106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HYPERLINK("http://141.218.60.56/~jnz1568/getInfo.php?workbook=12_04.xlsx&amp;sheet=U0&amp;row=2889&amp;col=6&amp;number=3.5&amp;sourceID=14","3.5")</f>
        <v>3.5</v>
      </c>
      <c r="G2889" s="4" t="str">
        <f>HYPERLINK("http://141.218.60.56/~jnz1568/getInfo.php?workbook=12_04.xlsx&amp;sheet=U0&amp;row=2889&amp;col=7&amp;number=0.0105&amp;sourceID=14","0.0105")</f>
        <v>0.0105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HYPERLINK("http://141.218.60.56/~jnz1568/getInfo.php?workbook=12_04.xlsx&amp;sheet=U0&amp;row=2890&amp;col=6&amp;number=3.6&amp;sourceID=14","3.6")</f>
        <v>3.6</v>
      </c>
      <c r="G2890" s="4" t="str">
        <f>HYPERLINK("http://141.218.60.56/~jnz1568/getInfo.php?workbook=12_04.xlsx&amp;sheet=U0&amp;row=2890&amp;col=7&amp;number=0.0105&amp;sourceID=14","0.0105")</f>
        <v>0.0105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HYPERLINK("http://141.218.60.56/~jnz1568/getInfo.php?workbook=12_04.xlsx&amp;sheet=U0&amp;row=2891&amp;col=6&amp;number=3.7&amp;sourceID=14","3.7")</f>
        <v>3.7</v>
      </c>
      <c r="G2891" s="4" t="str">
        <f>HYPERLINK("http://141.218.60.56/~jnz1568/getInfo.php?workbook=12_04.xlsx&amp;sheet=U0&amp;row=2891&amp;col=7&amp;number=0.0104&amp;sourceID=14","0.0104")</f>
        <v>0.0104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HYPERLINK("http://141.218.60.56/~jnz1568/getInfo.php?workbook=12_04.xlsx&amp;sheet=U0&amp;row=2892&amp;col=6&amp;number=3.8&amp;sourceID=14","3.8")</f>
        <v>3.8</v>
      </c>
      <c r="G2892" s="4" t="str">
        <f>HYPERLINK("http://141.218.60.56/~jnz1568/getInfo.php?workbook=12_04.xlsx&amp;sheet=U0&amp;row=2892&amp;col=7&amp;number=0.0103&amp;sourceID=14","0.0103")</f>
        <v>0.0103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HYPERLINK("http://141.218.60.56/~jnz1568/getInfo.php?workbook=12_04.xlsx&amp;sheet=U0&amp;row=2893&amp;col=6&amp;number=3.9&amp;sourceID=14","3.9")</f>
        <v>3.9</v>
      </c>
      <c r="G2893" s="4" t="str">
        <f>HYPERLINK("http://141.218.60.56/~jnz1568/getInfo.php?workbook=12_04.xlsx&amp;sheet=U0&amp;row=2893&amp;col=7&amp;number=0.0103&amp;sourceID=14","0.0103")</f>
        <v>0.0103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HYPERLINK("http://141.218.60.56/~jnz1568/getInfo.php?workbook=12_04.xlsx&amp;sheet=U0&amp;row=2894&amp;col=6&amp;number=4&amp;sourceID=14","4")</f>
        <v>4</v>
      </c>
      <c r="G2894" s="4" t="str">
        <f>HYPERLINK("http://141.218.60.56/~jnz1568/getInfo.php?workbook=12_04.xlsx&amp;sheet=U0&amp;row=2894&amp;col=7&amp;number=0.0101&amp;sourceID=14","0.0101")</f>
        <v>0.0101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HYPERLINK("http://141.218.60.56/~jnz1568/getInfo.php?workbook=12_04.xlsx&amp;sheet=U0&amp;row=2895&amp;col=6&amp;number=4.1&amp;sourceID=14","4.1")</f>
        <v>4.1</v>
      </c>
      <c r="G2895" s="4" t="str">
        <f>HYPERLINK("http://141.218.60.56/~jnz1568/getInfo.php?workbook=12_04.xlsx&amp;sheet=U0&amp;row=2895&amp;col=7&amp;number=0.00999&amp;sourceID=14","0.00999")</f>
        <v>0.00999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HYPERLINK("http://141.218.60.56/~jnz1568/getInfo.php?workbook=12_04.xlsx&amp;sheet=U0&amp;row=2896&amp;col=6&amp;number=4.2&amp;sourceID=14","4.2")</f>
        <v>4.2</v>
      </c>
      <c r="G2896" s="4" t="str">
        <f>HYPERLINK("http://141.218.60.56/~jnz1568/getInfo.php?workbook=12_04.xlsx&amp;sheet=U0&amp;row=2896&amp;col=7&amp;number=0.0098&amp;sourceID=14","0.0098")</f>
        <v>0.0098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HYPERLINK("http://141.218.60.56/~jnz1568/getInfo.php?workbook=12_04.xlsx&amp;sheet=U0&amp;row=2897&amp;col=6&amp;number=4.3&amp;sourceID=14","4.3")</f>
        <v>4.3</v>
      </c>
      <c r="G2897" s="4" t="str">
        <f>HYPERLINK("http://141.218.60.56/~jnz1568/getInfo.php?workbook=12_04.xlsx&amp;sheet=U0&amp;row=2897&amp;col=7&amp;number=0.00957&amp;sourceID=14","0.00957")</f>
        <v>0.00957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HYPERLINK("http://141.218.60.56/~jnz1568/getInfo.php?workbook=12_04.xlsx&amp;sheet=U0&amp;row=2898&amp;col=6&amp;number=4.4&amp;sourceID=14","4.4")</f>
        <v>4.4</v>
      </c>
      <c r="G2898" s="4" t="str">
        <f>HYPERLINK("http://141.218.60.56/~jnz1568/getInfo.php?workbook=12_04.xlsx&amp;sheet=U0&amp;row=2898&amp;col=7&amp;number=0.00929&amp;sourceID=14","0.00929")</f>
        <v>0.00929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HYPERLINK("http://141.218.60.56/~jnz1568/getInfo.php?workbook=12_04.xlsx&amp;sheet=U0&amp;row=2899&amp;col=6&amp;number=4.5&amp;sourceID=14","4.5")</f>
        <v>4.5</v>
      </c>
      <c r="G2899" s="4" t="str">
        <f>HYPERLINK("http://141.218.60.56/~jnz1568/getInfo.php?workbook=12_04.xlsx&amp;sheet=U0&amp;row=2899&amp;col=7&amp;number=0.00894&amp;sourceID=14","0.00894")</f>
        <v>0.00894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HYPERLINK("http://141.218.60.56/~jnz1568/getInfo.php?workbook=12_04.xlsx&amp;sheet=U0&amp;row=2900&amp;col=6&amp;number=4.6&amp;sourceID=14","4.6")</f>
        <v>4.6</v>
      </c>
      <c r="G2900" s="4" t="str">
        <f>HYPERLINK("http://141.218.60.56/~jnz1568/getInfo.php?workbook=12_04.xlsx&amp;sheet=U0&amp;row=2900&amp;col=7&amp;number=0.00851&amp;sourceID=14","0.00851")</f>
        <v>0.00851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HYPERLINK("http://141.218.60.56/~jnz1568/getInfo.php?workbook=12_04.xlsx&amp;sheet=U0&amp;row=2901&amp;col=6&amp;number=4.7&amp;sourceID=14","4.7")</f>
        <v>4.7</v>
      </c>
      <c r="G2901" s="4" t="str">
        <f>HYPERLINK("http://141.218.60.56/~jnz1568/getInfo.php?workbook=12_04.xlsx&amp;sheet=U0&amp;row=2901&amp;col=7&amp;number=0.00799&amp;sourceID=14","0.00799")</f>
        <v>0.00799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HYPERLINK("http://141.218.60.56/~jnz1568/getInfo.php?workbook=12_04.xlsx&amp;sheet=U0&amp;row=2902&amp;col=6&amp;number=4.8&amp;sourceID=14","4.8")</f>
        <v>4.8</v>
      </c>
      <c r="G2902" s="4" t="str">
        <f>HYPERLINK("http://141.218.60.56/~jnz1568/getInfo.php?workbook=12_04.xlsx&amp;sheet=U0&amp;row=2902&amp;col=7&amp;number=0.00736&amp;sourceID=14","0.00736")</f>
        <v>0.00736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HYPERLINK("http://141.218.60.56/~jnz1568/getInfo.php?workbook=12_04.xlsx&amp;sheet=U0&amp;row=2903&amp;col=6&amp;number=4.9&amp;sourceID=14","4.9")</f>
        <v>4.9</v>
      </c>
      <c r="G2903" s="4" t="str">
        <f>HYPERLINK("http://141.218.60.56/~jnz1568/getInfo.php?workbook=12_04.xlsx&amp;sheet=U0&amp;row=2903&amp;col=7&amp;number=0.00663&amp;sourceID=14","0.00663")</f>
        <v>0.00663</v>
      </c>
    </row>
    <row r="2904" spans="1:7">
      <c r="A2904" s="3">
        <v>12</v>
      </c>
      <c r="B2904" s="3">
        <v>4</v>
      </c>
      <c r="C2904" s="3">
        <v>2</v>
      </c>
      <c r="D2904" s="3">
        <v>51</v>
      </c>
      <c r="E2904" s="3">
        <v>1</v>
      </c>
      <c r="F2904" s="4" t="str">
        <f>HYPERLINK("http://141.218.60.56/~jnz1568/getInfo.php?workbook=12_04.xlsx&amp;sheet=U0&amp;row=2904&amp;col=6&amp;number=3&amp;sourceID=14","3")</f>
        <v>3</v>
      </c>
      <c r="G2904" s="4" t="str">
        <f>HYPERLINK("http://141.218.60.56/~jnz1568/getInfo.php?workbook=12_04.xlsx&amp;sheet=U0&amp;row=2904&amp;col=7&amp;number=0.0121&amp;sourceID=14","0.0121")</f>
        <v>0.0121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HYPERLINK("http://141.218.60.56/~jnz1568/getInfo.php?workbook=12_04.xlsx&amp;sheet=U0&amp;row=2905&amp;col=6&amp;number=3.1&amp;sourceID=14","3.1")</f>
        <v>3.1</v>
      </c>
      <c r="G2905" s="4" t="str">
        <f>HYPERLINK("http://141.218.60.56/~jnz1568/getInfo.php?workbook=12_04.xlsx&amp;sheet=U0&amp;row=2905&amp;col=7&amp;number=0.0121&amp;sourceID=14","0.0121")</f>
        <v>0.0121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HYPERLINK("http://141.218.60.56/~jnz1568/getInfo.php?workbook=12_04.xlsx&amp;sheet=U0&amp;row=2906&amp;col=6&amp;number=3.2&amp;sourceID=14","3.2")</f>
        <v>3.2</v>
      </c>
      <c r="G2906" s="4" t="str">
        <f>HYPERLINK("http://141.218.60.56/~jnz1568/getInfo.php?workbook=12_04.xlsx&amp;sheet=U0&amp;row=2906&amp;col=7&amp;number=0.012&amp;sourceID=14","0.012")</f>
        <v>0.012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HYPERLINK("http://141.218.60.56/~jnz1568/getInfo.php?workbook=12_04.xlsx&amp;sheet=U0&amp;row=2907&amp;col=6&amp;number=3.3&amp;sourceID=14","3.3")</f>
        <v>3.3</v>
      </c>
      <c r="G2907" s="4" t="str">
        <f>HYPERLINK("http://141.218.60.56/~jnz1568/getInfo.php?workbook=12_04.xlsx&amp;sheet=U0&amp;row=2907&amp;col=7&amp;number=0.012&amp;sourceID=14","0.012")</f>
        <v>0.012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HYPERLINK("http://141.218.60.56/~jnz1568/getInfo.php?workbook=12_04.xlsx&amp;sheet=U0&amp;row=2908&amp;col=6&amp;number=3.4&amp;sourceID=14","3.4")</f>
        <v>3.4</v>
      </c>
      <c r="G2908" s="4" t="str">
        <f>HYPERLINK("http://141.218.60.56/~jnz1568/getInfo.php?workbook=12_04.xlsx&amp;sheet=U0&amp;row=2908&amp;col=7&amp;number=0.0119&amp;sourceID=14","0.0119")</f>
        <v>0.0119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HYPERLINK("http://141.218.60.56/~jnz1568/getInfo.php?workbook=12_04.xlsx&amp;sheet=U0&amp;row=2909&amp;col=6&amp;number=3.5&amp;sourceID=14","3.5")</f>
        <v>3.5</v>
      </c>
      <c r="G2909" s="4" t="str">
        <f>HYPERLINK("http://141.218.60.56/~jnz1568/getInfo.php?workbook=12_04.xlsx&amp;sheet=U0&amp;row=2909&amp;col=7&amp;number=0.0119&amp;sourceID=14","0.0119")</f>
        <v>0.0119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HYPERLINK("http://141.218.60.56/~jnz1568/getInfo.php?workbook=12_04.xlsx&amp;sheet=U0&amp;row=2910&amp;col=6&amp;number=3.6&amp;sourceID=14","3.6")</f>
        <v>3.6</v>
      </c>
      <c r="G2910" s="4" t="str">
        <f>HYPERLINK("http://141.218.60.56/~jnz1568/getInfo.php?workbook=12_04.xlsx&amp;sheet=U0&amp;row=2910&amp;col=7&amp;number=0.0118&amp;sourceID=14","0.0118")</f>
        <v>0.0118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HYPERLINK("http://141.218.60.56/~jnz1568/getInfo.php?workbook=12_04.xlsx&amp;sheet=U0&amp;row=2911&amp;col=6&amp;number=3.7&amp;sourceID=14","3.7")</f>
        <v>3.7</v>
      </c>
      <c r="G2911" s="4" t="str">
        <f>HYPERLINK("http://141.218.60.56/~jnz1568/getInfo.php?workbook=12_04.xlsx&amp;sheet=U0&amp;row=2911&amp;col=7&amp;number=0.0117&amp;sourceID=14","0.0117")</f>
        <v>0.0117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HYPERLINK("http://141.218.60.56/~jnz1568/getInfo.php?workbook=12_04.xlsx&amp;sheet=U0&amp;row=2912&amp;col=6&amp;number=3.8&amp;sourceID=14","3.8")</f>
        <v>3.8</v>
      </c>
      <c r="G2912" s="4" t="str">
        <f>HYPERLINK("http://141.218.60.56/~jnz1568/getInfo.php?workbook=12_04.xlsx&amp;sheet=U0&amp;row=2912&amp;col=7&amp;number=0.0116&amp;sourceID=14","0.0116")</f>
        <v>0.0116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HYPERLINK("http://141.218.60.56/~jnz1568/getInfo.php?workbook=12_04.xlsx&amp;sheet=U0&amp;row=2913&amp;col=6&amp;number=3.9&amp;sourceID=14","3.9")</f>
        <v>3.9</v>
      </c>
      <c r="G2913" s="4" t="str">
        <f>HYPERLINK("http://141.218.60.56/~jnz1568/getInfo.php?workbook=12_04.xlsx&amp;sheet=U0&amp;row=2913&amp;col=7&amp;number=0.0114&amp;sourceID=14","0.0114")</f>
        <v>0.0114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HYPERLINK("http://141.218.60.56/~jnz1568/getInfo.php?workbook=12_04.xlsx&amp;sheet=U0&amp;row=2914&amp;col=6&amp;number=4&amp;sourceID=14","4")</f>
        <v>4</v>
      </c>
      <c r="G2914" s="4" t="str">
        <f>HYPERLINK("http://141.218.60.56/~jnz1568/getInfo.php?workbook=12_04.xlsx&amp;sheet=U0&amp;row=2914&amp;col=7&amp;number=0.0112&amp;sourceID=14","0.0112")</f>
        <v>0.0112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HYPERLINK("http://141.218.60.56/~jnz1568/getInfo.php?workbook=12_04.xlsx&amp;sheet=U0&amp;row=2915&amp;col=6&amp;number=4.1&amp;sourceID=14","4.1")</f>
        <v>4.1</v>
      </c>
      <c r="G2915" s="4" t="str">
        <f>HYPERLINK("http://141.218.60.56/~jnz1568/getInfo.php?workbook=12_04.xlsx&amp;sheet=U0&amp;row=2915&amp;col=7&amp;number=0.011&amp;sourceID=14","0.011")</f>
        <v>0.011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HYPERLINK("http://141.218.60.56/~jnz1568/getInfo.php?workbook=12_04.xlsx&amp;sheet=U0&amp;row=2916&amp;col=6&amp;number=4.2&amp;sourceID=14","4.2")</f>
        <v>4.2</v>
      </c>
      <c r="G2916" s="4" t="str">
        <f>HYPERLINK("http://141.218.60.56/~jnz1568/getInfo.php?workbook=12_04.xlsx&amp;sheet=U0&amp;row=2916&amp;col=7&amp;number=0.0107&amp;sourceID=14","0.0107")</f>
        <v>0.0107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HYPERLINK("http://141.218.60.56/~jnz1568/getInfo.php?workbook=12_04.xlsx&amp;sheet=U0&amp;row=2917&amp;col=6&amp;number=4.3&amp;sourceID=14","4.3")</f>
        <v>4.3</v>
      </c>
      <c r="G2917" s="4" t="str">
        <f>HYPERLINK("http://141.218.60.56/~jnz1568/getInfo.php?workbook=12_04.xlsx&amp;sheet=U0&amp;row=2917&amp;col=7&amp;number=0.0103&amp;sourceID=14","0.0103")</f>
        <v>0.0103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HYPERLINK("http://141.218.60.56/~jnz1568/getInfo.php?workbook=12_04.xlsx&amp;sheet=U0&amp;row=2918&amp;col=6&amp;number=4.4&amp;sourceID=14","4.4")</f>
        <v>4.4</v>
      </c>
      <c r="G2918" s="4" t="str">
        <f>HYPERLINK("http://141.218.60.56/~jnz1568/getInfo.php?workbook=12_04.xlsx&amp;sheet=U0&amp;row=2918&amp;col=7&amp;number=0.00983&amp;sourceID=14","0.00983")</f>
        <v>0.00983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HYPERLINK("http://141.218.60.56/~jnz1568/getInfo.php?workbook=12_04.xlsx&amp;sheet=U0&amp;row=2919&amp;col=6&amp;number=4.5&amp;sourceID=14","4.5")</f>
        <v>4.5</v>
      </c>
      <c r="G2919" s="4" t="str">
        <f>HYPERLINK("http://141.218.60.56/~jnz1568/getInfo.php?workbook=12_04.xlsx&amp;sheet=U0&amp;row=2919&amp;col=7&amp;number=0.00928&amp;sourceID=14","0.00928")</f>
        <v>0.00928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HYPERLINK("http://141.218.60.56/~jnz1568/getInfo.php?workbook=12_04.xlsx&amp;sheet=U0&amp;row=2920&amp;col=6&amp;number=4.6&amp;sourceID=14","4.6")</f>
        <v>4.6</v>
      </c>
      <c r="G2920" s="4" t="str">
        <f>HYPERLINK("http://141.218.60.56/~jnz1568/getInfo.php?workbook=12_04.xlsx&amp;sheet=U0&amp;row=2920&amp;col=7&amp;number=0.00862&amp;sourceID=14","0.00862")</f>
        <v>0.00862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HYPERLINK("http://141.218.60.56/~jnz1568/getInfo.php?workbook=12_04.xlsx&amp;sheet=U0&amp;row=2921&amp;col=6&amp;number=4.7&amp;sourceID=14","4.7")</f>
        <v>4.7</v>
      </c>
      <c r="G2921" s="4" t="str">
        <f>HYPERLINK("http://141.218.60.56/~jnz1568/getInfo.php?workbook=12_04.xlsx&amp;sheet=U0&amp;row=2921&amp;col=7&amp;number=0.00788&amp;sourceID=14","0.00788")</f>
        <v>0.00788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HYPERLINK("http://141.218.60.56/~jnz1568/getInfo.php?workbook=12_04.xlsx&amp;sheet=U0&amp;row=2922&amp;col=6&amp;number=4.8&amp;sourceID=14","4.8")</f>
        <v>4.8</v>
      </c>
      <c r="G2922" s="4" t="str">
        <f>HYPERLINK("http://141.218.60.56/~jnz1568/getInfo.php?workbook=12_04.xlsx&amp;sheet=U0&amp;row=2922&amp;col=7&amp;number=0.00706&amp;sourceID=14","0.00706")</f>
        <v>0.00706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HYPERLINK("http://141.218.60.56/~jnz1568/getInfo.php?workbook=12_04.xlsx&amp;sheet=U0&amp;row=2923&amp;col=6&amp;number=4.9&amp;sourceID=14","4.9")</f>
        <v>4.9</v>
      </c>
      <c r="G2923" s="4" t="str">
        <f>HYPERLINK("http://141.218.60.56/~jnz1568/getInfo.php?workbook=12_04.xlsx&amp;sheet=U0&amp;row=2923&amp;col=7&amp;number=0.00625&amp;sourceID=14","0.00625")</f>
        <v>0.00625</v>
      </c>
    </row>
    <row r="2924" spans="1:7">
      <c r="A2924" s="3">
        <v>12</v>
      </c>
      <c r="B2924" s="3">
        <v>4</v>
      </c>
      <c r="C2924" s="3">
        <v>2</v>
      </c>
      <c r="D2924" s="3">
        <v>52</v>
      </c>
      <c r="E2924" s="3">
        <v>1</v>
      </c>
      <c r="F2924" s="4" t="str">
        <f>HYPERLINK("http://141.218.60.56/~jnz1568/getInfo.php?workbook=12_04.xlsx&amp;sheet=U0&amp;row=2924&amp;col=6&amp;number=3&amp;sourceID=14","3")</f>
        <v>3</v>
      </c>
      <c r="G2924" s="4" t="str">
        <f>HYPERLINK("http://141.218.60.56/~jnz1568/getInfo.php?workbook=12_04.xlsx&amp;sheet=U0&amp;row=2924&amp;col=7&amp;number=0.0087&amp;sourceID=14","0.0087")</f>
        <v>0.0087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HYPERLINK("http://141.218.60.56/~jnz1568/getInfo.php?workbook=12_04.xlsx&amp;sheet=U0&amp;row=2925&amp;col=6&amp;number=3.1&amp;sourceID=14","3.1")</f>
        <v>3.1</v>
      </c>
      <c r="G2925" s="4" t="str">
        <f>HYPERLINK("http://141.218.60.56/~jnz1568/getInfo.php?workbook=12_04.xlsx&amp;sheet=U0&amp;row=2925&amp;col=7&amp;number=0.00868&amp;sourceID=14","0.00868")</f>
        <v>0.00868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HYPERLINK("http://141.218.60.56/~jnz1568/getInfo.php?workbook=12_04.xlsx&amp;sheet=U0&amp;row=2926&amp;col=6&amp;number=3.2&amp;sourceID=14","3.2")</f>
        <v>3.2</v>
      </c>
      <c r="G2926" s="4" t="str">
        <f>HYPERLINK("http://141.218.60.56/~jnz1568/getInfo.php?workbook=12_04.xlsx&amp;sheet=U0&amp;row=2926&amp;col=7&amp;number=0.00867&amp;sourceID=14","0.00867")</f>
        <v>0.00867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HYPERLINK("http://141.218.60.56/~jnz1568/getInfo.php?workbook=12_04.xlsx&amp;sheet=U0&amp;row=2927&amp;col=6&amp;number=3.3&amp;sourceID=14","3.3")</f>
        <v>3.3</v>
      </c>
      <c r="G2927" s="4" t="str">
        <f>HYPERLINK("http://141.218.60.56/~jnz1568/getInfo.php?workbook=12_04.xlsx&amp;sheet=U0&amp;row=2927&amp;col=7&amp;number=0.00865&amp;sourceID=14","0.00865")</f>
        <v>0.00865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HYPERLINK("http://141.218.60.56/~jnz1568/getInfo.php?workbook=12_04.xlsx&amp;sheet=U0&amp;row=2928&amp;col=6&amp;number=3.4&amp;sourceID=14","3.4")</f>
        <v>3.4</v>
      </c>
      <c r="G2928" s="4" t="str">
        <f>HYPERLINK("http://141.218.60.56/~jnz1568/getInfo.php?workbook=12_04.xlsx&amp;sheet=U0&amp;row=2928&amp;col=7&amp;number=0.00863&amp;sourceID=14","0.00863")</f>
        <v>0.00863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HYPERLINK("http://141.218.60.56/~jnz1568/getInfo.php?workbook=12_04.xlsx&amp;sheet=U0&amp;row=2929&amp;col=6&amp;number=3.5&amp;sourceID=14","3.5")</f>
        <v>3.5</v>
      </c>
      <c r="G2929" s="4" t="str">
        <f>HYPERLINK("http://141.218.60.56/~jnz1568/getInfo.php?workbook=12_04.xlsx&amp;sheet=U0&amp;row=2929&amp;col=7&amp;number=0.0086&amp;sourceID=14","0.0086")</f>
        <v>0.0086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HYPERLINK("http://141.218.60.56/~jnz1568/getInfo.php?workbook=12_04.xlsx&amp;sheet=U0&amp;row=2930&amp;col=6&amp;number=3.6&amp;sourceID=14","3.6")</f>
        <v>3.6</v>
      </c>
      <c r="G2930" s="4" t="str">
        <f>HYPERLINK("http://141.218.60.56/~jnz1568/getInfo.php?workbook=12_04.xlsx&amp;sheet=U0&amp;row=2930&amp;col=7&amp;number=0.00856&amp;sourceID=14","0.00856")</f>
        <v>0.00856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HYPERLINK("http://141.218.60.56/~jnz1568/getInfo.php?workbook=12_04.xlsx&amp;sheet=U0&amp;row=2931&amp;col=6&amp;number=3.7&amp;sourceID=14","3.7")</f>
        <v>3.7</v>
      </c>
      <c r="G2931" s="4" t="str">
        <f>HYPERLINK("http://141.218.60.56/~jnz1568/getInfo.php?workbook=12_04.xlsx&amp;sheet=U0&amp;row=2931&amp;col=7&amp;number=0.00851&amp;sourceID=14","0.00851")</f>
        <v>0.00851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HYPERLINK("http://141.218.60.56/~jnz1568/getInfo.php?workbook=12_04.xlsx&amp;sheet=U0&amp;row=2932&amp;col=6&amp;number=3.8&amp;sourceID=14","3.8")</f>
        <v>3.8</v>
      </c>
      <c r="G2932" s="4" t="str">
        <f>HYPERLINK("http://141.218.60.56/~jnz1568/getInfo.php?workbook=12_04.xlsx&amp;sheet=U0&amp;row=2932&amp;col=7&amp;number=0.00846&amp;sourceID=14","0.00846")</f>
        <v>0.00846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HYPERLINK("http://141.218.60.56/~jnz1568/getInfo.php?workbook=12_04.xlsx&amp;sheet=U0&amp;row=2933&amp;col=6&amp;number=3.9&amp;sourceID=14","3.9")</f>
        <v>3.9</v>
      </c>
      <c r="G2933" s="4" t="str">
        <f>HYPERLINK("http://141.218.60.56/~jnz1568/getInfo.php?workbook=12_04.xlsx&amp;sheet=U0&amp;row=2933&amp;col=7&amp;number=0.00838&amp;sourceID=14","0.00838")</f>
        <v>0.00838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HYPERLINK("http://141.218.60.56/~jnz1568/getInfo.php?workbook=12_04.xlsx&amp;sheet=U0&amp;row=2934&amp;col=6&amp;number=4&amp;sourceID=14","4")</f>
        <v>4</v>
      </c>
      <c r="G2934" s="4" t="str">
        <f>HYPERLINK("http://141.218.60.56/~jnz1568/getInfo.php?workbook=12_04.xlsx&amp;sheet=U0&amp;row=2934&amp;col=7&amp;number=0.00829&amp;sourceID=14","0.00829")</f>
        <v>0.00829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HYPERLINK("http://141.218.60.56/~jnz1568/getInfo.php?workbook=12_04.xlsx&amp;sheet=U0&amp;row=2935&amp;col=6&amp;number=4.1&amp;sourceID=14","4.1")</f>
        <v>4.1</v>
      </c>
      <c r="G2935" s="4" t="str">
        <f>HYPERLINK("http://141.218.60.56/~jnz1568/getInfo.php?workbook=12_04.xlsx&amp;sheet=U0&amp;row=2935&amp;col=7&amp;number=0.00818&amp;sourceID=14","0.00818")</f>
        <v>0.00818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HYPERLINK("http://141.218.60.56/~jnz1568/getInfo.php?workbook=12_04.xlsx&amp;sheet=U0&amp;row=2936&amp;col=6&amp;number=4.2&amp;sourceID=14","4.2")</f>
        <v>4.2</v>
      </c>
      <c r="G2936" s="4" t="str">
        <f>HYPERLINK("http://141.218.60.56/~jnz1568/getInfo.php?workbook=12_04.xlsx&amp;sheet=U0&amp;row=2936&amp;col=7&amp;number=0.00803&amp;sourceID=14","0.00803")</f>
        <v>0.00803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HYPERLINK("http://141.218.60.56/~jnz1568/getInfo.php?workbook=12_04.xlsx&amp;sheet=U0&amp;row=2937&amp;col=6&amp;number=4.3&amp;sourceID=14","4.3")</f>
        <v>4.3</v>
      </c>
      <c r="G2937" s="4" t="str">
        <f>HYPERLINK("http://141.218.60.56/~jnz1568/getInfo.php?workbook=12_04.xlsx&amp;sheet=U0&amp;row=2937&amp;col=7&amp;number=0.00785&amp;sourceID=14","0.00785")</f>
        <v>0.00785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HYPERLINK("http://141.218.60.56/~jnz1568/getInfo.php?workbook=12_04.xlsx&amp;sheet=U0&amp;row=2938&amp;col=6&amp;number=4.4&amp;sourceID=14","4.4")</f>
        <v>4.4</v>
      </c>
      <c r="G2938" s="4" t="str">
        <f>HYPERLINK("http://141.218.60.56/~jnz1568/getInfo.php?workbook=12_04.xlsx&amp;sheet=U0&amp;row=2938&amp;col=7&amp;number=0.00763&amp;sourceID=14","0.00763")</f>
        <v>0.00763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HYPERLINK("http://141.218.60.56/~jnz1568/getInfo.php?workbook=12_04.xlsx&amp;sheet=U0&amp;row=2939&amp;col=6&amp;number=4.5&amp;sourceID=14","4.5")</f>
        <v>4.5</v>
      </c>
      <c r="G2939" s="4" t="str">
        <f>HYPERLINK("http://141.218.60.56/~jnz1568/getInfo.php?workbook=12_04.xlsx&amp;sheet=U0&amp;row=2939&amp;col=7&amp;number=0.00736&amp;sourceID=14","0.00736")</f>
        <v>0.00736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HYPERLINK("http://141.218.60.56/~jnz1568/getInfo.php?workbook=12_04.xlsx&amp;sheet=U0&amp;row=2940&amp;col=6&amp;number=4.6&amp;sourceID=14","4.6")</f>
        <v>4.6</v>
      </c>
      <c r="G2940" s="4" t="str">
        <f>HYPERLINK("http://141.218.60.56/~jnz1568/getInfo.php?workbook=12_04.xlsx&amp;sheet=U0&amp;row=2940&amp;col=7&amp;number=0.00702&amp;sourceID=14","0.00702")</f>
        <v>0.00702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HYPERLINK("http://141.218.60.56/~jnz1568/getInfo.php?workbook=12_04.xlsx&amp;sheet=U0&amp;row=2941&amp;col=6&amp;number=4.7&amp;sourceID=14","4.7")</f>
        <v>4.7</v>
      </c>
      <c r="G2941" s="4" t="str">
        <f>HYPERLINK("http://141.218.60.56/~jnz1568/getInfo.php?workbook=12_04.xlsx&amp;sheet=U0&amp;row=2941&amp;col=7&amp;number=0.00661&amp;sourceID=14","0.00661")</f>
        <v>0.00661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HYPERLINK("http://141.218.60.56/~jnz1568/getInfo.php?workbook=12_04.xlsx&amp;sheet=U0&amp;row=2942&amp;col=6&amp;number=4.8&amp;sourceID=14","4.8")</f>
        <v>4.8</v>
      </c>
      <c r="G2942" s="4" t="str">
        <f>HYPERLINK("http://141.218.60.56/~jnz1568/getInfo.php?workbook=12_04.xlsx&amp;sheet=U0&amp;row=2942&amp;col=7&amp;number=0.00612&amp;sourceID=14","0.00612")</f>
        <v>0.00612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HYPERLINK("http://141.218.60.56/~jnz1568/getInfo.php?workbook=12_04.xlsx&amp;sheet=U0&amp;row=2943&amp;col=6&amp;number=4.9&amp;sourceID=14","4.9")</f>
        <v>4.9</v>
      </c>
      <c r="G2943" s="4" t="str">
        <f>HYPERLINK("http://141.218.60.56/~jnz1568/getInfo.php?workbook=12_04.xlsx&amp;sheet=U0&amp;row=2943&amp;col=7&amp;number=0.00555&amp;sourceID=14","0.00555")</f>
        <v>0.00555</v>
      </c>
    </row>
    <row r="2944" spans="1:7">
      <c r="A2944" s="3">
        <v>12</v>
      </c>
      <c r="B2944" s="3">
        <v>4</v>
      </c>
      <c r="C2944" s="3">
        <v>2</v>
      </c>
      <c r="D2944" s="3">
        <v>53</v>
      </c>
      <c r="E2944" s="3">
        <v>1</v>
      </c>
      <c r="F2944" s="4" t="str">
        <f>HYPERLINK("http://141.218.60.56/~jnz1568/getInfo.php?workbook=12_04.xlsx&amp;sheet=U0&amp;row=2944&amp;col=6&amp;number=3&amp;sourceID=14","3")</f>
        <v>3</v>
      </c>
      <c r="G2944" s="4" t="str">
        <f>HYPERLINK("http://141.218.60.56/~jnz1568/getInfo.php?workbook=12_04.xlsx&amp;sheet=U0&amp;row=2944&amp;col=7&amp;number=0.0244&amp;sourceID=14","0.0244")</f>
        <v>0.0244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HYPERLINK("http://141.218.60.56/~jnz1568/getInfo.php?workbook=12_04.xlsx&amp;sheet=U0&amp;row=2945&amp;col=6&amp;number=3.1&amp;sourceID=14","3.1")</f>
        <v>3.1</v>
      </c>
      <c r="G2945" s="4" t="str">
        <f>HYPERLINK("http://141.218.60.56/~jnz1568/getInfo.php?workbook=12_04.xlsx&amp;sheet=U0&amp;row=2945&amp;col=7&amp;number=0.0243&amp;sourceID=14","0.0243")</f>
        <v>0.0243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HYPERLINK("http://141.218.60.56/~jnz1568/getInfo.php?workbook=12_04.xlsx&amp;sheet=U0&amp;row=2946&amp;col=6&amp;number=3.2&amp;sourceID=14","3.2")</f>
        <v>3.2</v>
      </c>
      <c r="G2946" s="4" t="str">
        <f>HYPERLINK("http://141.218.60.56/~jnz1568/getInfo.php?workbook=12_04.xlsx&amp;sheet=U0&amp;row=2946&amp;col=7&amp;number=0.0243&amp;sourceID=14","0.0243")</f>
        <v>0.0243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HYPERLINK("http://141.218.60.56/~jnz1568/getInfo.php?workbook=12_04.xlsx&amp;sheet=U0&amp;row=2947&amp;col=6&amp;number=3.3&amp;sourceID=14","3.3")</f>
        <v>3.3</v>
      </c>
      <c r="G2947" s="4" t="str">
        <f>HYPERLINK("http://141.218.60.56/~jnz1568/getInfo.php?workbook=12_04.xlsx&amp;sheet=U0&amp;row=2947&amp;col=7&amp;number=0.0243&amp;sourceID=14","0.0243")</f>
        <v>0.0243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HYPERLINK("http://141.218.60.56/~jnz1568/getInfo.php?workbook=12_04.xlsx&amp;sheet=U0&amp;row=2948&amp;col=6&amp;number=3.4&amp;sourceID=14","3.4")</f>
        <v>3.4</v>
      </c>
      <c r="G2948" s="4" t="str">
        <f>HYPERLINK("http://141.218.60.56/~jnz1568/getInfo.php?workbook=12_04.xlsx&amp;sheet=U0&amp;row=2948&amp;col=7&amp;number=0.0243&amp;sourceID=14","0.0243")</f>
        <v>0.0243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HYPERLINK("http://141.218.60.56/~jnz1568/getInfo.php?workbook=12_04.xlsx&amp;sheet=U0&amp;row=2949&amp;col=6&amp;number=3.5&amp;sourceID=14","3.5")</f>
        <v>3.5</v>
      </c>
      <c r="G2949" s="4" t="str">
        <f>HYPERLINK("http://141.218.60.56/~jnz1568/getInfo.php?workbook=12_04.xlsx&amp;sheet=U0&amp;row=2949&amp;col=7&amp;number=0.0243&amp;sourceID=14","0.0243")</f>
        <v>0.0243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HYPERLINK("http://141.218.60.56/~jnz1568/getInfo.php?workbook=12_04.xlsx&amp;sheet=U0&amp;row=2950&amp;col=6&amp;number=3.6&amp;sourceID=14","3.6")</f>
        <v>3.6</v>
      </c>
      <c r="G2950" s="4" t="str">
        <f>HYPERLINK("http://141.218.60.56/~jnz1568/getInfo.php?workbook=12_04.xlsx&amp;sheet=U0&amp;row=2950&amp;col=7&amp;number=0.0243&amp;sourceID=14","0.0243")</f>
        <v>0.0243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HYPERLINK("http://141.218.60.56/~jnz1568/getInfo.php?workbook=12_04.xlsx&amp;sheet=U0&amp;row=2951&amp;col=6&amp;number=3.7&amp;sourceID=14","3.7")</f>
        <v>3.7</v>
      </c>
      <c r="G2951" s="4" t="str">
        <f>HYPERLINK("http://141.218.60.56/~jnz1568/getInfo.php?workbook=12_04.xlsx&amp;sheet=U0&amp;row=2951&amp;col=7&amp;number=0.0243&amp;sourceID=14","0.0243")</f>
        <v>0.0243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HYPERLINK("http://141.218.60.56/~jnz1568/getInfo.php?workbook=12_04.xlsx&amp;sheet=U0&amp;row=2952&amp;col=6&amp;number=3.8&amp;sourceID=14","3.8")</f>
        <v>3.8</v>
      </c>
      <c r="G2952" s="4" t="str">
        <f>HYPERLINK("http://141.218.60.56/~jnz1568/getInfo.php?workbook=12_04.xlsx&amp;sheet=U0&amp;row=2952&amp;col=7&amp;number=0.0243&amp;sourceID=14","0.0243")</f>
        <v>0.0243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HYPERLINK("http://141.218.60.56/~jnz1568/getInfo.php?workbook=12_04.xlsx&amp;sheet=U0&amp;row=2953&amp;col=6&amp;number=3.9&amp;sourceID=14","3.9")</f>
        <v>3.9</v>
      </c>
      <c r="G2953" s="4" t="str">
        <f>HYPERLINK("http://141.218.60.56/~jnz1568/getInfo.php?workbook=12_04.xlsx&amp;sheet=U0&amp;row=2953&amp;col=7&amp;number=0.0243&amp;sourceID=14","0.0243")</f>
        <v>0.0243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HYPERLINK("http://141.218.60.56/~jnz1568/getInfo.php?workbook=12_04.xlsx&amp;sheet=U0&amp;row=2954&amp;col=6&amp;number=4&amp;sourceID=14","4")</f>
        <v>4</v>
      </c>
      <c r="G2954" s="4" t="str">
        <f>HYPERLINK("http://141.218.60.56/~jnz1568/getInfo.php?workbook=12_04.xlsx&amp;sheet=U0&amp;row=2954&amp;col=7&amp;number=0.0243&amp;sourceID=14","0.0243")</f>
        <v>0.0243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HYPERLINK("http://141.218.60.56/~jnz1568/getInfo.php?workbook=12_04.xlsx&amp;sheet=U0&amp;row=2955&amp;col=6&amp;number=4.1&amp;sourceID=14","4.1")</f>
        <v>4.1</v>
      </c>
      <c r="G2955" s="4" t="str">
        <f>HYPERLINK("http://141.218.60.56/~jnz1568/getInfo.php?workbook=12_04.xlsx&amp;sheet=U0&amp;row=2955&amp;col=7&amp;number=0.0243&amp;sourceID=14","0.0243")</f>
        <v>0.0243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HYPERLINK("http://141.218.60.56/~jnz1568/getInfo.php?workbook=12_04.xlsx&amp;sheet=U0&amp;row=2956&amp;col=6&amp;number=4.2&amp;sourceID=14","4.2")</f>
        <v>4.2</v>
      </c>
      <c r="G2956" s="4" t="str">
        <f>HYPERLINK("http://141.218.60.56/~jnz1568/getInfo.php?workbook=12_04.xlsx&amp;sheet=U0&amp;row=2956&amp;col=7&amp;number=0.0242&amp;sourceID=14","0.0242")</f>
        <v>0.0242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HYPERLINK("http://141.218.60.56/~jnz1568/getInfo.php?workbook=12_04.xlsx&amp;sheet=U0&amp;row=2957&amp;col=6&amp;number=4.3&amp;sourceID=14","4.3")</f>
        <v>4.3</v>
      </c>
      <c r="G2957" s="4" t="str">
        <f>HYPERLINK("http://141.218.60.56/~jnz1568/getInfo.php?workbook=12_04.xlsx&amp;sheet=U0&amp;row=2957&amp;col=7&amp;number=0.0242&amp;sourceID=14","0.0242")</f>
        <v>0.0242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HYPERLINK("http://141.218.60.56/~jnz1568/getInfo.php?workbook=12_04.xlsx&amp;sheet=U0&amp;row=2958&amp;col=6&amp;number=4.4&amp;sourceID=14","4.4")</f>
        <v>4.4</v>
      </c>
      <c r="G2958" s="4" t="str">
        <f>HYPERLINK("http://141.218.60.56/~jnz1568/getInfo.php?workbook=12_04.xlsx&amp;sheet=U0&amp;row=2958&amp;col=7&amp;number=0.0242&amp;sourceID=14","0.0242")</f>
        <v>0.0242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HYPERLINK("http://141.218.60.56/~jnz1568/getInfo.php?workbook=12_04.xlsx&amp;sheet=U0&amp;row=2959&amp;col=6&amp;number=4.5&amp;sourceID=14","4.5")</f>
        <v>4.5</v>
      </c>
      <c r="G2959" s="4" t="str">
        <f>HYPERLINK("http://141.218.60.56/~jnz1568/getInfo.php?workbook=12_04.xlsx&amp;sheet=U0&amp;row=2959&amp;col=7&amp;number=0.0241&amp;sourceID=14","0.0241")</f>
        <v>0.0241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HYPERLINK("http://141.218.60.56/~jnz1568/getInfo.php?workbook=12_04.xlsx&amp;sheet=U0&amp;row=2960&amp;col=6&amp;number=4.6&amp;sourceID=14","4.6")</f>
        <v>4.6</v>
      </c>
      <c r="G2960" s="4" t="str">
        <f>HYPERLINK("http://141.218.60.56/~jnz1568/getInfo.php?workbook=12_04.xlsx&amp;sheet=U0&amp;row=2960&amp;col=7&amp;number=0.0241&amp;sourceID=14","0.0241")</f>
        <v>0.0241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HYPERLINK("http://141.218.60.56/~jnz1568/getInfo.php?workbook=12_04.xlsx&amp;sheet=U0&amp;row=2961&amp;col=6&amp;number=4.7&amp;sourceID=14","4.7")</f>
        <v>4.7</v>
      </c>
      <c r="G2961" s="4" t="str">
        <f>HYPERLINK("http://141.218.60.56/~jnz1568/getInfo.php?workbook=12_04.xlsx&amp;sheet=U0&amp;row=2961&amp;col=7&amp;number=0.024&amp;sourceID=14","0.024")</f>
        <v>0.024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HYPERLINK("http://141.218.60.56/~jnz1568/getInfo.php?workbook=12_04.xlsx&amp;sheet=U0&amp;row=2962&amp;col=6&amp;number=4.8&amp;sourceID=14","4.8")</f>
        <v>4.8</v>
      </c>
      <c r="G2962" s="4" t="str">
        <f>HYPERLINK("http://141.218.60.56/~jnz1568/getInfo.php?workbook=12_04.xlsx&amp;sheet=U0&amp;row=2962&amp;col=7&amp;number=0.0239&amp;sourceID=14","0.0239")</f>
        <v>0.0239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HYPERLINK("http://141.218.60.56/~jnz1568/getInfo.php?workbook=12_04.xlsx&amp;sheet=U0&amp;row=2963&amp;col=6&amp;number=4.9&amp;sourceID=14","4.9")</f>
        <v>4.9</v>
      </c>
      <c r="G2963" s="4" t="str">
        <f>HYPERLINK("http://141.218.60.56/~jnz1568/getInfo.php?workbook=12_04.xlsx&amp;sheet=U0&amp;row=2963&amp;col=7&amp;number=0.0238&amp;sourceID=14","0.0238")</f>
        <v>0.0238</v>
      </c>
    </row>
    <row r="2964" spans="1:7">
      <c r="A2964" s="3">
        <v>12</v>
      </c>
      <c r="B2964" s="3">
        <v>4</v>
      </c>
      <c r="C2964" s="3">
        <v>2</v>
      </c>
      <c r="D2964" s="3">
        <v>54</v>
      </c>
      <c r="E2964" s="3">
        <v>1</v>
      </c>
      <c r="F2964" s="4" t="str">
        <f>HYPERLINK("http://141.218.60.56/~jnz1568/getInfo.php?workbook=12_04.xlsx&amp;sheet=U0&amp;row=2964&amp;col=6&amp;number=3&amp;sourceID=14","3")</f>
        <v>3</v>
      </c>
      <c r="G2964" s="4" t="str">
        <f>HYPERLINK("http://141.218.60.56/~jnz1568/getInfo.php?workbook=12_04.xlsx&amp;sheet=U0&amp;row=2964&amp;col=7&amp;number=0.00712&amp;sourceID=14","0.00712")</f>
        <v>0.00712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HYPERLINK("http://141.218.60.56/~jnz1568/getInfo.php?workbook=12_04.xlsx&amp;sheet=U0&amp;row=2965&amp;col=6&amp;number=3.1&amp;sourceID=14","3.1")</f>
        <v>3.1</v>
      </c>
      <c r="G2965" s="4" t="str">
        <f>HYPERLINK("http://141.218.60.56/~jnz1568/getInfo.php?workbook=12_04.xlsx&amp;sheet=U0&amp;row=2965&amp;col=7&amp;number=0.00711&amp;sourceID=14","0.00711")</f>
        <v>0.00711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HYPERLINK("http://141.218.60.56/~jnz1568/getInfo.php?workbook=12_04.xlsx&amp;sheet=U0&amp;row=2966&amp;col=6&amp;number=3.2&amp;sourceID=14","3.2")</f>
        <v>3.2</v>
      </c>
      <c r="G2966" s="4" t="str">
        <f>HYPERLINK("http://141.218.60.56/~jnz1568/getInfo.php?workbook=12_04.xlsx&amp;sheet=U0&amp;row=2966&amp;col=7&amp;number=0.00711&amp;sourceID=14","0.00711")</f>
        <v>0.00711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HYPERLINK("http://141.218.60.56/~jnz1568/getInfo.php?workbook=12_04.xlsx&amp;sheet=U0&amp;row=2967&amp;col=6&amp;number=3.3&amp;sourceID=14","3.3")</f>
        <v>3.3</v>
      </c>
      <c r="G2967" s="4" t="str">
        <f>HYPERLINK("http://141.218.60.56/~jnz1568/getInfo.php?workbook=12_04.xlsx&amp;sheet=U0&amp;row=2967&amp;col=7&amp;number=0.0071&amp;sourceID=14","0.0071")</f>
        <v>0.0071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HYPERLINK("http://141.218.60.56/~jnz1568/getInfo.php?workbook=12_04.xlsx&amp;sheet=U0&amp;row=2968&amp;col=6&amp;number=3.4&amp;sourceID=14","3.4")</f>
        <v>3.4</v>
      </c>
      <c r="G2968" s="4" t="str">
        <f>HYPERLINK("http://141.218.60.56/~jnz1568/getInfo.php?workbook=12_04.xlsx&amp;sheet=U0&amp;row=2968&amp;col=7&amp;number=0.0071&amp;sourceID=14","0.0071")</f>
        <v>0.0071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HYPERLINK("http://141.218.60.56/~jnz1568/getInfo.php?workbook=12_04.xlsx&amp;sheet=U0&amp;row=2969&amp;col=6&amp;number=3.5&amp;sourceID=14","3.5")</f>
        <v>3.5</v>
      </c>
      <c r="G2969" s="4" t="str">
        <f>HYPERLINK("http://141.218.60.56/~jnz1568/getInfo.php?workbook=12_04.xlsx&amp;sheet=U0&amp;row=2969&amp;col=7&amp;number=0.00709&amp;sourceID=14","0.00709")</f>
        <v>0.00709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HYPERLINK("http://141.218.60.56/~jnz1568/getInfo.php?workbook=12_04.xlsx&amp;sheet=U0&amp;row=2970&amp;col=6&amp;number=3.6&amp;sourceID=14","3.6")</f>
        <v>3.6</v>
      </c>
      <c r="G2970" s="4" t="str">
        <f>HYPERLINK("http://141.218.60.56/~jnz1568/getInfo.php?workbook=12_04.xlsx&amp;sheet=U0&amp;row=2970&amp;col=7&amp;number=0.00708&amp;sourceID=14","0.00708")</f>
        <v>0.00708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HYPERLINK("http://141.218.60.56/~jnz1568/getInfo.php?workbook=12_04.xlsx&amp;sheet=U0&amp;row=2971&amp;col=6&amp;number=3.7&amp;sourceID=14","3.7")</f>
        <v>3.7</v>
      </c>
      <c r="G2971" s="4" t="str">
        <f>HYPERLINK("http://141.218.60.56/~jnz1568/getInfo.php?workbook=12_04.xlsx&amp;sheet=U0&amp;row=2971&amp;col=7&amp;number=0.00706&amp;sourceID=14","0.00706")</f>
        <v>0.00706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HYPERLINK("http://141.218.60.56/~jnz1568/getInfo.php?workbook=12_04.xlsx&amp;sheet=U0&amp;row=2972&amp;col=6&amp;number=3.8&amp;sourceID=14","3.8")</f>
        <v>3.8</v>
      </c>
      <c r="G2972" s="4" t="str">
        <f>HYPERLINK("http://141.218.60.56/~jnz1568/getInfo.php?workbook=12_04.xlsx&amp;sheet=U0&amp;row=2972&amp;col=7&amp;number=0.00705&amp;sourceID=14","0.00705")</f>
        <v>0.00705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HYPERLINK("http://141.218.60.56/~jnz1568/getInfo.php?workbook=12_04.xlsx&amp;sheet=U0&amp;row=2973&amp;col=6&amp;number=3.9&amp;sourceID=14","3.9")</f>
        <v>3.9</v>
      </c>
      <c r="G2973" s="4" t="str">
        <f>HYPERLINK("http://141.218.60.56/~jnz1568/getInfo.php?workbook=12_04.xlsx&amp;sheet=U0&amp;row=2973&amp;col=7&amp;number=0.00702&amp;sourceID=14","0.00702")</f>
        <v>0.00702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HYPERLINK("http://141.218.60.56/~jnz1568/getInfo.php?workbook=12_04.xlsx&amp;sheet=U0&amp;row=2974&amp;col=6&amp;number=4&amp;sourceID=14","4")</f>
        <v>4</v>
      </c>
      <c r="G2974" s="4" t="str">
        <f>HYPERLINK("http://141.218.60.56/~jnz1568/getInfo.php?workbook=12_04.xlsx&amp;sheet=U0&amp;row=2974&amp;col=7&amp;number=0.007&amp;sourceID=14","0.007")</f>
        <v>0.007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HYPERLINK("http://141.218.60.56/~jnz1568/getInfo.php?workbook=12_04.xlsx&amp;sheet=U0&amp;row=2975&amp;col=6&amp;number=4.1&amp;sourceID=14","4.1")</f>
        <v>4.1</v>
      </c>
      <c r="G2975" s="4" t="str">
        <f>HYPERLINK("http://141.218.60.56/~jnz1568/getInfo.php?workbook=12_04.xlsx&amp;sheet=U0&amp;row=2975&amp;col=7&amp;number=0.00696&amp;sourceID=14","0.00696")</f>
        <v>0.00696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HYPERLINK("http://141.218.60.56/~jnz1568/getInfo.php?workbook=12_04.xlsx&amp;sheet=U0&amp;row=2976&amp;col=6&amp;number=4.2&amp;sourceID=14","4.2")</f>
        <v>4.2</v>
      </c>
      <c r="G2976" s="4" t="str">
        <f>HYPERLINK("http://141.218.60.56/~jnz1568/getInfo.php?workbook=12_04.xlsx&amp;sheet=U0&amp;row=2976&amp;col=7&amp;number=0.00692&amp;sourceID=14","0.00692")</f>
        <v>0.00692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HYPERLINK("http://141.218.60.56/~jnz1568/getInfo.php?workbook=12_04.xlsx&amp;sheet=U0&amp;row=2977&amp;col=6&amp;number=4.3&amp;sourceID=14","4.3")</f>
        <v>4.3</v>
      </c>
      <c r="G2977" s="4" t="str">
        <f>HYPERLINK("http://141.218.60.56/~jnz1568/getInfo.php?workbook=12_04.xlsx&amp;sheet=U0&amp;row=2977&amp;col=7&amp;number=0.00687&amp;sourceID=14","0.00687")</f>
        <v>0.00687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HYPERLINK("http://141.218.60.56/~jnz1568/getInfo.php?workbook=12_04.xlsx&amp;sheet=U0&amp;row=2978&amp;col=6&amp;number=4.4&amp;sourceID=14","4.4")</f>
        <v>4.4</v>
      </c>
      <c r="G2978" s="4" t="str">
        <f>HYPERLINK("http://141.218.60.56/~jnz1568/getInfo.php?workbook=12_04.xlsx&amp;sheet=U0&amp;row=2978&amp;col=7&amp;number=0.0068&amp;sourceID=14","0.0068")</f>
        <v>0.0068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HYPERLINK("http://141.218.60.56/~jnz1568/getInfo.php?workbook=12_04.xlsx&amp;sheet=U0&amp;row=2979&amp;col=6&amp;number=4.5&amp;sourceID=14","4.5")</f>
        <v>4.5</v>
      </c>
      <c r="G2979" s="4" t="str">
        <f>HYPERLINK("http://141.218.60.56/~jnz1568/getInfo.php?workbook=12_04.xlsx&amp;sheet=U0&amp;row=2979&amp;col=7&amp;number=0.00672&amp;sourceID=14","0.00672")</f>
        <v>0.00672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HYPERLINK("http://141.218.60.56/~jnz1568/getInfo.php?workbook=12_04.xlsx&amp;sheet=U0&amp;row=2980&amp;col=6&amp;number=4.6&amp;sourceID=14","4.6")</f>
        <v>4.6</v>
      </c>
      <c r="G2980" s="4" t="str">
        <f>HYPERLINK("http://141.218.60.56/~jnz1568/getInfo.php?workbook=12_04.xlsx&amp;sheet=U0&amp;row=2980&amp;col=7&amp;number=0.00662&amp;sourceID=14","0.00662")</f>
        <v>0.00662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HYPERLINK("http://141.218.60.56/~jnz1568/getInfo.php?workbook=12_04.xlsx&amp;sheet=U0&amp;row=2981&amp;col=6&amp;number=4.7&amp;sourceID=14","4.7")</f>
        <v>4.7</v>
      </c>
      <c r="G2981" s="4" t="str">
        <f>HYPERLINK("http://141.218.60.56/~jnz1568/getInfo.php?workbook=12_04.xlsx&amp;sheet=U0&amp;row=2981&amp;col=7&amp;number=0.0065&amp;sourceID=14","0.0065")</f>
        <v>0.0065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HYPERLINK("http://141.218.60.56/~jnz1568/getInfo.php?workbook=12_04.xlsx&amp;sheet=U0&amp;row=2982&amp;col=6&amp;number=4.8&amp;sourceID=14","4.8")</f>
        <v>4.8</v>
      </c>
      <c r="G2982" s="4" t="str">
        <f>HYPERLINK("http://141.218.60.56/~jnz1568/getInfo.php?workbook=12_04.xlsx&amp;sheet=U0&amp;row=2982&amp;col=7&amp;number=0.00635&amp;sourceID=14","0.00635")</f>
        <v>0.00635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HYPERLINK("http://141.218.60.56/~jnz1568/getInfo.php?workbook=12_04.xlsx&amp;sheet=U0&amp;row=2983&amp;col=6&amp;number=4.9&amp;sourceID=14","4.9")</f>
        <v>4.9</v>
      </c>
      <c r="G2983" s="4" t="str">
        <f>HYPERLINK("http://141.218.60.56/~jnz1568/getInfo.php?workbook=12_04.xlsx&amp;sheet=U0&amp;row=2983&amp;col=7&amp;number=0.00618&amp;sourceID=14","0.00618")</f>
        <v>0.00618</v>
      </c>
    </row>
    <row r="2984" spans="1:7">
      <c r="A2984" s="3">
        <v>12</v>
      </c>
      <c r="B2984" s="3">
        <v>4</v>
      </c>
      <c r="C2984" s="3">
        <v>2</v>
      </c>
      <c r="D2984" s="3">
        <v>55</v>
      </c>
      <c r="E2984" s="3">
        <v>1</v>
      </c>
      <c r="F2984" s="4" t="str">
        <f>HYPERLINK("http://141.218.60.56/~jnz1568/getInfo.php?workbook=12_04.xlsx&amp;sheet=U0&amp;row=2984&amp;col=6&amp;number=3&amp;sourceID=14","3")</f>
        <v>3</v>
      </c>
      <c r="G2984" s="4" t="str">
        <f>HYPERLINK("http://141.218.60.56/~jnz1568/getInfo.php?workbook=12_04.xlsx&amp;sheet=U0&amp;row=2984&amp;col=7&amp;number=0.00588&amp;sourceID=14","0.00588")</f>
        <v>0.00588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HYPERLINK("http://141.218.60.56/~jnz1568/getInfo.php?workbook=12_04.xlsx&amp;sheet=U0&amp;row=2985&amp;col=6&amp;number=3.1&amp;sourceID=14","3.1")</f>
        <v>3.1</v>
      </c>
      <c r="G2985" s="4" t="str">
        <f>HYPERLINK("http://141.218.60.56/~jnz1568/getInfo.php?workbook=12_04.xlsx&amp;sheet=U0&amp;row=2985&amp;col=7&amp;number=0.00587&amp;sourceID=14","0.00587")</f>
        <v>0.00587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HYPERLINK("http://141.218.60.56/~jnz1568/getInfo.php?workbook=12_04.xlsx&amp;sheet=U0&amp;row=2986&amp;col=6&amp;number=3.2&amp;sourceID=14","3.2")</f>
        <v>3.2</v>
      </c>
      <c r="G2986" s="4" t="str">
        <f>HYPERLINK("http://141.218.60.56/~jnz1568/getInfo.php?workbook=12_04.xlsx&amp;sheet=U0&amp;row=2986&amp;col=7&amp;number=0.00587&amp;sourceID=14","0.00587")</f>
        <v>0.00587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HYPERLINK("http://141.218.60.56/~jnz1568/getInfo.php?workbook=12_04.xlsx&amp;sheet=U0&amp;row=2987&amp;col=6&amp;number=3.3&amp;sourceID=14","3.3")</f>
        <v>3.3</v>
      </c>
      <c r="G2987" s="4" t="str">
        <f>HYPERLINK("http://141.218.60.56/~jnz1568/getInfo.php?workbook=12_04.xlsx&amp;sheet=U0&amp;row=2987&amp;col=7&amp;number=0.00587&amp;sourceID=14","0.00587")</f>
        <v>0.00587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HYPERLINK("http://141.218.60.56/~jnz1568/getInfo.php?workbook=12_04.xlsx&amp;sheet=U0&amp;row=2988&amp;col=6&amp;number=3.4&amp;sourceID=14","3.4")</f>
        <v>3.4</v>
      </c>
      <c r="G2988" s="4" t="str">
        <f>HYPERLINK("http://141.218.60.56/~jnz1568/getInfo.php?workbook=12_04.xlsx&amp;sheet=U0&amp;row=2988&amp;col=7&amp;number=0.00586&amp;sourceID=14","0.00586")</f>
        <v>0.00586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HYPERLINK("http://141.218.60.56/~jnz1568/getInfo.php?workbook=12_04.xlsx&amp;sheet=U0&amp;row=2989&amp;col=6&amp;number=3.5&amp;sourceID=14","3.5")</f>
        <v>3.5</v>
      </c>
      <c r="G2989" s="4" t="str">
        <f>HYPERLINK("http://141.218.60.56/~jnz1568/getInfo.php?workbook=12_04.xlsx&amp;sheet=U0&amp;row=2989&amp;col=7&amp;number=0.00585&amp;sourceID=14","0.00585")</f>
        <v>0.00585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HYPERLINK("http://141.218.60.56/~jnz1568/getInfo.php?workbook=12_04.xlsx&amp;sheet=U0&amp;row=2990&amp;col=6&amp;number=3.6&amp;sourceID=14","3.6")</f>
        <v>3.6</v>
      </c>
      <c r="G2990" s="4" t="str">
        <f>HYPERLINK("http://141.218.60.56/~jnz1568/getInfo.php?workbook=12_04.xlsx&amp;sheet=U0&amp;row=2990&amp;col=7&amp;number=0.00584&amp;sourceID=14","0.00584")</f>
        <v>0.00584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HYPERLINK("http://141.218.60.56/~jnz1568/getInfo.php?workbook=12_04.xlsx&amp;sheet=U0&amp;row=2991&amp;col=6&amp;number=3.7&amp;sourceID=14","3.7")</f>
        <v>3.7</v>
      </c>
      <c r="G2991" s="4" t="str">
        <f>HYPERLINK("http://141.218.60.56/~jnz1568/getInfo.php?workbook=12_04.xlsx&amp;sheet=U0&amp;row=2991&amp;col=7&amp;number=0.00583&amp;sourceID=14","0.00583")</f>
        <v>0.00583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HYPERLINK("http://141.218.60.56/~jnz1568/getInfo.php?workbook=12_04.xlsx&amp;sheet=U0&amp;row=2992&amp;col=6&amp;number=3.8&amp;sourceID=14","3.8")</f>
        <v>3.8</v>
      </c>
      <c r="G2992" s="4" t="str">
        <f>HYPERLINK("http://141.218.60.56/~jnz1568/getInfo.php?workbook=12_04.xlsx&amp;sheet=U0&amp;row=2992&amp;col=7&amp;number=0.00581&amp;sourceID=14","0.00581")</f>
        <v>0.00581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HYPERLINK("http://141.218.60.56/~jnz1568/getInfo.php?workbook=12_04.xlsx&amp;sheet=U0&amp;row=2993&amp;col=6&amp;number=3.9&amp;sourceID=14","3.9")</f>
        <v>3.9</v>
      </c>
      <c r="G2993" s="4" t="str">
        <f>HYPERLINK("http://141.218.60.56/~jnz1568/getInfo.php?workbook=12_04.xlsx&amp;sheet=U0&amp;row=2993&amp;col=7&amp;number=0.00579&amp;sourceID=14","0.00579")</f>
        <v>0.00579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HYPERLINK("http://141.218.60.56/~jnz1568/getInfo.php?workbook=12_04.xlsx&amp;sheet=U0&amp;row=2994&amp;col=6&amp;number=4&amp;sourceID=14","4")</f>
        <v>4</v>
      </c>
      <c r="G2994" s="4" t="str">
        <f>HYPERLINK("http://141.218.60.56/~jnz1568/getInfo.php?workbook=12_04.xlsx&amp;sheet=U0&amp;row=2994&amp;col=7&amp;number=0.00576&amp;sourceID=14","0.00576")</f>
        <v>0.00576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HYPERLINK("http://141.218.60.56/~jnz1568/getInfo.php?workbook=12_04.xlsx&amp;sheet=U0&amp;row=2995&amp;col=6&amp;number=4.1&amp;sourceID=14","4.1")</f>
        <v>4.1</v>
      </c>
      <c r="G2995" s="4" t="str">
        <f>HYPERLINK("http://141.218.60.56/~jnz1568/getInfo.php?workbook=12_04.xlsx&amp;sheet=U0&amp;row=2995&amp;col=7&amp;number=0.00573&amp;sourceID=14","0.00573")</f>
        <v>0.00573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HYPERLINK("http://141.218.60.56/~jnz1568/getInfo.php?workbook=12_04.xlsx&amp;sheet=U0&amp;row=2996&amp;col=6&amp;number=4.2&amp;sourceID=14","4.2")</f>
        <v>4.2</v>
      </c>
      <c r="G2996" s="4" t="str">
        <f>HYPERLINK("http://141.218.60.56/~jnz1568/getInfo.php?workbook=12_04.xlsx&amp;sheet=U0&amp;row=2996&amp;col=7&amp;number=0.00569&amp;sourceID=14","0.00569")</f>
        <v>0.00569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HYPERLINK("http://141.218.60.56/~jnz1568/getInfo.php?workbook=12_04.xlsx&amp;sheet=U0&amp;row=2997&amp;col=6&amp;number=4.3&amp;sourceID=14","4.3")</f>
        <v>4.3</v>
      </c>
      <c r="G2997" s="4" t="str">
        <f>HYPERLINK("http://141.218.60.56/~jnz1568/getInfo.php?workbook=12_04.xlsx&amp;sheet=U0&amp;row=2997&amp;col=7&amp;number=0.00564&amp;sourceID=14","0.00564")</f>
        <v>0.00564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HYPERLINK("http://141.218.60.56/~jnz1568/getInfo.php?workbook=12_04.xlsx&amp;sheet=U0&amp;row=2998&amp;col=6&amp;number=4.4&amp;sourceID=14","4.4")</f>
        <v>4.4</v>
      </c>
      <c r="G2998" s="4" t="str">
        <f>HYPERLINK("http://141.218.60.56/~jnz1568/getInfo.php?workbook=12_04.xlsx&amp;sheet=U0&amp;row=2998&amp;col=7&amp;number=0.00557&amp;sourceID=14","0.00557")</f>
        <v>0.00557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HYPERLINK("http://141.218.60.56/~jnz1568/getInfo.php?workbook=12_04.xlsx&amp;sheet=U0&amp;row=2999&amp;col=6&amp;number=4.5&amp;sourceID=14","4.5")</f>
        <v>4.5</v>
      </c>
      <c r="G2999" s="4" t="str">
        <f>HYPERLINK("http://141.218.60.56/~jnz1568/getInfo.php?workbook=12_04.xlsx&amp;sheet=U0&amp;row=2999&amp;col=7&amp;number=0.0055&amp;sourceID=14","0.0055")</f>
        <v>0.0055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HYPERLINK("http://141.218.60.56/~jnz1568/getInfo.php?workbook=12_04.xlsx&amp;sheet=U0&amp;row=3000&amp;col=6&amp;number=4.6&amp;sourceID=14","4.6")</f>
        <v>4.6</v>
      </c>
      <c r="G3000" s="4" t="str">
        <f>HYPERLINK("http://141.218.60.56/~jnz1568/getInfo.php?workbook=12_04.xlsx&amp;sheet=U0&amp;row=3000&amp;col=7&amp;number=0.0054&amp;sourceID=14","0.0054")</f>
        <v>0.0054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HYPERLINK("http://141.218.60.56/~jnz1568/getInfo.php?workbook=12_04.xlsx&amp;sheet=U0&amp;row=3001&amp;col=6&amp;number=4.7&amp;sourceID=14","4.7")</f>
        <v>4.7</v>
      </c>
      <c r="G3001" s="4" t="str">
        <f>HYPERLINK("http://141.218.60.56/~jnz1568/getInfo.php?workbook=12_04.xlsx&amp;sheet=U0&amp;row=3001&amp;col=7&amp;number=0.00528&amp;sourceID=14","0.00528")</f>
        <v>0.00528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HYPERLINK("http://141.218.60.56/~jnz1568/getInfo.php?workbook=12_04.xlsx&amp;sheet=U0&amp;row=3002&amp;col=6&amp;number=4.8&amp;sourceID=14","4.8")</f>
        <v>4.8</v>
      </c>
      <c r="G3002" s="4" t="str">
        <f>HYPERLINK("http://141.218.60.56/~jnz1568/getInfo.php?workbook=12_04.xlsx&amp;sheet=U0&amp;row=3002&amp;col=7&amp;number=0.00514&amp;sourceID=14","0.00514")</f>
        <v>0.00514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HYPERLINK("http://141.218.60.56/~jnz1568/getInfo.php?workbook=12_04.xlsx&amp;sheet=U0&amp;row=3003&amp;col=6&amp;number=4.9&amp;sourceID=14","4.9")</f>
        <v>4.9</v>
      </c>
      <c r="G3003" s="4" t="str">
        <f>HYPERLINK("http://141.218.60.56/~jnz1568/getInfo.php?workbook=12_04.xlsx&amp;sheet=U0&amp;row=3003&amp;col=7&amp;number=0.00497&amp;sourceID=14","0.00497")</f>
        <v>0.00497</v>
      </c>
    </row>
    <row r="3004" spans="1:7">
      <c r="A3004" s="3">
        <v>12</v>
      </c>
      <c r="B3004" s="3">
        <v>4</v>
      </c>
      <c r="C3004" s="3">
        <v>2</v>
      </c>
      <c r="D3004" s="3">
        <v>56</v>
      </c>
      <c r="E3004" s="3">
        <v>1</v>
      </c>
      <c r="F3004" s="4" t="str">
        <f>HYPERLINK("http://141.218.60.56/~jnz1568/getInfo.php?workbook=12_04.xlsx&amp;sheet=U0&amp;row=3004&amp;col=6&amp;number=3&amp;sourceID=14","3")</f>
        <v>3</v>
      </c>
      <c r="G3004" s="4" t="str">
        <f>HYPERLINK("http://141.218.60.56/~jnz1568/getInfo.php?workbook=12_04.xlsx&amp;sheet=U0&amp;row=3004&amp;col=7&amp;number=0.00837&amp;sourceID=14","0.00837")</f>
        <v>0.00837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HYPERLINK("http://141.218.60.56/~jnz1568/getInfo.php?workbook=12_04.xlsx&amp;sheet=U0&amp;row=3005&amp;col=6&amp;number=3.1&amp;sourceID=14","3.1")</f>
        <v>3.1</v>
      </c>
      <c r="G3005" s="4" t="str">
        <f>HYPERLINK("http://141.218.60.56/~jnz1568/getInfo.php?workbook=12_04.xlsx&amp;sheet=U0&amp;row=3005&amp;col=7&amp;number=0.00836&amp;sourceID=14","0.00836")</f>
        <v>0.00836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HYPERLINK("http://141.218.60.56/~jnz1568/getInfo.php?workbook=12_04.xlsx&amp;sheet=U0&amp;row=3006&amp;col=6&amp;number=3.2&amp;sourceID=14","3.2")</f>
        <v>3.2</v>
      </c>
      <c r="G3006" s="4" t="str">
        <f>HYPERLINK("http://141.218.60.56/~jnz1568/getInfo.php?workbook=12_04.xlsx&amp;sheet=U0&amp;row=3006&amp;col=7&amp;number=0.00836&amp;sourceID=14","0.00836")</f>
        <v>0.00836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HYPERLINK("http://141.218.60.56/~jnz1568/getInfo.php?workbook=12_04.xlsx&amp;sheet=U0&amp;row=3007&amp;col=6&amp;number=3.3&amp;sourceID=14","3.3")</f>
        <v>3.3</v>
      </c>
      <c r="G3007" s="4" t="str">
        <f>HYPERLINK("http://141.218.60.56/~jnz1568/getInfo.php?workbook=12_04.xlsx&amp;sheet=U0&amp;row=3007&amp;col=7&amp;number=0.00835&amp;sourceID=14","0.00835")</f>
        <v>0.00835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HYPERLINK("http://141.218.60.56/~jnz1568/getInfo.php?workbook=12_04.xlsx&amp;sheet=U0&amp;row=3008&amp;col=6&amp;number=3.4&amp;sourceID=14","3.4")</f>
        <v>3.4</v>
      </c>
      <c r="G3008" s="4" t="str">
        <f>HYPERLINK("http://141.218.60.56/~jnz1568/getInfo.php?workbook=12_04.xlsx&amp;sheet=U0&amp;row=3008&amp;col=7&amp;number=0.00833&amp;sourceID=14","0.00833")</f>
        <v>0.00833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HYPERLINK("http://141.218.60.56/~jnz1568/getInfo.php?workbook=12_04.xlsx&amp;sheet=U0&amp;row=3009&amp;col=6&amp;number=3.5&amp;sourceID=14","3.5")</f>
        <v>3.5</v>
      </c>
      <c r="G3009" s="4" t="str">
        <f>HYPERLINK("http://141.218.60.56/~jnz1568/getInfo.php?workbook=12_04.xlsx&amp;sheet=U0&amp;row=3009&amp;col=7&amp;number=0.00831&amp;sourceID=14","0.00831")</f>
        <v>0.00831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HYPERLINK("http://141.218.60.56/~jnz1568/getInfo.php?workbook=12_04.xlsx&amp;sheet=U0&amp;row=3010&amp;col=6&amp;number=3.6&amp;sourceID=14","3.6")</f>
        <v>3.6</v>
      </c>
      <c r="G3010" s="4" t="str">
        <f>HYPERLINK("http://141.218.60.56/~jnz1568/getInfo.php?workbook=12_04.xlsx&amp;sheet=U0&amp;row=3010&amp;col=7&amp;number=0.00829&amp;sourceID=14","0.00829")</f>
        <v>0.00829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HYPERLINK("http://141.218.60.56/~jnz1568/getInfo.php?workbook=12_04.xlsx&amp;sheet=U0&amp;row=3011&amp;col=6&amp;number=3.7&amp;sourceID=14","3.7")</f>
        <v>3.7</v>
      </c>
      <c r="G3011" s="4" t="str">
        <f>HYPERLINK("http://141.218.60.56/~jnz1568/getInfo.php?workbook=12_04.xlsx&amp;sheet=U0&amp;row=3011&amp;col=7&amp;number=0.00827&amp;sourceID=14","0.00827")</f>
        <v>0.00827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HYPERLINK("http://141.218.60.56/~jnz1568/getInfo.php?workbook=12_04.xlsx&amp;sheet=U0&amp;row=3012&amp;col=6&amp;number=3.8&amp;sourceID=14","3.8")</f>
        <v>3.8</v>
      </c>
      <c r="G3012" s="4" t="str">
        <f>HYPERLINK("http://141.218.60.56/~jnz1568/getInfo.php?workbook=12_04.xlsx&amp;sheet=U0&amp;row=3012&amp;col=7&amp;number=0.00823&amp;sourceID=14","0.00823")</f>
        <v>0.00823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HYPERLINK("http://141.218.60.56/~jnz1568/getInfo.php?workbook=12_04.xlsx&amp;sheet=U0&amp;row=3013&amp;col=6&amp;number=3.9&amp;sourceID=14","3.9")</f>
        <v>3.9</v>
      </c>
      <c r="G3013" s="4" t="str">
        <f>HYPERLINK("http://141.218.60.56/~jnz1568/getInfo.php?workbook=12_04.xlsx&amp;sheet=U0&amp;row=3013&amp;col=7&amp;number=0.00819&amp;sourceID=14","0.00819")</f>
        <v>0.00819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HYPERLINK("http://141.218.60.56/~jnz1568/getInfo.php?workbook=12_04.xlsx&amp;sheet=U0&amp;row=3014&amp;col=6&amp;number=4&amp;sourceID=14","4")</f>
        <v>4</v>
      </c>
      <c r="G3014" s="4" t="str">
        <f>HYPERLINK("http://141.218.60.56/~jnz1568/getInfo.php?workbook=12_04.xlsx&amp;sheet=U0&amp;row=3014&amp;col=7&amp;number=0.00814&amp;sourceID=14","0.00814")</f>
        <v>0.00814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HYPERLINK("http://141.218.60.56/~jnz1568/getInfo.php?workbook=12_04.xlsx&amp;sheet=U0&amp;row=3015&amp;col=6&amp;number=4.1&amp;sourceID=14","4.1")</f>
        <v>4.1</v>
      </c>
      <c r="G3015" s="4" t="str">
        <f>HYPERLINK("http://141.218.60.56/~jnz1568/getInfo.php?workbook=12_04.xlsx&amp;sheet=U0&amp;row=3015&amp;col=7&amp;number=0.00807&amp;sourceID=14","0.00807")</f>
        <v>0.00807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HYPERLINK("http://141.218.60.56/~jnz1568/getInfo.php?workbook=12_04.xlsx&amp;sheet=U0&amp;row=3016&amp;col=6&amp;number=4.2&amp;sourceID=14","4.2")</f>
        <v>4.2</v>
      </c>
      <c r="G3016" s="4" t="str">
        <f>HYPERLINK("http://141.218.60.56/~jnz1568/getInfo.php?workbook=12_04.xlsx&amp;sheet=U0&amp;row=3016&amp;col=7&amp;number=0.00799&amp;sourceID=14","0.00799")</f>
        <v>0.00799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HYPERLINK("http://141.218.60.56/~jnz1568/getInfo.php?workbook=12_04.xlsx&amp;sheet=U0&amp;row=3017&amp;col=6&amp;number=4.3&amp;sourceID=14","4.3")</f>
        <v>4.3</v>
      </c>
      <c r="G3017" s="4" t="str">
        <f>HYPERLINK("http://141.218.60.56/~jnz1568/getInfo.php?workbook=12_04.xlsx&amp;sheet=U0&amp;row=3017&amp;col=7&amp;number=0.00788&amp;sourceID=14","0.00788")</f>
        <v>0.00788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HYPERLINK("http://141.218.60.56/~jnz1568/getInfo.php?workbook=12_04.xlsx&amp;sheet=U0&amp;row=3018&amp;col=6&amp;number=4.4&amp;sourceID=14","4.4")</f>
        <v>4.4</v>
      </c>
      <c r="G3018" s="4" t="str">
        <f>HYPERLINK("http://141.218.60.56/~jnz1568/getInfo.php?workbook=12_04.xlsx&amp;sheet=U0&amp;row=3018&amp;col=7&amp;number=0.00775&amp;sourceID=14","0.00775")</f>
        <v>0.00775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HYPERLINK("http://141.218.60.56/~jnz1568/getInfo.php?workbook=12_04.xlsx&amp;sheet=U0&amp;row=3019&amp;col=6&amp;number=4.5&amp;sourceID=14","4.5")</f>
        <v>4.5</v>
      </c>
      <c r="G3019" s="4" t="str">
        <f>HYPERLINK("http://141.218.60.56/~jnz1568/getInfo.php?workbook=12_04.xlsx&amp;sheet=U0&amp;row=3019&amp;col=7&amp;number=0.00759&amp;sourceID=14","0.00759")</f>
        <v>0.00759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HYPERLINK("http://141.218.60.56/~jnz1568/getInfo.php?workbook=12_04.xlsx&amp;sheet=U0&amp;row=3020&amp;col=6&amp;number=4.6&amp;sourceID=14","4.6")</f>
        <v>4.6</v>
      </c>
      <c r="G3020" s="4" t="str">
        <f>HYPERLINK("http://141.218.60.56/~jnz1568/getInfo.php?workbook=12_04.xlsx&amp;sheet=U0&amp;row=3020&amp;col=7&amp;number=0.0074&amp;sourceID=14","0.0074")</f>
        <v>0.0074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HYPERLINK("http://141.218.60.56/~jnz1568/getInfo.php?workbook=12_04.xlsx&amp;sheet=U0&amp;row=3021&amp;col=6&amp;number=4.7&amp;sourceID=14","4.7")</f>
        <v>4.7</v>
      </c>
      <c r="G3021" s="4" t="str">
        <f>HYPERLINK("http://141.218.60.56/~jnz1568/getInfo.php?workbook=12_04.xlsx&amp;sheet=U0&amp;row=3021&amp;col=7&amp;number=0.00716&amp;sourceID=14","0.00716")</f>
        <v>0.00716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HYPERLINK("http://141.218.60.56/~jnz1568/getInfo.php?workbook=12_04.xlsx&amp;sheet=U0&amp;row=3022&amp;col=6&amp;number=4.8&amp;sourceID=14","4.8")</f>
        <v>4.8</v>
      </c>
      <c r="G3022" s="4" t="str">
        <f>HYPERLINK("http://141.218.60.56/~jnz1568/getInfo.php?workbook=12_04.xlsx&amp;sheet=U0&amp;row=3022&amp;col=7&amp;number=0.00687&amp;sourceID=14","0.00687")</f>
        <v>0.00687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HYPERLINK("http://141.218.60.56/~jnz1568/getInfo.php?workbook=12_04.xlsx&amp;sheet=U0&amp;row=3023&amp;col=6&amp;number=4.9&amp;sourceID=14","4.9")</f>
        <v>4.9</v>
      </c>
      <c r="G3023" s="4" t="str">
        <f>HYPERLINK("http://141.218.60.56/~jnz1568/getInfo.php?workbook=12_04.xlsx&amp;sheet=U0&amp;row=3023&amp;col=7&amp;number=0.00653&amp;sourceID=14","0.00653")</f>
        <v>0.00653</v>
      </c>
    </row>
    <row r="3024" spans="1:7">
      <c r="A3024" s="3">
        <v>12</v>
      </c>
      <c r="B3024" s="3">
        <v>4</v>
      </c>
      <c r="C3024" s="3">
        <v>2</v>
      </c>
      <c r="D3024" s="3">
        <v>57</v>
      </c>
      <c r="E3024" s="3">
        <v>1</v>
      </c>
      <c r="F3024" s="4" t="str">
        <f>HYPERLINK("http://141.218.60.56/~jnz1568/getInfo.php?workbook=12_04.xlsx&amp;sheet=U0&amp;row=3024&amp;col=6&amp;number=3&amp;sourceID=14","3")</f>
        <v>3</v>
      </c>
      <c r="G3024" s="4" t="str">
        <f>HYPERLINK("http://141.218.60.56/~jnz1568/getInfo.php?workbook=12_04.xlsx&amp;sheet=U0&amp;row=3024&amp;col=7&amp;number=0.00451&amp;sourceID=14","0.00451")</f>
        <v>0.00451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HYPERLINK("http://141.218.60.56/~jnz1568/getInfo.php?workbook=12_04.xlsx&amp;sheet=U0&amp;row=3025&amp;col=6&amp;number=3.1&amp;sourceID=14","3.1")</f>
        <v>3.1</v>
      </c>
      <c r="G3025" s="4" t="str">
        <f>HYPERLINK("http://141.218.60.56/~jnz1568/getInfo.php?workbook=12_04.xlsx&amp;sheet=U0&amp;row=3025&amp;col=7&amp;number=0.00451&amp;sourceID=14","0.00451")</f>
        <v>0.00451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HYPERLINK("http://141.218.60.56/~jnz1568/getInfo.php?workbook=12_04.xlsx&amp;sheet=U0&amp;row=3026&amp;col=6&amp;number=3.2&amp;sourceID=14","3.2")</f>
        <v>3.2</v>
      </c>
      <c r="G3026" s="4" t="str">
        <f>HYPERLINK("http://141.218.60.56/~jnz1568/getInfo.php?workbook=12_04.xlsx&amp;sheet=U0&amp;row=3026&amp;col=7&amp;number=0.00451&amp;sourceID=14","0.00451")</f>
        <v>0.00451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HYPERLINK("http://141.218.60.56/~jnz1568/getInfo.php?workbook=12_04.xlsx&amp;sheet=U0&amp;row=3027&amp;col=6&amp;number=3.3&amp;sourceID=14","3.3")</f>
        <v>3.3</v>
      </c>
      <c r="G3027" s="4" t="str">
        <f>HYPERLINK("http://141.218.60.56/~jnz1568/getInfo.php?workbook=12_04.xlsx&amp;sheet=U0&amp;row=3027&amp;col=7&amp;number=0.0045&amp;sourceID=14","0.0045")</f>
        <v>0.0045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HYPERLINK("http://141.218.60.56/~jnz1568/getInfo.php?workbook=12_04.xlsx&amp;sheet=U0&amp;row=3028&amp;col=6&amp;number=3.4&amp;sourceID=14","3.4")</f>
        <v>3.4</v>
      </c>
      <c r="G3028" s="4" t="str">
        <f>HYPERLINK("http://141.218.60.56/~jnz1568/getInfo.php?workbook=12_04.xlsx&amp;sheet=U0&amp;row=3028&amp;col=7&amp;number=0.0045&amp;sourceID=14","0.0045")</f>
        <v>0.0045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HYPERLINK("http://141.218.60.56/~jnz1568/getInfo.php?workbook=12_04.xlsx&amp;sheet=U0&amp;row=3029&amp;col=6&amp;number=3.5&amp;sourceID=14","3.5")</f>
        <v>3.5</v>
      </c>
      <c r="G3029" s="4" t="str">
        <f>HYPERLINK("http://141.218.60.56/~jnz1568/getInfo.php?workbook=12_04.xlsx&amp;sheet=U0&amp;row=3029&amp;col=7&amp;number=0.0045&amp;sourceID=14","0.0045")</f>
        <v>0.0045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HYPERLINK("http://141.218.60.56/~jnz1568/getInfo.php?workbook=12_04.xlsx&amp;sheet=U0&amp;row=3030&amp;col=6&amp;number=3.6&amp;sourceID=14","3.6")</f>
        <v>3.6</v>
      </c>
      <c r="G3030" s="4" t="str">
        <f>HYPERLINK("http://141.218.60.56/~jnz1568/getInfo.php?workbook=12_04.xlsx&amp;sheet=U0&amp;row=3030&amp;col=7&amp;number=0.00449&amp;sourceID=14","0.00449")</f>
        <v>0.00449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HYPERLINK("http://141.218.60.56/~jnz1568/getInfo.php?workbook=12_04.xlsx&amp;sheet=U0&amp;row=3031&amp;col=6&amp;number=3.7&amp;sourceID=14","3.7")</f>
        <v>3.7</v>
      </c>
      <c r="G3031" s="4" t="str">
        <f>HYPERLINK("http://141.218.60.56/~jnz1568/getInfo.php?workbook=12_04.xlsx&amp;sheet=U0&amp;row=3031&amp;col=7&amp;number=0.00449&amp;sourceID=14","0.00449")</f>
        <v>0.00449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HYPERLINK("http://141.218.60.56/~jnz1568/getInfo.php?workbook=12_04.xlsx&amp;sheet=U0&amp;row=3032&amp;col=6&amp;number=3.8&amp;sourceID=14","3.8")</f>
        <v>3.8</v>
      </c>
      <c r="G3032" s="4" t="str">
        <f>HYPERLINK("http://141.218.60.56/~jnz1568/getInfo.php?workbook=12_04.xlsx&amp;sheet=U0&amp;row=3032&amp;col=7&amp;number=0.00448&amp;sourceID=14","0.00448")</f>
        <v>0.00448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HYPERLINK("http://141.218.60.56/~jnz1568/getInfo.php?workbook=12_04.xlsx&amp;sheet=U0&amp;row=3033&amp;col=6&amp;number=3.9&amp;sourceID=14","3.9")</f>
        <v>3.9</v>
      </c>
      <c r="G3033" s="4" t="str">
        <f>HYPERLINK("http://141.218.60.56/~jnz1568/getInfo.php?workbook=12_04.xlsx&amp;sheet=U0&amp;row=3033&amp;col=7&amp;number=0.00447&amp;sourceID=14","0.00447")</f>
        <v>0.00447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HYPERLINK("http://141.218.60.56/~jnz1568/getInfo.php?workbook=12_04.xlsx&amp;sheet=U0&amp;row=3034&amp;col=6&amp;number=4&amp;sourceID=14","4")</f>
        <v>4</v>
      </c>
      <c r="G3034" s="4" t="str">
        <f>HYPERLINK("http://141.218.60.56/~jnz1568/getInfo.php?workbook=12_04.xlsx&amp;sheet=U0&amp;row=3034&amp;col=7&amp;number=0.00446&amp;sourceID=14","0.00446")</f>
        <v>0.00446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HYPERLINK("http://141.218.60.56/~jnz1568/getInfo.php?workbook=12_04.xlsx&amp;sheet=U0&amp;row=3035&amp;col=6&amp;number=4.1&amp;sourceID=14","4.1")</f>
        <v>4.1</v>
      </c>
      <c r="G3035" s="4" t="str">
        <f>HYPERLINK("http://141.218.60.56/~jnz1568/getInfo.php?workbook=12_04.xlsx&amp;sheet=U0&amp;row=3035&amp;col=7&amp;number=0.00444&amp;sourceID=14","0.00444")</f>
        <v>0.00444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HYPERLINK("http://141.218.60.56/~jnz1568/getInfo.php?workbook=12_04.xlsx&amp;sheet=U0&amp;row=3036&amp;col=6&amp;number=4.2&amp;sourceID=14","4.2")</f>
        <v>4.2</v>
      </c>
      <c r="G3036" s="4" t="str">
        <f>HYPERLINK("http://141.218.60.56/~jnz1568/getInfo.php?workbook=12_04.xlsx&amp;sheet=U0&amp;row=3036&amp;col=7&amp;number=0.00442&amp;sourceID=14","0.00442")</f>
        <v>0.00442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HYPERLINK("http://141.218.60.56/~jnz1568/getInfo.php?workbook=12_04.xlsx&amp;sheet=U0&amp;row=3037&amp;col=6&amp;number=4.3&amp;sourceID=14","4.3")</f>
        <v>4.3</v>
      </c>
      <c r="G3037" s="4" t="str">
        <f>HYPERLINK("http://141.218.60.56/~jnz1568/getInfo.php?workbook=12_04.xlsx&amp;sheet=U0&amp;row=3037&amp;col=7&amp;number=0.0044&amp;sourceID=14","0.0044")</f>
        <v>0.0044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HYPERLINK("http://141.218.60.56/~jnz1568/getInfo.php?workbook=12_04.xlsx&amp;sheet=U0&amp;row=3038&amp;col=6&amp;number=4.4&amp;sourceID=14","4.4")</f>
        <v>4.4</v>
      </c>
      <c r="G3038" s="4" t="str">
        <f>HYPERLINK("http://141.218.60.56/~jnz1568/getInfo.php?workbook=12_04.xlsx&amp;sheet=U0&amp;row=3038&amp;col=7&amp;number=0.00437&amp;sourceID=14","0.00437")</f>
        <v>0.00437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HYPERLINK("http://141.218.60.56/~jnz1568/getInfo.php?workbook=12_04.xlsx&amp;sheet=U0&amp;row=3039&amp;col=6&amp;number=4.5&amp;sourceID=14","4.5")</f>
        <v>4.5</v>
      </c>
      <c r="G3039" s="4" t="str">
        <f>HYPERLINK("http://141.218.60.56/~jnz1568/getInfo.php?workbook=12_04.xlsx&amp;sheet=U0&amp;row=3039&amp;col=7&amp;number=0.00433&amp;sourceID=14","0.00433")</f>
        <v>0.00433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HYPERLINK("http://141.218.60.56/~jnz1568/getInfo.php?workbook=12_04.xlsx&amp;sheet=U0&amp;row=3040&amp;col=6&amp;number=4.6&amp;sourceID=14","4.6")</f>
        <v>4.6</v>
      </c>
      <c r="G3040" s="4" t="str">
        <f>HYPERLINK("http://141.218.60.56/~jnz1568/getInfo.php?workbook=12_04.xlsx&amp;sheet=U0&amp;row=3040&amp;col=7&amp;number=0.00429&amp;sourceID=14","0.00429")</f>
        <v>0.00429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HYPERLINK("http://141.218.60.56/~jnz1568/getInfo.php?workbook=12_04.xlsx&amp;sheet=U0&amp;row=3041&amp;col=6&amp;number=4.7&amp;sourceID=14","4.7")</f>
        <v>4.7</v>
      </c>
      <c r="G3041" s="4" t="str">
        <f>HYPERLINK("http://141.218.60.56/~jnz1568/getInfo.php?workbook=12_04.xlsx&amp;sheet=U0&amp;row=3041&amp;col=7&amp;number=0.00423&amp;sourceID=14","0.00423")</f>
        <v>0.00423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HYPERLINK("http://141.218.60.56/~jnz1568/getInfo.php?workbook=12_04.xlsx&amp;sheet=U0&amp;row=3042&amp;col=6&amp;number=4.8&amp;sourceID=14","4.8")</f>
        <v>4.8</v>
      </c>
      <c r="G3042" s="4" t="str">
        <f>HYPERLINK("http://141.218.60.56/~jnz1568/getInfo.php?workbook=12_04.xlsx&amp;sheet=U0&amp;row=3042&amp;col=7&amp;number=0.00416&amp;sourceID=14","0.00416")</f>
        <v>0.00416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HYPERLINK("http://141.218.60.56/~jnz1568/getInfo.php?workbook=12_04.xlsx&amp;sheet=U0&amp;row=3043&amp;col=6&amp;number=4.9&amp;sourceID=14","4.9")</f>
        <v>4.9</v>
      </c>
      <c r="G3043" s="4" t="str">
        <f>HYPERLINK("http://141.218.60.56/~jnz1568/getInfo.php?workbook=12_04.xlsx&amp;sheet=U0&amp;row=3043&amp;col=7&amp;number=0.00409&amp;sourceID=14","0.00409")</f>
        <v>0.00409</v>
      </c>
    </row>
    <row r="3044" spans="1:7">
      <c r="A3044" s="3">
        <v>12</v>
      </c>
      <c r="B3044" s="3">
        <v>4</v>
      </c>
      <c r="C3044" s="3">
        <v>2</v>
      </c>
      <c r="D3044" s="3">
        <v>58</v>
      </c>
      <c r="E3044" s="3">
        <v>1</v>
      </c>
      <c r="F3044" s="4" t="str">
        <f>HYPERLINK("http://141.218.60.56/~jnz1568/getInfo.php?workbook=12_04.xlsx&amp;sheet=U0&amp;row=3044&amp;col=6&amp;number=3&amp;sourceID=14","3")</f>
        <v>3</v>
      </c>
      <c r="G3044" s="4" t="str">
        <f>HYPERLINK("http://141.218.60.56/~jnz1568/getInfo.php?workbook=12_04.xlsx&amp;sheet=U0&amp;row=3044&amp;col=7&amp;number=0.00269&amp;sourceID=14","0.00269")</f>
        <v>0.00269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HYPERLINK("http://141.218.60.56/~jnz1568/getInfo.php?workbook=12_04.xlsx&amp;sheet=U0&amp;row=3045&amp;col=6&amp;number=3.1&amp;sourceID=14","3.1")</f>
        <v>3.1</v>
      </c>
      <c r="G3045" s="4" t="str">
        <f>HYPERLINK("http://141.218.60.56/~jnz1568/getInfo.php?workbook=12_04.xlsx&amp;sheet=U0&amp;row=3045&amp;col=7&amp;number=0.00268&amp;sourceID=14","0.00268")</f>
        <v>0.00268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HYPERLINK("http://141.218.60.56/~jnz1568/getInfo.php?workbook=12_04.xlsx&amp;sheet=U0&amp;row=3046&amp;col=6&amp;number=3.2&amp;sourceID=14","3.2")</f>
        <v>3.2</v>
      </c>
      <c r="G3046" s="4" t="str">
        <f>HYPERLINK("http://141.218.60.56/~jnz1568/getInfo.php?workbook=12_04.xlsx&amp;sheet=U0&amp;row=3046&amp;col=7&amp;number=0.00268&amp;sourceID=14","0.00268")</f>
        <v>0.00268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HYPERLINK("http://141.218.60.56/~jnz1568/getInfo.php?workbook=12_04.xlsx&amp;sheet=U0&amp;row=3047&amp;col=6&amp;number=3.3&amp;sourceID=14","3.3")</f>
        <v>3.3</v>
      </c>
      <c r="G3047" s="4" t="str">
        <f>HYPERLINK("http://141.218.60.56/~jnz1568/getInfo.php?workbook=12_04.xlsx&amp;sheet=U0&amp;row=3047&amp;col=7&amp;number=0.00268&amp;sourceID=14","0.00268")</f>
        <v>0.00268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HYPERLINK("http://141.218.60.56/~jnz1568/getInfo.php?workbook=12_04.xlsx&amp;sheet=U0&amp;row=3048&amp;col=6&amp;number=3.4&amp;sourceID=14","3.4")</f>
        <v>3.4</v>
      </c>
      <c r="G3048" s="4" t="str">
        <f>HYPERLINK("http://141.218.60.56/~jnz1568/getInfo.php?workbook=12_04.xlsx&amp;sheet=U0&amp;row=3048&amp;col=7&amp;number=0.00268&amp;sourceID=14","0.00268")</f>
        <v>0.00268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HYPERLINK("http://141.218.60.56/~jnz1568/getInfo.php?workbook=12_04.xlsx&amp;sheet=U0&amp;row=3049&amp;col=6&amp;number=3.5&amp;sourceID=14","3.5")</f>
        <v>3.5</v>
      </c>
      <c r="G3049" s="4" t="str">
        <f>HYPERLINK("http://141.218.60.56/~jnz1568/getInfo.php?workbook=12_04.xlsx&amp;sheet=U0&amp;row=3049&amp;col=7&amp;number=0.00267&amp;sourceID=14","0.00267")</f>
        <v>0.00267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HYPERLINK("http://141.218.60.56/~jnz1568/getInfo.php?workbook=12_04.xlsx&amp;sheet=U0&amp;row=3050&amp;col=6&amp;number=3.6&amp;sourceID=14","3.6")</f>
        <v>3.6</v>
      </c>
      <c r="G3050" s="4" t="str">
        <f>HYPERLINK("http://141.218.60.56/~jnz1568/getInfo.php?workbook=12_04.xlsx&amp;sheet=U0&amp;row=3050&amp;col=7&amp;number=0.00267&amp;sourceID=14","0.00267")</f>
        <v>0.00267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HYPERLINK("http://141.218.60.56/~jnz1568/getInfo.php?workbook=12_04.xlsx&amp;sheet=U0&amp;row=3051&amp;col=6&amp;number=3.7&amp;sourceID=14","3.7")</f>
        <v>3.7</v>
      </c>
      <c r="G3051" s="4" t="str">
        <f>HYPERLINK("http://141.218.60.56/~jnz1568/getInfo.php?workbook=12_04.xlsx&amp;sheet=U0&amp;row=3051&amp;col=7&amp;number=0.00266&amp;sourceID=14","0.00266")</f>
        <v>0.00266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HYPERLINK("http://141.218.60.56/~jnz1568/getInfo.php?workbook=12_04.xlsx&amp;sheet=U0&amp;row=3052&amp;col=6&amp;number=3.8&amp;sourceID=14","3.8")</f>
        <v>3.8</v>
      </c>
      <c r="G3052" s="4" t="str">
        <f>HYPERLINK("http://141.218.60.56/~jnz1568/getInfo.php?workbook=12_04.xlsx&amp;sheet=U0&amp;row=3052&amp;col=7&amp;number=0.00266&amp;sourceID=14","0.00266")</f>
        <v>0.00266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HYPERLINK("http://141.218.60.56/~jnz1568/getInfo.php?workbook=12_04.xlsx&amp;sheet=U0&amp;row=3053&amp;col=6&amp;number=3.9&amp;sourceID=14","3.9")</f>
        <v>3.9</v>
      </c>
      <c r="G3053" s="4" t="str">
        <f>HYPERLINK("http://141.218.60.56/~jnz1568/getInfo.php?workbook=12_04.xlsx&amp;sheet=U0&amp;row=3053&amp;col=7&amp;number=0.00265&amp;sourceID=14","0.00265")</f>
        <v>0.00265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HYPERLINK("http://141.218.60.56/~jnz1568/getInfo.php?workbook=12_04.xlsx&amp;sheet=U0&amp;row=3054&amp;col=6&amp;number=4&amp;sourceID=14","4")</f>
        <v>4</v>
      </c>
      <c r="G3054" s="4" t="str">
        <f>HYPERLINK("http://141.218.60.56/~jnz1568/getInfo.php?workbook=12_04.xlsx&amp;sheet=U0&amp;row=3054&amp;col=7&amp;number=0.00264&amp;sourceID=14","0.00264")</f>
        <v>0.00264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HYPERLINK("http://141.218.60.56/~jnz1568/getInfo.php?workbook=12_04.xlsx&amp;sheet=U0&amp;row=3055&amp;col=6&amp;number=4.1&amp;sourceID=14","4.1")</f>
        <v>4.1</v>
      </c>
      <c r="G3055" s="4" t="str">
        <f>HYPERLINK("http://141.218.60.56/~jnz1568/getInfo.php?workbook=12_04.xlsx&amp;sheet=U0&amp;row=3055&amp;col=7&amp;number=0.00263&amp;sourceID=14","0.00263")</f>
        <v>0.00263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HYPERLINK("http://141.218.60.56/~jnz1568/getInfo.php?workbook=12_04.xlsx&amp;sheet=U0&amp;row=3056&amp;col=6&amp;number=4.2&amp;sourceID=14","4.2")</f>
        <v>4.2</v>
      </c>
      <c r="G3056" s="4" t="str">
        <f>HYPERLINK("http://141.218.60.56/~jnz1568/getInfo.php?workbook=12_04.xlsx&amp;sheet=U0&amp;row=3056&amp;col=7&amp;number=0.00261&amp;sourceID=14","0.00261")</f>
        <v>0.00261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HYPERLINK("http://141.218.60.56/~jnz1568/getInfo.php?workbook=12_04.xlsx&amp;sheet=U0&amp;row=3057&amp;col=6&amp;number=4.3&amp;sourceID=14","4.3")</f>
        <v>4.3</v>
      </c>
      <c r="G3057" s="4" t="str">
        <f>HYPERLINK("http://141.218.60.56/~jnz1568/getInfo.php?workbook=12_04.xlsx&amp;sheet=U0&amp;row=3057&amp;col=7&amp;number=0.00259&amp;sourceID=14","0.00259")</f>
        <v>0.00259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HYPERLINK("http://141.218.60.56/~jnz1568/getInfo.php?workbook=12_04.xlsx&amp;sheet=U0&amp;row=3058&amp;col=6&amp;number=4.4&amp;sourceID=14","4.4")</f>
        <v>4.4</v>
      </c>
      <c r="G3058" s="4" t="str">
        <f>HYPERLINK("http://141.218.60.56/~jnz1568/getInfo.php?workbook=12_04.xlsx&amp;sheet=U0&amp;row=3058&amp;col=7&amp;number=0.00256&amp;sourceID=14","0.00256")</f>
        <v>0.00256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HYPERLINK("http://141.218.60.56/~jnz1568/getInfo.php?workbook=12_04.xlsx&amp;sheet=U0&amp;row=3059&amp;col=6&amp;number=4.5&amp;sourceID=14","4.5")</f>
        <v>4.5</v>
      </c>
      <c r="G3059" s="4" t="str">
        <f>HYPERLINK("http://141.218.60.56/~jnz1568/getInfo.php?workbook=12_04.xlsx&amp;sheet=U0&amp;row=3059&amp;col=7&amp;number=0.00253&amp;sourceID=14","0.00253")</f>
        <v>0.00253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HYPERLINK("http://141.218.60.56/~jnz1568/getInfo.php?workbook=12_04.xlsx&amp;sheet=U0&amp;row=3060&amp;col=6&amp;number=4.6&amp;sourceID=14","4.6")</f>
        <v>4.6</v>
      </c>
      <c r="G3060" s="4" t="str">
        <f>HYPERLINK("http://141.218.60.56/~jnz1568/getInfo.php?workbook=12_04.xlsx&amp;sheet=U0&amp;row=3060&amp;col=7&amp;number=0.00249&amp;sourceID=14","0.00249")</f>
        <v>0.00249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HYPERLINK("http://141.218.60.56/~jnz1568/getInfo.php?workbook=12_04.xlsx&amp;sheet=U0&amp;row=3061&amp;col=6&amp;number=4.7&amp;sourceID=14","4.7")</f>
        <v>4.7</v>
      </c>
      <c r="G3061" s="4" t="str">
        <f>HYPERLINK("http://141.218.60.56/~jnz1568/getInfo.php?workbook=12_04.xlsx&amp;sheet=U0&amp;row=3061&amp;col=7&amp;number=0.00244&amp;sourceID=14","0.00244")</f>
        <v>0.00244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HYPERLINK("http://141.218.60.56/~jnz1568/getInfo.php?workbook=12_04.xlsx&amp;sheet=U0&amp;row=3062&amp;col=6&amp;number=4.8&amp;sourceID=14","4.8")</f>
        <v>4.8</v>
      </c>
      <c r="G3062" s="4" t="str">
        <f>HYPERLINK("http://141.218.60.56/~jnz1568/getInfo.php?workbook=12_04.xlsx&amp;sheet=U0&amp;row=3062&amp;col=7&amp;number=0.00238&amp;sourceID=14","0.00238")</f>
        <v>0.00238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HYPERLINK("http://141.218.60.56/~jnz1568/getInfo.php?workbook=12_04.xlsx&amp;sheet=U0&amp;row=3063&amp;col=6&amp;number=4.9&amp;sourceID=14","4.9")</f>
        <v>4.9</v>
      </c>
      <c r="G3063" s="4" t="str">
        <f>HYPERLINK("http://141.218.60.56/~jnz1568/getInfo.php?workbook=12_04.xlsx&amp;sheet=U0&amp;row=3063&amp;col=7&amp;number=0.00231&amp;sourceID=14","0.00231")</f>
        <v>0.00231</v>
      </c>
    </row>
    <row r="3064" spans="1:7">
      <c r="A3064" s="3">
        <v>12</v>
      </c>
      <c r="B3064" s="3">
        <v>4</v>
      </c>
      <c r="C3064" s="3">
        <v>2</v>
      </c>
      <c r="D3064" s="3">
        <v>59</v>
      </c>
      <c r="E3064" s="3">
        <v>1</v>
      </c>
      <c r="F3064" s="4" t="str">
        <f>HYPERLINK("http://141.218.60.56/~jnz1568/getInfo.php?workbook=12_04.xlsx&amp;sheet=U0&amp;row=3064&amp;col=6&amp;number=3&amp;sourceID=14","3")</f>
        <v>3</v>
      </c>
      <c r="G3064" s="4" t="str">
        <f>HYPERLINK("http://141.218.60.56/~jnz1568/getInfo.php?workbook=12_04.xlsx&amp;sheet=U0&amp;row=3064&amp;col=7&amp;number=0.00246&amp;sourceID=14","0.00246")</f>
        <v>0.00246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HYPERLINK("http://141.218.60.56/~jnz1568/getInfo.php?workbook=12_04.xlsx&amp;sheet=U0&amp;row=3065&amp;col=6&amp;number=3.1&amp;sourceID=14","3.1")</f>
        <v>3.1</v>
      </c>
      <c r="G3065" s="4" t="str">
        <f>HYPERLINK("http://141.218.60.56/~jnz1568/getInfo.php?workbook=12_04.xlsx&amp;sheet=U0&amp;row=3065&amp;col=7&amp;number=0.00245&amp;sourceID=14","0.00245")</f>
        <v>0.00245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HYPERLINK("http://141.218.60.56/~jnz1568/getInfo.php?workbook=12_04.xlsx&amp;sheet=U0&amp;row=3066&amp;col=6&amp;number=3.2&amp;sourceID=14","3.2")</f>
        <v>3.2</v>
      </c>
      <c r="G3066" s="4" t="str">
        <f>HYPERLINK("http://141.218.60.56/~jnz1568/getInfo.php?workbook=12_04.xlsx&amp;sheet=U0&amp;row=3066&amp;col=7&amp;number=0.00245&amp;sourceID=14","0.00245")</f>
        <v>0.00245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HYPERLINK("http://141.218.60.56/~jnz1568/getInfo.php?workbook=12_04.xlsx&amp;sheet=U0&amp;row=3067&amp;col=6&amp;number=3.3&amp;sourceID=14","3.3")</f>
        <v>3.3</v>
      </c>
      <c r="G3067" s="4" t="str">
        <f>HYPERLINK("http://141.218.60.56/~jnz1568/getInfo.php?workbook=12_04.xlsx&amp;sheet=U0&amp;row=3067&amp;col=7&amp;number=0.00245&amp;sourceID=14","0.00245")</f>
        <v>0.00245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HYPERLINK("http://141.218.60.56/~jnz1568/getInfo.php?workbook=12_04.xlsx&amp;sheet=U0&amp;row=3068&amp;col=6&amp;number=3.4&amp;sourceID=14","3.4")</f>
        <v>3.4</v>
      </c>
      <c r="G3068" s="4" t="str">
        <f>HYPERLINK("http://141.218.60.56/~jnz1568/getInfo.php?workbook=12_04.xlsx&amp;sheet=U0&amp;row=3068&amp;col=7&amp;number=0.00245&amp;sourceID=14","0.00245")</f>
        <v>0.00245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HYPERLINK("http://141.218.60.56/~jnz1568/getInfo.php?workbook=12_04.xlsx&amp;sheet=U0&amp;row=3069&amp;col=6&amp;number=3.5&amp;sourceID=14","3.5")</f>
        <v>3.5</v>
      </c>
      <c r="G3069" s="4" t="str">
        <f>HYPERLINK("http://141.218.60.56/~jnz1568/getInfo.php?workbook=12_04.xlsx&amp;sheet=U0&amp;row=3069&amp;col=7&amp;number=0.00245&amp;sourceID=14","0.00245")</f>
        <v>0.00245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HYPERLINK("http://141.218.60.56/~jnz1568/getInfo.php?workbook=12_04.xlsx&amp;sheet=U0&amp;row=3070&amp;col=6&amp;number=3.6&amp;sourceID=14","3.6")</f>
        <v>3.6</v>
      </c>
      <c r="G3070" s="4" t="str">
        <f>HYPERLINK("http://141.218.60.56/~jnz1568/getInfo.php?workbook=12_04.xlsx&amp;sheet=U0&amp;row=3070&amp;col=7&amp;number=0.00244&amp;sourceID=14","0.00244")</f>
        <v>0.00244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HYPERLINK("http://141.218.60.56/~jnz1568/getInfo.php?workbook=12_04.xlsx&amp;sheet=U0&amp;row=3071&amp;col=6&amp;number=3.7&amp;sourceID=14","3.7")</f>
        <v>3.7</v>
      </c>
      <c r="G3071" s="4" t="str">
        <f>HYPERLINK("http://141.218.60.56/~jnz1568/getInfo.php?workbook=12_04.xlsx&amp;sheet=U0&amp;row=3071&amp;col=7&amp;number=0.00244&amp;sourceID=14","0.00244")</f>
        <v>0.00244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HYPERLINK("http://141.218.60.56/~jnz1568/getInfo.php?workbook=12_04.xlsx&amp;sheet=U0&amp;row=3072&amp;col=6&amp;number=3.8&amp;sourceID=14","3.8")</f>
        <v>3.8</v>
      </c>
      <c r="G3072" s="4" t="str">
        <f>HYPERLINK("http://141.218.60.56/~jnz1568/getInfo.php?workbook=12_04.xlsx&amp;sheet=U0&amp;row=3072&amp;col=7&amp;number=0.00243&amp;sourceID=14","0.00243")</f>
        <v>0.00243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HYPERLINK("http://141.218.60.56/~jnz1568/getInfo.php?workbook=12_04.xlsx&amp;sheet=U0&amp;row=3073&amp;col=6&amp;number=3.9&amp;sourceID=14","3.9")</f>
        <v>3.9</v>
      </c>
      <c r="G3073" s="4" t="str">
        <f>HYPERLINK("http://141.218.60.56/~jnz1568/getInfo.php?workbook=12_04.xlsx&amp;sheet=U0&amp;row=3073&amp;col=7&amp;number=0.00243&amp;sourceID=14","0.00243")</f>
        <v>0.00243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HYPERLINK("http://141.218.60.56/~jnz1568/getInfo.php?workbook=12_04.xlsx&amp;sheet=U0&amp;row=3074&amp;col=6&amp;number=4&amp;sourceID=14","4")</f>
        <v>4</v>
      </c>
      <c r="G3074" s="4" t="str">
        <f>HYPERLINK("http://141.218.60.56/~jnz1568/getInfo.php?workbook=12_04.xlsx&amp;sheet=U0&amp;row=3074&amp;col=7&amp;number=0.00242&amp;sourceID=14","0.00242")</f>
        <v>0.00242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HYPERLINK("http://141.218.60.56/~jnz1568/getInfo.php?workbook=12_04.xlsx&amp;sheet=U0&amp;row=3075&amp;col=6&amp;number=4.1&amp;sourceID=14","4.1")</f>
        <v>4.1</v>
      </c>
      <c r="G3075" s="4" t="str">
        <f>HYPERLINK("http://141.218.60.56/~jnz1568/getInfo.php?workbook=12_04.xlsx&amp;sheet=U0&amp;row=3075&amp;col=7&amp;number=0.00241&amp;sourceID=14","0.00241")</f>
        <v>0.00241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HYPERLINK("http://141.218.60.56/~jnz1568/getInfo.php?workbook=12_04.xlsx&amp;sheet=U0&amp;row=3076&amp;col=6&amp;number=4.2&amp;sourceID=14","4.2")</f>
        <v>4.2</v>
      </c>
      <c r="G3076" s="4" t="str">
        <f>HYPERLINK("http://141.218.60.56/~jnz1568/getInfo.php?workbook=12_04.xlsx&amp;sheet=U0&amp;row=3076&amp;col=7&amp;number=0.00239&amp;sourceID=14","0.00239")</f>
        <v>0.00239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HYPERLINK("http://141.218.60.56/~jnz1568/getInfo.php?workbook=12_04.xlsx&amp;sheet=U0&amp;row=3077&amp;col=6&amp;number=4.3&amp;sourceID=14","4.3")</f>
        <v>4.3</v>
      </c>
      <c r="G3077" s="4" t="str">
        <f>HYPERLINK("http://141.218.60.56/~jnz1568/getInfo.php?workbook=12_04.xlsx&amp;sheet=U0&amp;row=3077&amp;col=7&amp;number=0.00238&amp;sourceID=14","0.00238")</f>
        <v>0.00238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HYPERLINK("http://141.218.60.56/~jnz1568/getInfo.php?workbook=12_04.xlsx&amp;sheet=U0&amp;row=3078&amp;col=6&amp;number=4.4&amp;sourceID=14","4.4")</f>
        <v>4.4</v>
      </c>
      <c r="G3078" s="4" t="str">
        <f>HYPERLINK("http://141.218.60.56/~jnz1568/getInfo.php?workbook=12_04.xlsx&amp;sheet=U0&amp;row=3078&amp;col=7&amp;number=0.00235&amp;sourceID=14","0.00235")</f>
        <v>0.00235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HYPERLINK("http://141.218.60.56/~jnz1568/getInfo.php?workbook=12_04.xlsx&amp;sheet=U0&amp;row=3079&amp;col=6&amp;number=4.5&amp;sourceID=14","4.5")</f>
        <v>4.5</v>
      </c>
      <c r="G3079" s="4" t="str">
        <f>HYPERLINK("http://141.218.60.56/~jnz1568/getInfo.php?workbook=12_04.xlsx&amp;sheet=U0&amp;row=3079&amp;col=7&amp;number=0.00233&amp;sourceID=14","0.00233")</f>
        <v>0.00233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HYPERLINK("http://141.218.60.56/~jnz1568/getInfo.php?workbook=12_04.xlsx&amp;sheet=U0&amp;row=3080&amp;col=6&amp;number=4.6&amp;sourceID=14","4.6")</f>
        <v>4.6</v>
      </c>
      <c r="G3080" s="4" t="str">
        <f>HYPERLINK("http://141.218.60.56/~jnz1568/getInfo.php?workbook=12_04.xlsx&amp;sheet=U0&amp;row=3080&amp;col=7&amp;number=0.00229&amp;sourceID=14","0.00229")</f>
        <v>0.00229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HYPERLINK("http://141.218.60.56/~jnz1568/getInfo.php?workbook=12_04.xlsx&amp;sheet=U0&amp;row=3081&amp;col=6&amp;number=4.7&amp;sourceID=14","4.7")</f>
        <v>4.7</v>
      </c>
      <c r="G3081" s="4" t="str">
        <f>HYPERLINK("http://141.218.60.56/~jnz1568/getInfo.php?workbook=12_04.xlsx&amp;sheet=U0&amp;row=3081&amp;col=7&amp;number=0.00225&amp;sourceID=14","0.00225")</f>
        <v>0.00225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HYPERLINK("http://141.218.60.56/~jnz1568/getInfo.php?workbook=12_04.xlsx&amp;sheet=U0&amp;row=3082&amp;col=6&amp;number=4.8&amp;sourceID=14","4.8")</f>
        <v>4.8</v>
      </c>
      <c r="G3082" s="4" t="str">
        <f>HYPERLINK("http://141.218.60.56/~jnz1568/getInfo.php?workbook=12_04.xlsx&amp;sheet=U0&amp;row=3082&amp;col=7&amp;number=0.00221&amp;sourceID=14","0.00221")</f>
        <v>0.00221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HYPERLINK("http://141.218.60.56/~jnz1568/getInfo.php?workbook=12_04.xlsx&amp;sheet=U0&amp;row=3083&amp;col=6&amp;number=4.9&amp;sourceID=14","4.9")</f>
        <v>4.9</v>
      </c>
      <c r="G3083" s="4" t="str">
        <f>HYPERLINK("http://141.218.60.56/~jnz1568/getInfo.php?workbook=12_04.xlsx&amp;sheet=U0&amp;row=3083&amp;col=7&amp;number=0.00215&amp;sourceID=14","0.00215")</f>
        <v>0.00215</v>
      </c>
    </row>
    <row r="3084" spans="1:7">
      <c r="A3084" s="3">
        <v>12</v>
      </c>
      <c r="B3084" s="3">
        <v>4</v>
      </c>
      <c r="C3084" s="3">
        <v>2</v>
      </c>
      <c r="D3084" s="3">
        <v>60</v>
      </c>
      <c r="E3084" s="3">
        <v>1</v>
      </c>
      <c r="F3084" s="4" t="str">
        <f>HYPERLINK("http://141.218.60.56/~jnz1568/getInfo.php?workbook=12_04.xlsx&amp;sheet=U0&amp;row=3084&amp;col=6&amp;number=3&amp;sourceID=14","3")</f>
        <v>3</v>
      </c>
      <c r="G3084" s="4" t="str">
        <f>HYPERLINK("http://141.218.60.56/~jnz1568/getInfo.php?workbook=12_04.xlsx&amp;sheet=U0&amp;row=3084&amp;col=7&amp;number=0.00249&amp;sourceID=14","0.00249")</f>
        <v>0.00249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HYPERLINK("http://141.218.60.56/~jnz1568/getInfo.php?workbook=12_04.xlsx&amp;sheet=U0&amp;row=3085&amp;col=6&amp;number=3.1&amp;sourceID=14","3.1")</f>
        <v>3.1</v>
      </c>
      <c r="G3085" s="4" t="str">
        <f>HYPERLINK("http://141.218.60.56/~jnz1568/getInfo.php?workbook=12_04.xlsx&amp;sheet=U0&amp;row=3085&amp;col=7&amp;number=0.00248&amp;sourceID=14","0.00248")</f>
        <v>0.00248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HYPERLINK("http://141.218.60.56/~jnz1568/getInfo.php?workbook=12_04.xlsx&amp;sheet=U0&amp;row=3086&amp;col=6&amp;number=3.2&amp;sourceID=14","3.2")</f>
        <v>3.2</v>
      </c>
      <c r="G3086" s="4" t="str">
        <f>HYPERLINK("http://141.218.60.56/~jnz1568/getInfo.php?workbook=12_04.xlsx&amp;sheet=U0&amp;row=3086&amp;col=7&amp;number=0.00248&amp;sourceID=14","0.00248")</f>
        <v>0.00248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HYPERLINK("http://141.218.60.56/~jnz1568/getInfo.php?workbook=12_04.xlsx&amp;sheet=U0&amp;row=3087&amp;col=6&amp;number=3.3&amp;sourceID=14","3.3")</f>
        <v>3.3</v>
      </c>
      <c r="G3087" s="4" t="str">
        <f>HYPERLINK("http://141.218.60.56/~jnz1568/getInfo.php?workbook=12_04.xlsx&amp;sheet=U0&amp;row=3087&amp;col=7&amp;number=0.00248&amp;sourceID=14","0.00248")</f>
        <v>0.00248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HYPERLINK("http://141.218.60.56/~jnz1568/getInfo.php?workbook=12_04.xlsx&amp;sheet=U0&amp;row=3088&amp;col=6&amp;number=3.4&amp;sourceID=14","3.4")</f>
        <v>3.4</v>
      </c>
      <c r="G3088" s="4" t="str">
        <f>HYPERLINK("http://141.218.60.56/~jnz1568/getInfo.php?workbook=12_04.xlsx&amp;sheet=U0&amp;row=3088&amp;col=7&amp;number=0.00248&amp;sourceID=14","0.00248")</f>
        <v>0.00248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HYPERLINK("http://141.218.60.56/~jnz1568/getInfo.php?workbook=12_04.xlsx&amp;sheet=U0&amp;row=3089&amp;col=6&amp;number=3.5&amp;sourceID=14","3.5")</f>
        <v>3.5</v>
      </c>
      <c r="G3089" s="4" t="str">
        <f>HYPERLINK("http://141.218.60.56/~jnz1568/getInfo.php?workbook=12_04.xlsx&amp;sheet=U0&amp;row=3089&amp;col=7&amp;number=0.00247&amp;sourceID=14","0.00247")</f>
        <v>0.00247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HYPERLINK("http://141.218.60.56/~jnz1568/getInfo.php?workbook=12_04.xlsx&amp;sheet=U0&amp;row=3090&amp;col=6&amp;number=3.6&amp;sourceID=14","3.6")</f>
        <v>3.6</v>
      </c>
      <c r="G3090" s="4" t="str">
        <f>HYPERLINK("http://141.218.60.56/~jnz1568/getInfo.php?workbook=12_04.xlsx&amp;sheet=U0&amp;row=3090&amp;col=7&amp;number=0.00247&amp;sourceID=14","0.00247")</f>
        <v>0.00247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HYPERLINK("http://141.218.60.56/~jnz1568/getInfo.php?workbook=12_04.xlsx&amp;sheet=U0&amp;row=3091&amp;col=6&amp;number=3.7&amp;sourceID=14","3.7")</f>
        <v>3.7</v>
      </c>
      <c r="G3091" s="4" t="str">
        <f>HYPERLINK("http://141.218.60.56/~jnz1568/getInfo.php?workbook=12_04.xlsx&amp;sheet=U0&amp;row=3091&amp;col=7&amp;number=0.00246&amp;sourceID=14","0.00246")</f>
        <v>0.00246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HYPERLINK("http://141.218.60.56/~jnz1568/getInfo.php?workbook=12_04.xlsx&amp;sheet=U0&amp;row=3092&amp;col=6&amp;number=3.8&amp;sourceID=14","3.8")</f>
        <v>3.8</v>
      </c>
      <c r="G3092" s="4" t="str">
        <f>HYPERLINK("http://141.218.60.56/~jnz1568/getInfo.php?workbook=12_04.xlsx&amp;sheet=U0&amp;row=3092&amp;col=7&amp;number=0.00246&amp;sourceID=14","0.00246")</f>
        <v>0.00246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HYPERLINK("http://141.218.60.56/~jnz1568/getInfo.php?workbook=12_04.xlsx&amp;sheet=U0&amp;row=3093&amp;col=6&amp;number=3.9&amp;sourceID=14","3.9")</f>
        <v>3.9</v>
      </c>
      <c r="G3093" s="4" t="str">
        <f>HYPERLINK("http://141.218.60.56/~jnz1568/getInfo.php?workbook=12_04.xlsx&amp;sheet=U0&amp;row=3093&amp;col=7&amp;number=0.00245&amp;sourceID=14","0.00245")</f>
        <v>0.00245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HYPERLINK("http://141.218.60.56/~jnz1568/getInfo.php?workbook=12_04.xlsx&amp;sheet=U0&amp;row=3094&amp;col=6&amp;number=4&amp;sourceID=14","4")</f>
        <v>4</v>
      </c>
      <c r="G3094" s="4" t="str">
        <f>HYPERLINK("http://141.218.60.56/~jnz1568/getInfo.php?workbook=12_04.xlsx&amp;sheet=U0&amp;row=3094&amp;col=7&amp;number=0.00244&amp;sourceID=14","0.00244")</f>
        <v>0.00244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HYPERLINK("http://141.218.60.56/~jnz1568/getInfo.php?workbook=12_04.xlsx&amp;sheet=U0&amp;row=3095&amp;col=6&amp;number=4.1&amp;sourceID=14","4.1")</f>
        <v>4.1</v>
      </c>
      <c r="G3095" s="4" t="str">
        <f>HYPERLINK("http://141.218.60.56/~jnz1568/getInfo.php?workbook=12_04.xlsx&amp;sheet=U0&amp;row=3095&amp;col=7&amp;number=0.00243&amp;sourceID=14","0.00243")</f>
        <v>0.00243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HYPERLINK("http://141.218.60.56/~jnz1568/getInfo.php?workbook=12_04.xlsx&amp;sheet=U0&amp;row=3096&amp;col=6&amp;number=4.2&amp;sourceID=14","4.2")</f>
        <v>4.2</v>
      </c>
      <c r="G3096" s="4" t="str">
        <f>HYPERLINK("http://141.218.60.56/~jnz1568/getInfo.php?workbook=12_04.xlsx&amp;sheet=U0&amp;row=3096&amp;col=7&amp;number=0.00241&amp;sourceID=14","0.00241")</f>
        <v>0.00241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HYPERLINK("http://141.218.60.56/~jnz1568/getInfo.php?workbook=12_04.xlsx&amp;sheet=U0&amp;row=3097&amp;col=6&amp;number=4.3&amp;sourceID=14","4.3")</f>
        <v>4.3</v>
      </c>
      <c r="G3097" s="4" t="str">
        <f>HYPERLINK("http://141.218.60.56/~jnz1568/getInfo.php?workbook=12_04.xlsx&amp;sheet=U0&amp;row=3097&amp;col=7&amp;number=0.00239&amp;sourceID=14","0.00239")</f>
        <v>0.00239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HYPERLINK("http://141.218.60.56/~jnz1568/getInfo.php?workbook=12_04.xlsx&amp;sheet=U0&amp;row=3098&amp;col=6&amp;number=4.4&amp;sourceID=14","4.4")</f>
        <v>4.4</v>
      </c>
      <c r="G3098" s="4" t="str">
        <f>HYPERLINK("http://141.218.60.56/~jnz1568/getInfo.php?workbook=12_04.xlsx&amp;sheet=U0&amp;row=3098&amp;col=7&amp;number=0.00236&amp;sourceID=14","0.00236")</f>
        <v>0.00236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HYPERLINK("http://141.218.60.56/~jnz1568/getInfo.php?workbook=12_04.xlsx&amp;sheet=U0&amp;row=3099&amp;col=6&amp;number=4.5&amp;sourceID=14","4.5")</f>
        <v>4.5</v>
      </c>
      <c r="G3099" s="4" t="str">
        <f>HYPERLINK("http://141.218.60.56/~jnz1568/getInfo.php?workbook=12_04.xlsx&amp;sheet=U0&amp;row=3099&amp;col=7&amp;number=0.00233&amp;sourceID=14","0.00233")</f>
        <v>0.00233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HYPERLINK("http://141.218.60.56/~jnz1568/getInfo.php?workbook=12_04.xlsx&amp;sheet=U0&amp;row=3100&amp;col=6&amp;number=4.6&amp;sourceID=14","4.6")</f>
        <v>4.6</v>
      </c>
      <c r="G3100" s="4" t="str">
        <f>HYPERLINK("http://141.218.60.56/~jnz1568/getInfo.php?workbook=12_04.xlsx&amp;sheet=U0&amp;row=3100&amp;col=7&amp;number=0.00229&amp;sourceID=14","0.00229")</f>
        <v>0.00229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HYPERLINK("http://141.218.60.56/~jnz1568/getInfo.php?workbook=12_04.xlsx&amp;sheet=U0&amp;row=3101&amp;col=6&amp;number=4.7&amp;sourceID=14","4.7")</f>
        <v>4.7</v>
      </c>
      <c r="G3101" s="4" t="str">
        <f>HYPERLINK("http://141.218.60.56/~jnz1568/getInfo.php?workbook=12_04.xlsx&amp;sheet=U0&amp;row=3101&amp;col=7&amp;number=0.00224&amp;sourceID=14","0.00224")</f>
        <v>0.00224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HYPERLINK("http://141.218.60.56/~jnz1568/getInfo.php?workbook=12_04.xlsx&amp;sheet=U0&amp;row=3102&amp;col=6&amp;number=4.8&amp;sourceID=14","4.8")</f>
        <v>4.8</v>
      </c>
      <c r="G3102" s="4" t="str">
        <f>HYPERLINK("http://141.218.60.56/~jnz1568/getInfo.php?workbook=12_04.xlsx&amp;sheet=U0&amp;row=3102&amp;col=7&amp;number=0.00218&amp;sourceID=14","0.00218")</f>
        <v>0.00218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HYPERLINK("http://141.218.60.56/~jnz1568/getInfo.php?workbook=12_04.xlsx&amp;sheet=U0&amp;row=3103&amp;col=6&amp;number=4.9&amp;sourceID=14","4.9")</f>
        <v>4.9</v>
      </c>
      <c r="G3103" s="4" t="str">
        <f>HYPERLINK("http://141.218.60.56/~jnz1568/getInfo.php?workbook=12_04.xlsx&amp;sheet=U0&amp;row=3103&amp;col=7&amp;number=0.00211&amp;sourceID=14","0.00211")</f>
        <v>0.00211</v>
      </c>
    </row>
    <row r="3104" spans="1:7">
      <c r="A3104" s="3">
        <v>12</v>
      </c>
      <c r="B3104" s="3">
        <v>4</v>
      </c>
      <c r="C3104" s="3">
        <v>2</v>
      </c>
      <c r="D3104" s="3">
        <v>61</v>
      </c>
      <c r="E3104" s="3">
        <v>1</v>
      </c>
      <c r="F3104" s="4" t="str">
        <f>HYPERLINK("http://141.218.60.56/~jnz1568/getInfo.php?workbook=12_04.xlsx&amp;sheet=U0&amp;row=3104&amp;col=6&amp;number=3&amp;sourceID=14","3")</f>
        <v>3</v>
      </c>
      <c r="G3104" s="4" t="str">
        <f>HYPERLINK("http://141.218.60.56/~jnz1568/getInfo.php?workbook=12_04.xlsx&amp;sheet=U0&amp;row=3104&amp;col=7&amp;number=0.00766&amp;sourceID=14","0.00766")</f>
        <v>0.00766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HYPERLINK("http://141.218.60.56/~jnz1568/getInfo.php?workbook=12_04.xlsx&amp;sheet=U0&amp;row=3105&amp;col=6&amp;number=3.1&amp;sourceID=14","3.1")</f>
        <v>3.1</v>
      </c>
      <c r="G3105" s="4" t="str">
        <f>HYPERLINK("http://141.218.60.56/~jnz1568/getInfo.php?workbook=12_04.xlsx&amp;sheet=U0&amp;row=3105&amp;col=7&amp;number=0.00766&amp;sourceID=14","0.00766")</f>
        <v>0.00766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HYPERLINK("http://141.218.60.56/~jnz1568/getInfo.php?workbook=12_04.xlsx&amp;sheet=U0&amp;row=3106&amp;col=6&amp;number=3.2&amp;sourceID=14","3.2")</f>
        <v>3.2</v>
      </c>
      <c r="G3106" s="4" t="str">
        <f>HYPERLINK("http://141.218.60.56/~jnz1568/getInfo.php?workbook=12_04.xlsx&amp;sheet=U0&amp;row=3106&amp;col=7&amp;number=0.00765&amp;sourceID=14","0.00765")</f>
        <v>0.00765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HYPERLINK("http://141.218.60.56/~jnz1568/getInfo.php?workbook=12_04.xlsx&amp;sheet=U0&amp;row=3107&amp;col=6&amp;number=3.3&amp;sourceID=14","3.3")</f>
        <v>3.3</v>
      </c>
      <c r="G3107" s="4" t="str">
        <f>HYPERLINK("http://141.218.60.56/~jnz1568/getInfo.php?workbook=12_04.xlsx&amp;sheet=U0&amp;row=3107&amp;col=7&amp;number=0.00764&amp;sourceID=14","0.00764")</f>
        <v>0.00764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HYPERLINK("http://141.218.60.56/~jnz1568/getInfo.php?workbook=12_04.xlsx&amp;sheet=U0&amp;row=3108&amp;col=6&amp;number=3.4&amp;sourceID=14","3.4")</f>
        <v>3.4</v>
      </c>
      <c r="G3108" s="4" t="str">
        <f>HYPERLINK("http://141.218.60.56/~jnz1568/getInfo.php?workbook=12_04.xlsx&amp;sheet=U0&amp;row=3108&amp;col=7&amp;number=0.00763&amp;sourceID=14","0.00763")</f>
        <v>0.00763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HYPERLINK("http://141.218.60.56/~jnz1568/getInfo.php?workbook=12_04.xlsx&amp;sheet=U0&amp;row=3109&amp;col=6&amp;number=3.5&amp;sourceID=14","3.5")</f>
        <v>3.5</v>
      </c>
      <c r="G3109" s="4" t="str">
        <f>HYPERLINK("http://141.218.60.56/~jnz1568/getInfo.php?workbook=12_04.xlsx&amp;sheet=U0&amp;row=3109&amp;col=7&amp;number=0.00762&amp;sourceID=14","0.00762")</f>
        <v>0.00762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HYPERLINK("http://141.218.60.56/~jnz1568/getInfo.php?workbook=12_04.xlsx&amp;sheet=U0&amp;row=3110&amp;col=6&amp;number=3.6&amp;sourceID=14","3.6")</f>
        <v>3.6</v>
      </c>
      <c r="G3110" s="4" t="str">
        <f>HYPERLINK("http://141.218.60.56/~jnz1568/getInfo.php?workbook=12_04.xlsx&amp;sheet=U0&amp;row=3110&amp;col=7&amp;number=0.00761&amp;sourceID=14","0.00761")</f>
        <v>0.00761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HYPERLINK("http://141.218.60.56/~jnz1568/getInfo.php?workbook=12_04.xlsx&amp;sheet=U0&amp;row=3111&amp;col=6&amp;number=3.7&amp;sourceID=14","3.7")</f>
        <v>3.7</v>
      </c>
      <c r="G3111" s="4" t="str">
        <f>HYPERLINK("http://141.218.60.56/~jnz1568/getInfo.php?workbook=12_04.xlsx&amp;sheet=U0&amp;row=3111&amp;col=7&amp;number=0.00759&amp;sourceID=14","0.00759")</f>
        <v>0.00759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HYPERLINK("http://141.218.60.56/~jnz1568/getInfo.php?workbook=12_04.xlsx&amp;sheet=U0&amp;row=3112&amp;col=6&amp;number=3.8&amp;sourceID=14","3.8")</f>
        <v>3.8</v>
      </c>
      <c r="G3112" s="4" t="str">
        <f>HYPERLINK("http://141.218.60.56/~jnz1568/getInfo.php?workbook=12_04.xlsx&amp;sheet=U0&amp;row=3112&amp;col=7&amp;number=0.00756&amp;sourceID=14","0.00756")</f>
        <v>0.00756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HYPERLINK("http://141.218.60.56/~jnz1568/getInfo.php?workbook=12_04.xlsx&amp;sheet=U0&amp;row=3113&amp;col=6&amp;number=3.9&amp;sourceID=14","3.9")</f>
        <v>3.9</v>
      </c>
      <c r="G3113" s="4" t="str">
        <f>HYPERLINK("http://141.218.60.56/~jnz1568/getInfo.php?workbook=12_04.xlsx&amp;sheet=U0&amp;row=3113&amp;col=7&amp;number=0.00753&amp;sourceID=14","0.00753")</f>
        <v>0.00753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HYPERLINK("http://141.218.60.56/~jnz1568/getInfo.php?workbook=12_04.xlsx&amp;sheet=U0&amp;row=3114&amp;col=6&amp;number=4&amp;sourceID=14","4")</f>
        <v>4</v>
      </c>
      <c r="G3114" s="4" t="str">
        <f>HYPERLINK("http://141.218.60.56/~jnz1568/getInfo.php?workbook=12_04.xlsx&amp;sheet=U0&amp;row=3114&amp;col=7&amp;number=0.0075&amp;sourceID=14","0.0075")</f>
        <v>0.0075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HYPERLINK("http://141.218.60.56/~jnz1568/getInfo.php?workbook=12_04.xlsx&amp;sheet=U0&amp;row=3115&amp;col=6&amp;number=4.1&amp;sourceID=14","4.1")</f>
        <v>4.1</v>
      </c>
      <c r="G3115" s="4" t="str">
        <f>HYPERLINK("http://141.218.60.56/~jnz1568/getInfo.php?workbook=12_04.xlsx&amp;sheet=U0&amp;row=3115&amp;col=7&amp;number=0.00745&amp;sourceID=14","0.00745")</f>
        <v>0.00745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HYPERLINK("http://141.218.60.56/~jnz1568/getInfo.php?workbook=12_04.xlsx&amp;sheet=U0&amp;row=3116&amp;col=6&amp;number=4.2&amp;sourceID=14","4.2")</f>
        <v>4.2</v>
      </c>
      <c r="G3116" s="4" t="str">
        <f>HYPERLINK("http://141.218.60.56/~jnz1568/getInfo.php?workbook=12_04.xlsx&amp;sheet=U0&amp;row=3116&amp;col=7&amp;number=0.0074&amp;sourceID=14","0.0074")</f>
        <v>0.0074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HYPERLINK("http://141.218.60.56/~jnz1568/getInfo.php?workbook=12_04.xlsx&amp;sheet=U0&amp;row=3117&amp;col=6&amp;number=4.3&amp;sourceID=14","4.3")</f>
        <v>4.3</v>
      </c>
      <c r="G3117" s="4" t="str">
        <f>HYPERLINK("http://141.218.60.56/~jnz1568/getInfo.php?workbook=12_04.xlsx&amp;sheet=U0&amp;row=3117&amp;col=7&amp;number=0.00733&amp;sourceID=14","0.00733")</f>
        <v>0.00733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HYPERLINK("http://141.218.60.56/~jnz1568/getInfo.php?workbook=12_04.xlsx&amp;sheet=U0&amp;row=3118&amp;col=6&amp;number=4.4&amp;sourceID=14","4.4")</f>
        <v>4.4</v>
      </c>
      <c r="G3118" s="4" t="str">
        <f>HYPERLINK("http://141.218.60.56/~jnz1568/getInfo.php?workbook=12_04.xlsx&amp;sheet=U0&amp;row=3118&amp;col=7&amp;number=0.00724&amp;sourceID=14","0.00724")</f>
        <v>0.00724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HYPERLINK("http://141.218.60.56/~jnz1568/getInfo.php?workbook=12_04.xlsx&amp;sheet=U0&amp;row=3119&amp;col=6&amp;number=4.5&amp;sourceID=14","4.5")</f>
        <v>4.5</v>
      </c>
      <c r="G3119" s="4" t="str">
        <f>HYPERLINK("http://141.218.60.56/~jnz1568/getInfo.php?workbook=12_04.xlsx&amp;sheet=U0&amp;row=3119&amp;col=7&amp;number=0.00714&amp;sourceID=14","0.00714")</f>
        <v>0.00714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HYPERLINK("http://141.218.60.56/~jnz1568/getInfo.php?workbook=12_04.xlsx&amp;sheet=U0&amp;row=3120&amp;col=6&amp;number=4.6&amp;sourceID=14","4.6")</f>
        <v>4.6</v>
      </c>
      <c r="G3120" s="4" t="str">
        <f>HYPERLINK("http://141.218.60.56/~jnz1568/getInfo.php?workbook=12_04.xlsx&amp;sheet=U0&amp;row=3120&amp;col=7&amp;number=0.00702&amp;sourceID=14","0.00702")</f>
        <v>0.00702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HYPERLINK("http://141.218.60.56/~jnz1568/getInfo.php?workbook=12_04.xlsx&amp;sheet=U0&amp;row=3121&amp;col=6&amp;number=4.7&amp;sourceID=14","4.7")</f>
        <v>4.7</v>
      </c>
      <c r="G3121" s="4" t="str">
        <f>HYPERLINK("http://141.218.60.56/~jnz1568/getInfo.php?workbook=12_04.xlsx&amp;sheet=U0&amp;row=3121&amp;col=7&amp;number=0.00688&amp;sourceID=14","0.00688")</f>
        <v>0.00688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HYPERLINK("http://141.218.60.56/~jnz1568/getInfo.php?workbook=12_04.xlsx&amp;sheet=U0&amp;row=3122&amp;col=6&amp;number=4.8&amp;sourceID=14","4.8")</f>
        <v>4.8</v>
      </c>
      <c r="G3122" s="4" t="str">
        <f>HYPERLINK("http://141.218.60.56/~jnz1568/getInfo.php?workbook=12_04.xlsx&amp;sheet=U0&amp;row=3122&amp;col=7&amp;number=0.00673&amp;sourceID=14","0.00673")</f>
        <v>0.00673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HYPERLINK("http://141.218.60.56/~jnz1568/getInfo.php?workbook=12_04.xlsx&amp;sheet=U0&amp;row=3123&amp;col=6&amp;number=4.9&amp;sourceID=14","4.9")</f>
        <v>4.9</v>
      </c>
      <c r="G3123" s="4" t="str">
        <f>HYPERLINK("http://141.218.60.56/~jnz1568/getInfo.php?workbook=12_04.xlsx&amp;sheet=U0&amp;row=3123&amp;col=7&amp;number=0.00658&amp;sourceID=14","0.00658")</f>
        <v>0.00658</v>
      </c>
    </row>
    <row r="3124" spans="1:7">
      <c r="A3124" s="3">
        <v>12</v>
      </c>
      <c r="B3124" s="3">
        <v>4</v>
      </c>
      <c r="C3124" s="3">
        <v>2</v>
      </c>
      <c r="D3124" s="3">
        <v>62</v>
      </c>
      <c r="E3124" s="3">
        <v>1</v>
      </c>
      <c r="F3124" s="4" t="str">
        <f>HYPERLINK("http://141.218.60.56/~jnz1568/getInfo.php?workbook=12_04.xlsx&amp;sheet=U0&amp;row=3124&amp;col=6&amp;number=3&amp;sourceID=14","3")</f>
        <v>3</v>
      </c>
      <c r="G3124" s="4" t="str">
        <f>HYPERLINK("http://141.218.60.56/~jnz1568/getInfo.php?workbook=12_04.xlsx&amp;sheet=U0&amp;row=3124&amp;col=7&amp;number=0.00425&amp;sourceID=14","0.00425")</f>
        <v>0.00425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HYPERLINK("http://141.218.60.56/~jnz1568/getInfo.php?workbook=12_04.xlsx&amp;sheet=U0&amp;row=3125&amp;col=6&amp;number=3.1&amp;sourceID=14","3.1")</f>
        <v>3.1</v>
      </c>
      <c r="G3125" s="4" t="str">
        <f>HYPERLINK("http://141.218.60.56/~jnz1568/getInfo.php?workbook=12_04.xlsx&amp;sheet=U0&amp;row=3125&amp;col=7&amp;number=0.00424&amp;sourceID=14","0.00424")</f>
        <v>0.00424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HYPERLINK("http://141.218.60.56/~jnz1568/getInfo.php?workbook=12_04.xlsx&amp;sheet=U0&amp;row=3126&amp;col=6&amp;number=3.2&amp;sourceID=14","3.2")</f>
        <v>3.2</v>
      </c>
      <c r="G3126" s="4" t="str">
        <f>HYPERLINK("http://141.218.60.56/~jnz1568/getInfo.php?workbook=12_04.xlsx&amp;sheet=U0&amp;row=3126&amp;col=7&amp;number=0.00423&amp;sourceID=14","0.00423")</f>
        <v>0.00423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HYPERLINK("http://141.218.60.56/~jnz1568/getInfo.php?workbook=12_04.xlsx&amp;sheet=U0&amp;row=3127&amp;col=6&amp;number=3.3&amp;sourceID=14","3.3")</f>
        <v>3.3</v>
      </c>
      <c r="G3127" s="4" t="str">
        <f>HYPERLINK("http://141.218.60.56/~jnz1568/getInfo.php?workbook=12_04.xlsx&amp;sheet=U0&amp;row=3127&amp;col=7&amp;number=0.00422&amp;sourceID=14","0.00422")</f>
        <v>0.00422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HYPERLINK("http://141.218.60.56/~jnz1568/getInfo.php?workbook=12_04.xlsx&amp;sheet=U0&amp;row=3128&amp;col=6&amp;number=3.4&amp;sourceID=14","3.4")</f>
        <v>3.4</v>
      </c>
      <c r="G3128" s="4" t="str">
        <f>HYPERLINK("http://141.218.60.56/~jnz1568/getInfo.php?workbook=12_04.xlsx&amp;sheet=U0&amp;row=3128&amp;col=7&amp;number=0.00421&amp;sourceID=14","0.00421")</f>
        <v>0.00421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HYPERLINK("http://141.218.60.56/~jnz1568/getInfo.php?workbook=12_04.xlsx&amp;sheet=U0&amp;row=3129&amp;col=6&amp;number=3.5&amp;sourceID=14","3.5")</f>
        <v>3.5</v>
      </c>
      <c r="G3129" s="4" t="str">
        <f>HYPERLINK("http://141.218.60.56/~jnz1568/getInfo.php?workbook=12_04.xlsx&amp;sheet=U0&amp;row=3129&amp;col=7&amp;number=0.00419&amp;sourceID=14","0.00419")</f>
        <v>0.00419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HYPERLINK("http://141.218.60.56/~jnz1568/getInfo.php?workbook=12_04.xlsx&amp;sheet=U0&amp;row=3130&amp;col=6&amp;number=3.6&amp;sourceID=14","3.6")</f>
        <v>3.6</v>
      </c>
      <c r="G3130" s="4" t="str">
        <f>HYPERLINK("http://141.218.60.56/~jnz1568/getInfo.php?workbook=12_04.xlsx&amp;sheet=U0&amp;row=3130&amp;col=7&amp;number=0.00417&amp;sourceID=14","0.00417")</f>
        <v>0.00417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HYPERLINK("http://141.218.60.56/~jnz1568/getInfo.php?workbook=12_04.xlsx&amp;sheet=U0&amp;row=3131&amp;col=6&amp;number=3.7&amp;sourceID=14","3.7")</f>
        <v>3.7</v>
      </c>
      <c r="G3131" s="4" t="str">
        <f>HYPERLINK("http://141.218.60.56/~jnz1568/getInfo.php?workbook=12_04.xlsx&amp;sheet=U0&amp;row=3131&amp;col=7&amp;number=0.00415&amp;sourceID=14","0.00415")</f>
        <v>0.00415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HYPERLINK("http://141.218.60.56/~jnz1568/getInfo.php?workbook=12_04.xlsx&amp;sheet=U0&amp;row=3132&amp;col=6&amp;number=3.8&amp;sourceID=14","3.8")</f>
        <v>3.8</v>
      </c>
      <c r="G3132" s="4" t="str">
        <f>HYPERLINK("http://141.218.60.56/~jnz1568/getInfo.php?workbook=12_04.xlsx&amp;sheet=U0&amp;row=3132&amp;col=7&amp;number=0.00412&amp;sourceID=14","0.00412")</f>
        <v>0.00412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HYPERLINK("http://141.218.60.56/~jnz1568/getInfo.php?workbook=12_04.xlsx&amp;sheet=U0&amp;row=3133&amp;col=6&amp;number=3.9&amp;sourceID=14","3.9")</f>
        <v>3.9</v>
      </c>
      <c r="G3133" s="4" t="str">
        <f>HYPERLINK("http://141.218.60.56/~jnz1568/getInfo.php?workbook=12_04.xlsx&amp;sheet=U0&amp;row=3133&amp;col=7&amp;number=0.00408&amp;sourceID=14","0.00408")</f>
        <v>0.00408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HYPERLINK("http://141.218.60.56/~jnz1568/getInfo.php?workbook=12_04.xlsx&amp;sheet=U0&amp;row=3134&amp;col=6&amp;number=4&amp;sourceID=14","4")</f>
        <v>4</v>
      </c>
      <c r="G3134" s="4" t="str">
        <f>HYPERLINK("http://141.218.60.56/~jnz1568/getInfo.php?workbook=12_04.xlsx&amp;sheet=U0&amp;row=3134&amp;col=7&amp;number=0.00403&amp;sourceID=14","0.00403")</f>
        <v>0.00403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HYPERLINK("http://141.218.60.56/~jnz1568/getInfo.php?workbook=12_04.xlsx&amp;sheet=U0&amp;row=3135&amp;col=6&amp;number=4.1&amp;sourceID=14","4.1")</f>
        <v>4.1</v>
      </c>
      <c r="G3135" s="4" t="str">
        <f>HYPERLINK("http://141.218.60.56/~jnz1568/getInfo.php?workbook=12_04.xlsx&amp;sheet=U0&amp;row=3135&amp;col=7&amp;number=0.00397&amp;sourceID=14","0.00397")</f>
        <v>0.00397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HYPERLINK("http://141.218.60.56/~jnz1568/getInfo.php?workbook=12_04.xlsx&amp;sheet=U0&amp;row=3136&amp;col=6&amp;number=4.2&amp;sourceID=14","4.2")</f>
        <v>4.2</v>
      </c>
      <c r="G3136" s="4" t="str">
        <f>HYPERLINK("http://141.218.60.56/~jnz1568/getInfo.php?workbook=12_04.xlsx&amp;sheet=U0&amp;row=3136&amp;col=7&amp;number=0.0039&amp;sourceID=14","0.0039")</f>
        <v>0.0039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HYPERLINK("http://141.218.60.56/~jnz1568/getInfo.php?workbook=12_04.xlsx&amp;sheet=U0&amp;row=3137&amp;col=6&amp;number=4.3&amp;sourceID=14","4.3")</f>
        <v>4.3</v>
      </c>
      <c r="G3137" s="4" t="str">
        <f>HYPERLINK("http://141.218.60.56/~jnz1568/getInfo.php?workbook=12_04.xlsx&amp;sheet=U0&amp;row=3137&amp;col=7&amp;number=0.0038&amp;sourceID=14","0.0038")</f>
        <v>0.0038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HYPERLINK("http://141.218.60.56/~jnz1568/getInfo.php?workbook=12_04.xlsx&amp;sheet=U0&amp;row=3138&amp;col=6&amp;number=4.4&amp;sourceID=14","4.4")</f>
        <v>4.4</v>
      </c>
      <c r="G3138" s="4" t="str">
        <f>HYPERLINK("http://141.218.60.56/~jnz1568/getInfo.php?workbook=12_04.xlsx&amp;sheet=U0&amp;row=3138&amp;col=7&amp;number=0.00368&amp;sourceID=14","0.00368")</f>
        <v>0.00368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HYPERLINK("http://141.218.60.56/~jnz1568/getInfo.php?workbook=12_04.xlsx&amp;sheet=U0&amp;row=3139&amp;col=6&amp;number=4.5&amp;sourceID=14","4.5")</f>
        <v>4.5</v>
      </c>
      <c r="G3139" s="4" t="str">
        <f>HYPERLINK("http://141.218.60.56/~jnz1568/getInfo.php?workbook=12_04.xlsx&amp;sheet=U0&amp;row=3139&amp;col=7&amp;number=0.00354&amp;sourceID=14","0.00354")</f>
        <v>0.00354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HYPERLINK("http://141.218.60.56/~jnz1568/getInfo.php?workbook=12_04.xlsx&amp;sheet=U0&amp;row=3140&amp;col=6&amp;number=4.6&amp;sourceID=14","4.6")</f>
        <v>4.6</v>
      </c>
      <c r="G3140" s="4" t="str">
        <f>HYPERLINK("http://141.218.60.56/~jnz1568/getInfo.php?workbook=12_04.xlsx&amp;sheet=U0&amp;row=3140&amp;col=7&amp;number=0.00336&amp;sourceID=14","0.00336")</f>
        <v>0.00336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HYPERLINK("http://141.218.60.56/~jnz1568/getInfo.php?workbook=12_04.xlsx&amp;sheet=U0&amp;row=3141&amp;col=6&amp;number=4.7&amp;sourceID=14","4.7")</f>
        <v>4.7</v>
      </c>
      <c r="G3141" s="4" t="str">
        <f>HYPERLINK("http://141.218.60.56/~jnz1568/getInfo.php?workbook=12_04.xlsx&amp;sheet=U0&amp;row=3141&amp;col=7&amp;number=0.00314&amp;sourceID=14","0.00314")</f>
        <v>0.00314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HYPERLINK("http://141.218.60.56/~jnz1568/getInfo.php?workbook=12_04.xlsx&amp;sheet=U0&amp;row=3142&amp;col=6&amp;number=4.8&amp;sourceID=14","4.8")</f>
        <v>4.8</v>
      </c>
      <c r="G3142" s="4" t="str">
        <f>HYPERLINK("http://141.218.60.56/~jnz1568/getInfo.php?workbook=12_04.xlsx&amp;sheet=U0&amp;row=3142&amp;col=7&amp;number=0.00288&amp;sourceID=14","0.00288")</f>
        <v>0.00288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HYPERLINK("http://141.218.60.56/~jnz1568/getInfo.php?workbook=12_04.xlsx&amp;sheet=U0&amp;row=3143&amp;col=6&amp;number=4.9&amp;sourceID=14","4.9")</f>
        <v>4.9</v>
      </c>
      <c r="G3143" s="4" t="str">
        <f>HYPERLINK("http://141.218.60.56/~jnz1568/getInfo.php?workbook=12_04.xlsx&amp;sheet=U0&amp;row=3143&amp;col=7&amp;number=0.00258&amp;sourceID=14","0.00258")</f>
        <v>0.00258</v>
      </c>
    </row>
    <row r="3144" spans="1:7">
      <c r="A3144" s="3">
        <v>12</v>
      </c>
      <c r="B3144" s="3">
        <v>4</v>
      </c>
      <c r="C3144" s="3">
        <v>2</v>
      </c>
      <c r="D3144" s="3">
        <v>63</v>
      </c>
      <c r="E3144" s="3">
        <v>1</v>
      </c>
      <c r="F3144" s="4" t="str">
        <f>HYPERLINK("http://141.218.60.56/~jnz1568/getInfo.php?workbook=12_04.xlsx&amp;sheet=U0&amp;row=3144&amp;col=6&amp;number=3&amp;sourceID=14","3")</f>
        <v>3</v>
      </c>
      <c r="G3144" s="4" t="str">
        <f>HYPERLINK("http://141.218.60.56/~jnz1568/getInfo.php?workbook=12_04.xlsx&amp;sheet=U0&amp;row=3144&amp;col=7&amp;number=0.00238&amp;sourceID=14","0.00238")</f>
        <v>0.00238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HYPERLINK("http://141.218.60.56/~jnz1568/getInfo.php?workbook=12_04.xlsx&amp;sheet=U0&amp;row=3145&amp;col=6&amp;number=3.1&amp;sourceID=14","3.1")</f>
        <v>3.1</v>
      </c>
      <c r="G3145" s="4" t="str">
        <f>HYPERLINK("http://141.218.60.56/~jnz1568/getInfo.php?workbook=12_04.xlsx&amp;sheet=U0&amp;row=3145&amp;col=7&amp;number=0.00238&amp;sourceID=14","0.00238")</f>
        <v>0.00238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HYPERLINK("http://141.218.60.56/~jnz1568/getInfo.php?workbook=12_04.xlsx&amp;sheet=U0&amp;row=3146&amp;col=6&amp;number=3.2&amp;sourceID=14","3.2")</f>
        <v>3.2</v>
      </c>
      <c r="G3146" s="4" t="str">
        <f>HYPERLINK("http://141.218.60.56/~jnz1568/getInfo.php?workbook=12_04.xlsx&amp;sheet=U0&amp;row=3146&amp;col=7&amp;number=0.00237&amp;sourceID=14","0.00237")</f>
        <v>0.00237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HYPERLINK("http://141.218.60.56/~jnz1568/getInfo.php?workbook=12_04.xlsx&amp;sheet=U0&amp;row=3147&amp;col=6&amp;number=3.3&amp;sourceID=14","3.3")</f>
        <v>3.3</v>
      </c>
      <c r="G3147" s="4" t="str">
        <f>HYPERLINK("http://141.218.60.56/~jnz1568/getInfo.php?workbook=12_04.xlsx&amp;sheet=U0&amp;row=3147&amp;col=7&amp;number=0.00236&amp;sourceID=14","0.00236")</f>
        <v>0.00236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HYPERLINK("http://141.218.60.56/~jnz1568/getInfo.php?workbook=12_04.xlsx&amp;sheet=U0&amp;row=3148&amp;col=6&amp;number=3.4&amp;sourceID=14","3.4")</f>
        <v>3.4</v>
      </c>
      <c r="G3148" s="4" t="str">
        <f>HYPERLINK("http://141.218.60.56/~jnz1568/getInfo.php?workbook=12_04.xlsx&amp;sheet=U0&amp;row=3148&amp;col=7&amp;number=0.00235&amp;sourceID=14","0.00235")</f>
        <v>0.00235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HYPERLINK("http://141.218.60.56/~jnz1568/getInfo.php?workbook=12_04.xlsx&amp;sheet=U0&amp;row=3149&amp;col=6&amp;number=3.5&amp;sourceID=14","3.5")</f>
        <v>3.5</v>
      </c>
      <c r="G3149" s="4" t="str">
        <f>HYPERLINK("http://141.218.60.56/~jnz1568/getInfo.php?workbook=12_04.xlsx&amp;sheet=U0&amp;row=3149&amp;col=7&amp;number=0.00233&amp;sourceID=14","0.00233")</f>
        <v>0.00233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HYPERLINK("http://141.218.60.56/~jnz1568/getInfo.php?workbook=12_04.xlsx&amp;sheet=U0&amp;row=3150&amp;col=6&amp;number=3.6&amp;sourceID=14","3.6")</f>
        <v>3.6</v>
      </c>
      <c r="G3150" s="4" t="str">
        <f>HYPERLINK("http://141.218.60.56/~jnz1568/getInfo.php?workbook=12_04.xlsx&amp;sheet=U0&amp;row=3150&amp;col=7&amp;number=0.00231&amp;sourceID=14","0.00231")</f>
        <v>0.00231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HYPERLINK("http://141.218.60.56/~jnz1568/getInfo.php?workbook=12_04.xlsx&amp;sheet=U0&amp;row=3151&amp;col=6&amp;number=3.7&amp;sourceID=14","3.7")</f>
        <v>3.7</v>
      </c>
      <c r="G3151" s="4" t="str">
        <f>HYPERLINK("http://141.218.60.56/~jnz1568/getInfo.php?workbook=12_04.xlsx&amp;sheet=U0&amp;row=3151&amp;col=7&amp;number=0.00228&amp;sourceID=14","0.00228")</f>
        <v>0.00228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HYPERLINK("http://141.218.60.56/~jnz1568/getInfo.php?workbook=12_04.xlsx&amp;sheet=U0&amp;row=3152&amp;col=6&amp;number=3.8&amp;sourceID=14","3.8")</f>
        <v>3.8</v>
      </c>
      <c r="G3152" s="4" t="str">
        <f>HYPERLINK("http://141.218.60.56/~jnz1568/getInfo.php?workbook=12_04.xlsx&amp;sheet=U0&amp;row=3152&amp;col=7&amp;number=0.00225&amp;sourceID=14","0.00225")</f>
        <v>0.00225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HYPERLINK("http://141.218.60.56/~jnz1568/getInfo.php?workbook=12_04.xlsx&amp;sheet=U0&amp;row=3153&amp;col=6&amp;number=3.9&amp;sourceID=14","3.9")</f>
        <v>3.9</v>
      </c>
      <c r="G3153" s="4" t="str">
        <f>HYPERLINK("http://141.218.60.56/~jnz1568/getInfo.php?workbook=12_04.xlsx&amp;sheet=U0&amp;row=3153&amp;col=7&amp;number=0.00221&amp;sourceID=14","0.00221")</f>
        <v>0.00221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HYPERLINK("http://141.218.60.56/~jnz1568/getInfo.php?workbook=12_04.xlsx&amp;sheet=U0&amp;row=3154&amp;col=6&amp;number=4&amp;sourceID=14","4")</f>
        <v>4</v>
      </c>
      <c r="G3154" s="4" t="str">
        <f>HYPERLINK("http://141.218.60.56/~jnz1568/getInfo.php?workbook=12_04.xlsx&amp;sheet=U0&amp;row=3154&amp;col=7&amp;number=0.00215&amp;sourceID=14","0.00215")</f>
        <v>0.00215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HYPERLINK("http://141.218.60.56/~jnz1568/getInfo.php?workbook=12_04.xlsx&amp;sheet=U0&amp;row=3155&amp;col=6&amp;number=4.1&amp;sourceID=14","4.1")</f>
        <v>4.1</v>
      </c>
      <c r="G3155" s="4" t="str">
        <f>HYPERLINK("http://141.218.60.56/~jnz1568/getInfo.php?workbook=12_04.xlsx&amp;sheet=U0&amp;row=3155&amp;col=7&amp;number=0.00209&amp;sourceID=14","0.00209")</f>
        <v>0.00209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HYPERLINK("http://141.218.60.56/~jnz1568/getInfo.php?workbook=12_04.xlsx&amp;sheet=U0&amp;row=3156&amp;col=6&amp;number=4.2&amp;sourceID=14","4.2")</f>
        <v>4.2</v>
      </c>
      <c r="G3156" s="4" t="str">
        <f>HYPERLINK("http://141.218.60.56/~jnz1568/getInfo.php?workbook=12_04.xlsx&amp;sheet=U0&amp;row=3156&amp;col=7&amp;number=0.00201&amp;sourceID=14","0.00201")</f>
        <v>0.00201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HYPERLINK("http://141.218.60.56/~jnz1568/getInfo.php?workbook=12_04.xlsx&amp;sheet=U0&amp;row=3157&amp;col=6&amp;number=4.3&amp;sourceID=14","4.3")</f>
        <v>4.3</v>
      </c>
      <c r="G3157" s="4" t="str">
        <f>HYPERLINK("http://141.218.60.56/~jnz1568/getInfo.php?workbook=12_04.xlsx&amp;sheet=U0&amp;row=3157&amp;col=7&amp;number=0.00191&amp;sourceID=14","0.00191")</f>
        <v>0.00191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HYPERLINK("http://141.218.60.56/~jnz1568/getInfo.php?workbook=12_04.xlsx&amp;sheet=U0&amp;row=3158&amp;col=6&amp;number=4.4&amp;sourceID=14","4.4")</f>
        <v>4.4</v>
      </c>
      <c r="G3158" s="4" t="str">
        <f>HYPERLINK("http://141.218.60.56/~jnz1568/getInfo.php?workbook=12_04.xlsx&amp;sheet=U0&amp;row=3158&amp;col=7&amp;number=0.00179&amp;sourceID=14","0.00179")</f>
        <v>0.00179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HYPERLINK("http://141.218.60.56/~jnz1568/getInfo.php?workbook=12_04.xlsx&amp;sheet=U0&amp;row=3159&amp;col=6&amp;number=4.5&amp;sourceID=14","4.5")</f>
        <v>4.5</v>
      </c>
      <c r="G3159" s="4" t="str">
        <f>HYPERLINK("http://141.218.60.56/~jnz1568/getInfo.php?workbook=12_04.xlsx&amp;sheet=U0&amp;row=3159&amp;col=7&amp;number=0.00164&amp;sourceID=14","0.00164")</f>
        <v>0.00164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HYPERLINK("http://141.218.60.56/~jnz1568/getInfo.php?workbook=12_04.xlsx&amp;sheet=U0&amp;row=3160&amp;col=6&amp;number=4.6&amp;sourceID=14","4.6")</f>
        <v>4.6</v>
      </c>
      <c r="G3160" s="4" t="str">
        <f>HYPERLINK("http://141.218.60.56/~jnz1568/getInfo.php?workbook=12_04.xlsx&amp;sheet=U0&amp;row=3160&amp;col=7&amp;number=0.00147&amp;sourceID=14","0.00147")</f>
        <v>0.00147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HYPERLINK("http://141.218.60.56/~jnz1568/getInfo.php?workbook=12_04.xlsx&amp;sheet=U0&amp;row=3161&amp;col=6&amp;number=4.7&amp;sourceID=14","4.7")</f>
        <v>4.7</v>
      </c>
      <c r="G3161" s="4" t="str">
        <f>HYPERLINK("http://141.218.60.56/~jnz1568/getInfo.php?workbook=12_04.xlsx&amp;sheet=U0&amp;row=3161&amp;col=7&amp;number=0.00126&amp;sourceID=14","0.00126")</f>
        <v>0.00126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HYPERLINK("http://141.218.60.56/~jnz1568/getInfo.php?workbook=12_04.xlsx&amp;sheet=U0&amp;row=3162&amp;col=6&amp;number=4.8&amp;sourceID=14","4.8")</f>
        <v>4.8</v>
      </c>
      <c r="G3162" s="4" t="str">
        <f>HYPERLINK("http://141.218.60.56/~jnz1568/getInfo.php?workbook=12_04.xlsx&amp;sheet=U0&amp;row=3162&amp;col=7&amp;number=0.00104&amp;sourceID=14","0.00104")</f>
        <v>0.00104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HYPERLINK("http://141.218.60.56/~jnz1568/getInfo.php?workbook=12_04.xlsx&amp;sheet=U0&amp;row=3163&amp;col=6&amp;number=4.9&amp;sourceID=14","4.9")</f>
        <v>4.9</v>
      </c>
      <c r="G3163" s="4" t="str">
        <f>HYPERLINK("http://141.218.60.56/~jnz1568/getInfo.php?workbook=12_04.xlsx&amp;sheet=U0&amp;row=3163&amp;col=7&amp;number=0.000817&amp;sourceID=14","0.000817")</f>
        <v>0.000817</v>
      </c>
    </row>
    <row r="3164" spans="1:7">
      <c r="A3164" s="3">
        <v>12</v>
      </c>
      <c r="B3164" s="3">
        <v>4</v>
      </c>
      <c r="C3164" s="3">
        <v>2</v>
      </c>
      <c r="D3164" s="3">
        <v>64</v>
      </c>
      <c r="E3164" s="3">
        <v>1</v>
      </c>
      <c r="F3164" s="4" t="str">
        <f>HYPERLINK("http://141.218.60.56/~jnz1568/getInfo.php?workbook=12_04.xlsx&amp;sheet=U0&amp;row=3164&amp;col=6&amp;number=3&amp;sourceID=14","3")</f>
        <v>3</v>
      </c>
      <c r="G3164" s="4" t="str">
        <f>HYPERLINK("http://141.218.60.56/~jnz1568/getInfo.php?workbook=12_04.xlsx&amp;sheet=U0&amp;row=3164&amp;col=7&amp;number=0.00278&amp;sourceID=14","0.00278")</f>
        <v>0.00278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HYPERLINK("http://141.218.60.56/~jnz1568/getInfo.php?workbook=12_04.xlsx&amp;sheet=U0&amp;row=3165&amp;col=6&amp;number=3.1&amp;sourceID=14","3.1")</f>
        <v>3.1</v>
      </c>
      <c r="G3165" s="4" t="str">
        <f>HYPERLINK("http://141.218.60.56/~jnz1568/getInfo.php?workbook=12_04.xlsx&amp;sheet=U0&amp;row=3165&amp;col=7&amp;number=0.00277&amp;sourceID=14","0.00277")</f>
        <v>0.00277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HYPERLINK("http://141.218.60.56/~jnz1568/getInfo.php?workbook=12_04.xlsx&amp;sheet=U0&amp;row=3166&amp;col=6&amp;number=3.2&amp;sourceID=14","3.2")</f>
        <v>3.2</v>
      </c>
      <c r="G3166" s="4" t="str">
        <f>HYPERLINK("http://141.218.60.56/~jnz1568/getInfo.php?workbook=12_04.xlsx&amp;sheet=U0&amp;row=3166&amp;col=7&amp;number=0.00276&amp;sourceID=14","0.00276")</f>
        <v>0.00276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HYPERLINK("http://141.218.60.56/~jnz1568/getInfo.php?workbook=12_04.xlsx&amp;sheet=U0&amp;row=3167&amp;col=6&amp;number=3.3&amp;sourceID=14","3.3")</f>
        <v>3.3</v>
      </c>
      <c r="G3167" s="4" t="str">
        <f>HYPERLINK("http://141.218.60.56/~jnz1568/getInfo.php?workbook=12_04.xlsx&amp;sheet=U0&amp;row=3167&amp;col=7&amp;number=0.00275&amp;sourceID=14","0.00275")</f>
        <v>0.00275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HYPERLINK("http://141.218.60.56/~jnz1568/getInfo.php?workbook=12_04.xlsx&amp;sheet=U0&amp;row=3168&amp;col=6&amp;number=3.4&amp;sourceID=14","3.4")</f>
        <v>3.4</v>
      </c>
      <c r="G3168" s="4" t="str">
        <f>HYPERLINK("http://141.218.60.56/~jnz1568/getInfo.php?workbook=12_04.xlsx&amp;sheet=U0&amp;row=3168&amp;col=7&amp;number=0.00273&amp;sourceID=14","0.00273")</f>
        <v>0.00273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HYPERLINK("http://141.218.60.56/~jnz1568/getInfo.php?workbook=12_04.xlsx&amp;sheet=U0&amp;row=3169&amp;col=6&amp;number=3.5&amp;sourceID=14","3.5")</f>
        <v>3.5</v>
      </c>
      <c r="G3169" s="4" t="str">
        <f>HYPERLINK("http://141.218.60.56/~jnz1568/getInfo.php?workbook=12_04.xlsx&amp;sheet=U0&amp;row=3169&amp;col=7&amp;number=0.00271&amp;sourceID=14","0.00271")</f>
        <v>0.00271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HYPERLINK("http://141.218.60.56/~jnz1568/getInfo.php?workbook=12_04.xlsx&amp;sheet=U0&amp;row=3170&amp;col=6&amp;number=3.6&amp;sourceID=14","3.6")</f>
        <v>3.6</v>
      </c>
      <c r="G3170" s="4" t="str">
        <f>HYPERLINK("http://141.218.60.56/~jnz1568/getInfo.php?workbook=12_04.xlsx&amp;sheet=U0&amp;row=3170&amp;col=7&amp;number=0.00269&amp;sourceID=14","0.00269")</f>
        <v>0.00269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HYPERLINK("http://141.218.60.56/~jnz1568/getInfo.php?workbook=12_04.xlsx&amp;sheet=U0&amp;row=3171&amp;col=6&amp;number=3.7&amp;sourceID=14","3.7")</f>
        <v>3.7</v>
      </c>
      <c r="G3171" s="4" t="str">
        <f>HYPERLINK("http://141.218.60.56/~jnz1568/getInfo.php?workbook=12_04.xlsx&amp;sheet=U0&amp;row=3171&amp;col=7&amp;number=0.00266&amp;sourceID=14","0.00266")</f>
        <v>0.00266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HYPERLINK("http://141.218.60.56/~jnz1568/getInfo.php?workbook=12_04.xlsx&amp;sheet=U0&amp;row=3172&amp;col=6&amp;number=3.8&amp;sourceID=14","3.8")</f>
        <v>3.8</v>
      </c>
      <c r="G3172" s="4" t="str">
        <f>HYPERLINK("http://141.218.60.56/~jnz1568/getInfo.php?workbook=12_04.xlsx&amp;sheet=U0&amp;row=3172&amp;col=7&amp;number=0.00262&amp;sourceID=14","0.00262")</f>
        <v>0.00262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HYPERLINK("http://141.218.60.56/~jnz1568/getInfo.php?workbook=12_04.xlsx&amp;sheet=U0&amp;row=3173&amp;col=6&amp;number=3.9&amp;sourceID=14","3.9")</f>
        <v>3.9</v>
      </c>
      <c r="G3173" s="4" t="str">
        <f>HYPERLINK("http://141.218.60.56/~jnz1568/getInfo.php?workbook=12_04.xlsx&amp;sheet=U0&amp;row=3173&amp;col=7&amp;number=0.00257&amp;sourceID=14","0.00257")</f>
        <v>0.00257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HYPERLINK("http://141.218.60.56/~jnz1568/getInfo.php?workbook=12_04.xlsx&amp;sheet=U0&amp;row=3174&amp;col=6&amp;number=4&amp;sourceID=14","4")</f>
        <v>4</v>
      </c>
      <c r="G3174" s="4" t="str">
        <f>HYPERLINK("http://141.218.60.56/~jnz1568/getInfo.php?workbook=12_04.xlsx&amp;sheet=U0&amp;row=3174&amp;col=7&amp;number=0.00251&amp;sourceID=14","0.00251")</f>
        <v>0.00251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HYPERLINK("http://141.218.60.56/~jnz1568/getInfo.php?workbook=12_04.xlsx&amp;sheet=U0&amp;row=3175&amp;col=6&amp;number=4.1&amp;sourceID=14","4.1")</f>
        <v>4.1</v>
      </c>
      <c r="G3175" s="4" t="str">
        <f>HYPERLINK("http://141.218.60.56/~jnz1568/getInfo.php?workbook=12_04.xlsx&amp;sheet=U0&amp;row=3175&amp;col=7&amp;number=0.00244&amp;sourceID=14","0.00244")</f>
        <v>0.00244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HYPERLINK("http://141.218.60.56/~jnz1568/getInfo.php?workbook=12_04.xlsx&amp;sheet=U0&amp;row=3176&amp;col=6&amp;number=4.2&amp;sourceID=14","4.2")</f>
        <v>4.2</v>
      </c>
      <c r="G3176" s="4" t="str">
        <f>HYPERLINK("http://141.218.60.56/~jnz1568/getInfo.php?workbook=12_04.xlsx&amp;sheet=U0&amp;row=3176&amp;col=7&amp;number=0.00234&amp;sourceID=14","0.00234")</f>
        <v>0.00234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HYPERLINK("http://141.218.60.56/~jnz1568/getInfo.php?workbook=12_04.xlsx&amp;sheet=U0&amp;row=3177&amp;col=6&amp;number=4.3&amp;sourceID=14","4.3")</f>
        <v>4.3</v>
      </c>
      <c r="G3177" s="4" t="str">
        <f>HYPERLINK("http://141.218.60.56/~jnz1568/getInfo.php?workbook=12_04.xlsx&amp;sheet=U0&amp;row=3177&amp;col=7&amp;number=0.00223&amp;sourceID=14","0.00223")</f>
        <v>0.00223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HYPERLINK("http://141.218.60.56/~jnz1568/getInfo.php?workbook=12_04.xlsx&amp;sheet=U0&amp;row=3178&amp;col=6&amp;number=4.4&amp;sourceID=14","4.4")</f>
        <v>4.4</v>
      </c>
      <c r="G3178" s="4" t="str">
        <f>HYPERLINK("http://141.218.60.56/~jnz1568/getInfo.php?workbook=12_04.xlsx&amp;sheet=U0&amp;row=3178&amp;col=7&amp;number=0.00209&amp;sourceID=14","0.00209")</f>
        <v>0.00209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HYPERLINK("http://141.218.60.56/~jnz1568/getInfo.php?workbook=12_04.xlsx&amp;sheet=U0&amp;row=3179&amp;col=6&amp;number=4.5&amp;sourceID=14","4.5")</f>
        <v>4.5</v>
      </c>
      <c r="G3179" s="4" t="str">
        <f>HYPERLINK("http://141.218.60.56/~jnz1568/getInfo.php?workbook=12_04.xlsx&amp;sheet=U0&amp;row=3179&amp;col=7&amp;number=0.00192&amp;sourceID=14","0.00192")</f>
        <v>0.00192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HYPERLINK("http://141.218.60.56/~jnz1568/getInfo.php?workbook=12_04.xlsx&amp;sheet=U0&amp;row=3180&amp;col=6&amp;number=4.6&amp;sourceID=14","4.6")</f>
        <v>4.6</v>
      </c>
      <c r="G3180" s="4" t="str">
        <f>HYPERLINK("http://141.218.60.56/~jnz1568/getInfo.php?workbook=12_04.xlsx&amp;sheet=U0&amp;row=3180&amp;col=7&amp;number=0.00172&amp;sourceID=14","0.00172")</f>
        <v>0.00172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HYPERLINK("http://141.218.60.56/~jnz1568/getInfo.php?workbook=12_04.xlsx&amp;sheet=U0&amp;row=3181&amp;col=6&amp;number=4.7&amp;sourceID=14","4.7")</f>
        <v>4.7</v>
      </c>
      <c r="G3181" s="4" t="str">
        <f>HYPERLINK("http://141.218.60.56/~jnz1568/getInfo.php?workbook=12_04.xlsx&amp;sheet=U0&amp;row=3181&amp;col=7&amp;number=0.00149&amp;sourceID=14","0.00149")</f>
        <v>0.00149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HYPERLINK("http://141.218.60.56/~jnz1568/getInfo.php?workbook=12_04.xlsx&amp;sheet=U0&amp;row=3182&amp;col=6&amp;number=4.8&amp;sourceID=14","4.8")</f>
        <v>4.8</v>
      </c>
      <c r="G3182" s="4" t="str">
        <f>HYPERLINK("http://141.218.60.56/~jnz1568/getInfo.php?workbook=12_04.xlsx&amp;sheet=U0&amp;row=3182&amp;col=7&amp;number=0.00124&amp;sourceID=14","0.00124")</f>
        <v>0.00124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HYPERLINK("http://141.218.60.56/~jnz1568/getInfo.php?workbook=12_04.xlsx&amp;sheet=U0&amp;row=3183&amp;col=6&amp;number=4.9&amp;sourceID=14","4.9")</f>
        <v>4.9</v>
      </c>
      <c r="G3183" s="4" t="str">
        <f>HYPERLINK("http://141.218.60.56/~jnz1568/getInfo.php?workbook=12_04.xlsx&amp;sheet=U0&amp;row=3183&amp;col=7&amp;number=0.000987&amp;sourceID=14","0.000987")</f>
        <v>0.000987</v>
      </c>
    </row>
    <row r="3184" spans="1:7">
      <c r="A3184" s="3">
        <v>12</v>
      </c>
      <c r="B3184" s="3">
        <v>4</v>
      </c>
      <c r="C3184" s="3">
        <v>2</v>
      </c>
      <c r="D3184" s="3">
        <v>65</v>
      </c>
      <c r="E3184" s="3">
        <v>1</v>
      </c>
      <c r="F3184" s="4" t="str">
        <f>HYPERLINK("http://141.218.60.56/~jnz1568/getInfo.php?workbook=12_04.xlsx&amp;sheet=U0&amp;row=3184&amp;col=6&amp;number=3&amp;sourceID=14","3")</f>
        <v>3</v>
      </c>
      <c r="G3184" s="4" t="str">
        <f>HYPERLINK("http://141.218.60.56/~jnz1568/getInfo.php?workbook=12_04.xlsx&amp;sheet=U0&amp;row=3184&amp;col=7&amp;number=0.00278&amp;sourceID=14","0.00278")</f>
        <v>0.00278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HYPERLINK("http://141.218.60.56/~jnz1568/getInfo.php?workbook=12_04.xlsx&amp;sheet=U0&amp;row=3185&amp;col=6&amp;number=3.1&amp;sourceID=14","3.1")</f>
        <v>3.1</v>
      </c>
      <c r="G3185" s="4" t="str">
        <f>HYPERLINK("http://141.218.60.56/~jnz1568/getInfo.php?workbook=12_04.xlsx&amp;sheet=U0&amp;row=3185&amp;col=7&amp;number=0.00278&amp;sourceID=14","0.00278")</f>
        <v>0.00278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HYPERLINK("http://141.218.60.56/~jnz1568/getInfo.php?workbook=12_04.xlsx&amp;sheet=U0&amp;row=3186&amp;col=6&amp;number=3.2&amp;sourceID=14","3.2")</f>
        <v>3.2</v>
      </c>
      <c r="G3186" s="4" t="str">
        <f>HYPERLINK("http://141.218.60.56/~jnz1568/getInfo.php?workbook=12_04.xlsx&amp;sheet=U0&amp;row=3186&amp;col=7&amp;number=0.00278&amp;sourceID=14","0.00278")</f>
        <v>0.00278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HYPERLINK("http://141.218.60.56/~jnz1568/getInfo.php?workbook=12_04.xlsx&amp;sheet=U0&amp;row=3187&amp;col=6&amp;number=3.3&amp;sourceID=14","3.3")</f>
        <v>3.3</v>
      </c>
      <c r="G3187" s="4" t="str">
        <f>HYPERLINK("http://141.218.60.56/~jnz1568/getInfo.php?workbook=12_04.xlsx&amp;sheet=U0&amp;row=3187&amp;col=7&amp;number=0.00277&amp;sourceID=14","0.00277")</f>
        <v>0.00277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HYPERLINK("http://141.218.60.56/~jnz1568/getInfo.php?workbook=12_04.xlsx&amp;sheet=U0&amp;row=3188&amp;col=6&amp;number=3.4&amp;sourceID=14","3.4")</f>
        <v>3.4</v>
      </c>
      <c r="G3188" s="4" t="str">
        <f>HYPERLINK("http://141.218.60.56/~jnz1568/getInfo.php?workbook=12_04.xlsx&amp;sheet=U0&amp;row=3188&amp;col=7&amp;number=0.00277&amp;sourceID=14","0.00277")</f>
        <v>0.00277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HYPERLINK("http://141.218.60.56/~jnz1568/getInfo.php?workbook=12_04.xlsx&amp;sheet=U0&amp;row=3189&amp;col=6&amp;number=3.5&amp;sourceID=14","3.5")</f>
        <v>3.5</v>
      </c>
      <c r="G3189" s="4" t="str">
        <f>HYPERLINK("http://141.218.60.56/~jnz1568/getInfo.php?workbook=12_04.xlsx&amp;sheet=U0&amp;row=3189&amp;col=7&amp;number=0.00276&amp;sourceID=14","0.00276")</f>
        <v>0.00276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HYPERLINK("http://141.218.60.56/~jnz1568/getInfo.php?workbook=12_04.xlsx&amp;sheet=U0&amp;row=3190&amp;col=6&amp;number=3.6&amp;sourceID=14","3.6")</f>
        <v>3.6</v>
      </c>
      <c r="G3190" s="4" t="str">
        <f>HYPERLINK("http://141.218.60.56/~jnz1568/getInfo.php?workbook=12_04.xlsx&amp;sheet=U0&amp;row=3190&amp;col=7&amp;number=0.00275&amp;sourceID=14","0.00275")</f>
        <v>0.00275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HYPERLINK("http://141.218.60.56/~jnz1568/getInfo.php?workbook=12_04.xlsx&amp;sheet=U0&amp;row=3191&amp;col=6&amp;number=3.7&amp;sourceID=14","3.7")</f>
        <v>3.7</v>
      </c>
      <c r="G3191" s="4" t="str">
        <f>HYPERLINK("http://141.218.60.56/~jnz1568/getInfo.php?workbook=12_04.xlsx&amp;sheet=U0&amp;row=3191&amp;col=7&amp;number=0.00275&amp;sourceID=14","0.00275")</f>
        <v>0.00275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HYPERLINK("http://141.218.60.56/~jnz1568/getInfo.php?workbook=12_04.xlsx&amp;sheet=U0&amp;row=3192&amp;col=6&amp;number=3.8&amp;sourceID=14","3.8")</f>
        <v>3.8</v>
      </c>
      <c r="G3192" s="4" t="str">
        <f>HYPERLINK("http://141.218.60.56/~jnz1568/getInfo.php?workbook=12_04.xlsx&amp;sheet=U0&amp;row=3192&amp;col=7&amp;number=0.00273&amp;sourceID=14","0.00273")</f>
        <v>0.00273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HYPERLINK("http://141.218.60.56/~jnz1568/getInfo.php?workbook=12_04.xlsx&amp;sheet=U0&amp;row=3193&amp;col=6&amp;number=3.9&amp;sourceID=14","3.9")</f>
        <v>3.9</v>
      </c>
      <c r="G3193" s="4" t="str">
        <f>HYPERLINK("http://141.218.60.56/~jnz1568/getInfo.php?workbook=12_04.xlsx&amp;sheet=U0&amp;row=3193&amp;col=7&amp;number=0.00272&amp;sourceID=14","0.00272")</f>
        <v>0.00272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HYPERLINK("http://141.218.60.56/~jnz1568/getInfo.php?workbook=12_04.xlsx&amp;sheet=U0&amp;row=3194&amp;col=6&amp;number=4&amp;sourceID=14","4")</f>
        <v>4</v>
      </c>
      <c r="G3194" s="4" t="str">
        <f>HYPERLINK("http://141.218.60.56/~jnz1568/getInfo.php?workbook=12_04.xlsx&amp;sheet=U0&amp;row=3194&amp;col=7&amp;number=0.0027&amp;sourceID=14","0.0027")</f>
        <v>0.0027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HYPERLINK("http://141.218.60.56/~jnz1568/getInfo.php?workbook=12_04.xlsx&amp;sheet=U0&amp;row=3195&amp;col=6&amp;number=4.1&amp;sourceID=14","4.1")</f>
        <v>4.1</v>
      </c>
      <c r="G3195" s="4" t="str">
        <f>HYPERLINK("http://141.218.60.56/~jnz1568/getInfo.php?workbook=12_04.xlsx&amp;sheet=U0&amp;row=3195&amp;col=7&amp;number=0.00267&amp;sourceID=14","0.00267")</f>
        <v>0.00267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HYPERLINK("http://141.218.60.56/~jnz1568/getInfo.php?workbook=12_04.xlsx&amp;sheet=U0&amp;row=3196&amp;col=6&amp;number=4.2&amp;sourceID=14","4.2")</f>
        <v>4.2</v>
      </c>
      <c r="G3196" s="4" t="str">
        <f>HYPERLINK("http://141.218.60.56/~jnz1568/getInfo.php?workbook=12_04.xlsx&amp;sheet=U0&amp;row=3196&amp;col=7&amp;number=0.00264&amp;sourceID=14","0.00264")</f>
        <v>0.00264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HYPERLINK("http://141.218.60.56/~jnz1568/getInfo.php?workbook=12_04.xlsx&amp;sheet=U0&amp;row=3197&amp;col=6&amp;number=4.3&amp;sourceID=14","4.3")</f>
        <v>4.3</v>
      </c>
      <c r="G3197" s="4" t="str">
        <f>HYPERLINK("http://141.218.60.56/~jnz1568/getInfo.php?workbook=12_04.xlsx&amp;sheet=U0&amp;row=3197&amp;col=7&amp;number=0.00261&amp;sourceID=14","0.00261")</f>
        <v>0.00261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HYPERLINK("http://141.218.60.56/~jnz1568/getInfo.php?workbook=12_04.xlsx&amp;sheet=U0&amp;row=3198&amp;col=6&amp;number=4.4&amp;sourceID=14","4.4")</f>
        <v>4.4</v>
      </c>
      <c r="G3198" s="4" t="str">
        <f>HYPERLINK("http://141.218.60.56/~jnz1568/getInfo.php?workbook=12_04.xlsx&amp;sheet=U0&amp;row=3198&amp;col=7&amp;number=0.00256&amp;sourceID=14","0.00256")</f>
        <v>0.00256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HYPERLINK("http://141.218.60.56/~jnz1568/getInfo.php?workbook=12_04.xlsx&amp;sheet=U0&amp;row=3199&amp;col=6&amp;number=4.5&amp;sourceID=14","4.5")</f>
        <v>4.5</v>
      </c>
      <c r="G3199" s="4" t="str">
        <f>HYPERLINK("http://141.218.60.56/~jnz1568/getInfo.php?workbook=12_04.xlsx&amp;sheet=U0&amp;row=3199&amp;col=7&amp;number=0.0025&amp;sourceID=14","0.0025")</f>
        <v>0.0025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HYPERLINK("http://141.218.60.56/~jnz1568/getInfo.php?workbook=12_04.xlsx&amp;sheet=U0&amp;row=3200&amp;col=6&amp;number=4.6&amp;sourceID=14","4.6")</f>
        <v>4.6</v>
      </c>
      <c r="G3200" s="4" t="str">
        <f>HYPERLINK("http://141.218.60.56/~jnz1568/getInfo.php?workbook=12_04.xlsx&amp;sheet=U0&amp;row=3200&amp;col=7&amp;number=0.00243&amp;sourceID=14","0.00243")</f>
        <v>0.00243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HYPERLINK("http://141.218.60.56/~jnz1568/getInfo.php?workbook=12_04.xlsx&amp;sheet=U0&amp;row=3201&amp;col=6&amp;number=4.7&amp;sourceID=14","4.7")</f>
        <v>4.7</v>
      </c>
      <c r="G3201" s="4" t="str">
        <f>HYPERLINK("http://141.218.60.56/~jnz1568/getInfo.php?workbook=12_04.xlsx&amp;sheet=U0&amp;row=3201&amp;col=7&amp;number=0.00234&amp;sourceID=14","0.00234")</f>
        <v>0.00234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HYPERLINK("http://141.218.60.56/~jnz1568/getInfo.php?workbook=12_04.xlsx&amp;sheet=U0&amp;row=3202&amp;col=6&amp;number=4.8&amp;sourceID=14","4.8")</f>
        <v>4.8</v>
      </c>
      <c r="G3202" s="4" t="str">
        <f>HYPERLINK("http://141.218.60.56/~jnz1568/getInfo.php?workbook=12_04.xlsx&amp;sheet=U0&amp;row=3202&amp;col=7&amp;number=0.00223&amp;sourceID=14","0.00223")</f>
        <v>0.00223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HYPERLINK("http://141.218.60.56/~jnz1568/getInfo.php?workbook=12_04.xlsx&amp;sheet=U0&amp;row=3203&amp;col=6&amp;number=4.9&amp;sourceID=14","4.9")</f>
        <v>4.9</v>
      </c>
      <c r="G3203" s="4" t="str">
        <f>HYPERLINK("http://141.218.60.56/~jnz1568/getInfo.php?workbook=12_04.xlsx&amp;sheet=U0&amp;row=3203&amp;col=7&amp;number=0.0021&amp;sourceID=14","0.0021")</f>
        <v>0.0021</v>
      </c>
    </row>
    <row r="3204" spans="1:7">
      <c r="A3204" s="3">
        <v>12</v>
      </c>
      <c r="B3204" s="3">
        <v>4</v>
      </c>
      <c r="C3204" s="3">
        <v>2</v>
      </c>
      <c r="D3204" s="3">
        <v>66</v>
      </c>
      <c r="E3204" s="3">
        <v>1</v>
      </c>
      <c r="F3204" s="4" t="str">
        <f>HYPERLINK("http://141.218.60.56/~jnz1568/getInfo.php?workbook=12_04.xlsx&amp;sheet=U0&amp;row=3204&amp;col=6&amp;number=3&amp;sourceID=14","3")</f>
        <v>3</v>
      </c>
      <c r="G3204" s="4" t="str">
        <f>HYPERLINK("http://141.218.60.56/~jnz1568/getInfo.php?workbook=12_04.xlsx&amp;sheet=U0&amp;row=3204&amp;col=7&amp;number=0.00322&amp;sourceID=14","0.00322")</f>
        <v>0.00322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HYPERLINK("http://141.218.60.56/~jnz1568/getInfo.php?workbook=12_04.xlsx&amp;sheet=U0&amp;row=3205&amp;col=6&amp;number=3.1&amp;sourceID=14","3.1")</f>
        <v>3.1</v>
      </c>
      <c r="G3205" s="4" t="str">
        <f>HYPERLINK("http://141.218.60.56/~jnz1568/getInfo.php?workbook=12_04.xlsx&amp;sheet=U0&amp;row=3205&amp;col=7&amp;number=0.00322&amp;sourceID=14","0.00322")</f>
        <v>0.00322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HYPERLINK("http://141.218.60.56/~jnz1568/getInfo.php?workbook=12_04.xlsx&amp;sheet=U0&amp;row=3206&amp;col=6&amp;number=3.2&amp;sourceID=14","3.2")</f>
        <v>3.2</v>
      </c>
      <c r="G3206" s="4" t="str">
        <f>HYPERLINK("http://141.218.60.56/~jnz1568/getInfo.php?workbook=12_04.xlsx&amp;sheet=U0&amp;row=3206&amp;col=7&amp;number=0.00322&amp;sourceID=14","0.00322")</f>
        <v>0.00322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HYPERLINK("http://141.218.60.56/~jnz1568/getInfo.php?workbook=12_04.xlsx&amp;sheet=U0&amp;row=3207&amp;col=6&amp;number=3.3&amp;sourceID=14","3.3")</f>
        <v>3.3</v>
      </c>
      <c r="G3207" s="4" t="str">
        <f>HYPERLINK("http://141.218.60.56/~jnz1568/getInfo.php?workbook=12_04.xlsx&amp;sheet=U0&amp;row=3207&amp;col=7&amp;number=0.00322&amp;sourceID=14","0.00322")</f>
        <v>0.00322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HYPERLINK("http://141.218.60.56/~jnz1568/getInfo.php?workbook=12_04.xlsx&amp;sheet=U0&amp;row=3208&amp;col=6&amp;number=3.4&amp;sourceID=14","3.4")</f>
        <v>3.4</v>
      </c>
      <c r="G3208" s="4" t="str">
        <f>HYPERLINK("http://141.218.60.56/~jnz1568/getInfo.php?workbook=12_04.xlsx&amp;sheet=U0&amp;row=3208&amp;col=7&amp;number=0.00321&amp;sourceID=14","0.00321")</f>
        <v>0.00321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HYPERLINK("http://141.218.60.56/~jnz1568/getInfo.php?workbook=12_04.xlsx&amp;sheet=U0&amp;row=3209&amp;col=6&amp;number=3.5&amp;sourceID=14","3.5")</f>
        <v>3.5</v>
      </c>
      <c r="G3209" s="4" t="str">
        <f>HYPERLINK("http://141.218.60.56/~jnz1568/getInfo.php?workbook=12_04.xlsx&amp;sheet=U0&amp;row=3209&amp;col=7&amp;number=0.00321&amp;sourceID=14","0.00321")</f>
        <v>0.00321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HYPERLINK("http://141.218.60.56/~jnz1568/getInfo.php?workbook=12_04.xlsx&amp;sheet=U0&amp;row=3210&amp;col=6&amp;number=3.6&amp;sourceID=14","3.6")</f>
        <v>3.6</v>
      </c>
      <c r="G3210" s="4" t="str">
        <f>HYPERLINK("http://141.218.60.56/~jnz1568/getInfo.php?workbook=12_04.xlsx&amp;sheet=U0&amp;row=3210&amp;col=7&amp;number=0.0032&amp;sourceID=14","0.0032")</f>
        <v>0.0032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HYPERLINK("http://141.218.60.56/~jnz1568/getInfo.php?workbook=12_04.xlsx&amp;sheet=U0&amp;row=3211&amp;col=6&amp;number=3.7&amp;sourceID=14","3.7")</f>
        <v>3.7</v>
      </c>
      <c r="G3211" s="4" t="str">
        <f>HYPERLINK("http://141.218.60.56/~jnz1568/getInfo.php?workbook=12_04.xlsx&amp;sheet=U0&amp;row=3211&amp;col=7&amp;number=0.0032&amp;sourceID=14","0.0032")</f>
        <v>0.0032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HYPERLINK("http://141.218.60.56/~jnz1568/getInfo.php?workbook=12_04.xlsx&amp;sheet=U0&amp;row=3212&amp;col=6&amp;number=3.8&amp;sourceID=14","3.8")</f>
        <v>3.8</v>
      </c>
      <c r="G3212" s="4" t="str">
        <f>HYPERLINK("http://141.218.60.56/~jnz1568/getInfo.php?workbook=12_04.xlsx&amp;sheet=U0&amp;row=3212&amp;col=7&amp;number=0.00319&amp;sourceID=14","0.00319")</f>
        <v>0.00319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HYPERLINK("http://141.218.60.56/~jnz1568/getInfo.php?workbook=12_04.xlsx&amp;sheet=U0&amp;row=3213&amp;col=6&amp;number=3.9&amp;sourceID=14","3.9")</f>
        <v>3.9</v>
      </c>
      <c r="G3213" s="4" t="str">
        <f>HYPERLINK("http://141.218.60.56/~jnz1568/getInfo.php?workbook=12_04.xlsx&amp;sheet=U0&amp;row=3213&amp;col=7&amp;number=0.00318&amp;sourceID=14","0.00318")</f>
        <v>0.00318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HYPERLINK("http://141.218.60.56/~jnz1568/getInfo.php?workbook=12_04.xlsx&amp;sheet=U0&amp;row=3214&amp;col=6&amp;number=4&amp;sourceID=14","4")</f>
        <v>4</v>
      </c>
      <c r="G3214" s="4" t="str">
        <f>HYPERLINK("http://141.218.60.56/~jnz1568/getInfo.php?workbook=12_04.xlsx&amp;sheet=U0&amp;row=3214&amp;col=7&amp;number=0.00317&amp;sourceID=14","0.00317")</f>
        <v>0.00317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HYPERLINK("http://141.218.60.56/~jnz1568/getInfo.php?workbook=12_04.xlsx&amp;sheet=U0&amp;row=3215&amp;col=6&amp;number=4.1&amp;sourceID=14","4.1")</f>
        <v>4.1</v>
      </c>
      <c r="G3215" s="4" t="str">
        <f>HYPERLINK("http://141.218.60.56/~jnz1568/getInfo.php?workbook=12_04.xlsx&amp;sheet=U0&amp;row=3215&amp;col=7&amp;number=0.00315&amp;sourceID=14","0.00315")</f>
        <v>0.00315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HYPERLINK("http://141.218.60.56/~jnz1568/getInfo.php?workbook=12_04.xlsx&amp;sheet=U0&amp;row=3216&amp;col=6&amp;number=4.2&amp;sourceID=14","4.2")</f>
        <v>4.2</v>
      </c>
      <c r="G3216" s="4" t="str">
        <f>HYPERLINK("http://141.218.60.56/~jnz1568/getInfo.php?workbook=12_04.xlsx&amp;sheet=U0&amp;row=3216&amp;col=7&amp;number=0.00313&amp;sourceID=14","0.00313")</f>
        <v>0.00313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HYPERLINK("http://141.218.60.56/~jnz1568/getInfo.php?workbook=12_04.xlsx&amp;sheet=U0&amp;row=3217&amp;col=6&amp;number=4.3&amp;sourceID=14","4.3")</f>
        <v>4.3</v>
      </c>
      <c r="G3217" s="4" t="str">
        <f>HYPERLINK("http://141.218.60.56/~jnz1568/getInfo.php?workbook=12_04.xlsx&amp;sheet=U0&amp;row=3217&amp;col=7&amp;number=0.00311&amp;sourceID=14","0.00311")</f>
        <v>0.00311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HYPERLINK("http://141.218.60.56/~jnz1568/getInfo.php?workbook=12_04.xlsx&amp;sheet=U0&amp;row=3218&amp;col=6&amp;number=4.4&amp;sourceID=14","4.4")</f>
        <v>4.4</v>
      </c>
      <c r="G3218" s="4" t="str">
        <f>HYPERLINK("http://141.218.60.56/~jnz1568/getInfo.php?workbook=12_04.xlsx&amp;sheet=U0&amp;row=3218&amp;col=7&amp;number=0.00308&amp;sourceID=14","0.00308")</f>
        <v>0.00308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HYPERLINK("http://141.218.60.56/~jnz1568/getInfo.php?workbook=12_04.xlsx&amp;sheet=U0&amp;row=3219&amp;col=6&amp;number=4.5&amp;sourceID=14","4.5")</f>
        <v>4.5</v>
      </c>
      <c r="G3219" s="4" t="str">
        <f>HYPERLINK("http://141.218.60.56/~jnz1568/getInfo.php?workbook=12_04.xlsx&amp;sheet=U0&amp;row=3219&amp;col=7&amp;number=0.00304&amp;sourceID=14","0.00304")</f>
        <v>0.00304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HYPERLINK("http://141.218.60.56/~jnz1568/getInfo.php?workbook=12_04.xlsx&amp;sheet=U0&amp;row=3220&amp;col=6&amp;number=4.6&amp;sourceID=14","4.6")</f>
        <v>4.6</v>
      </c>
      <c r="G3220" s="4" t="str">
        <f>HYPERLINK("http://141.218.60.56/~jnz1568/getInfo.php?workbook=12_04.xlsx&amp;sheet=U0&amp;row=3220&amp;col=7&amp;number=0.00299&amp;sourceID=14","0.00299")</f>
        <v>0.00299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HYPERLINK("http://141.218.60.56/~jnz1568/getInfo.php?workbook=12_04.xlsx&amp;sheet=U0&amp;row=3221&amp;col=6&amp;number=4.7&amp;sourceID=14","4.7")</f>
        <v>4.7</v>
      </c>
      <c r="G3221" s="4" t="str">
        <f>HYPERLINK("http://141.218.60.56/~jnz1568/getInfo.php?workbook=12_04.xlsx&amp;sheet=U0&amp;row=3221&amp;col=7&amp;number=0.00293&amp;sourceID=14","0.00293")</f>
        <v>0.00293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HYPERLINK("http://141.218.60.56/~jnz1568/getInfo.php?workbook=12_04.xlsx&amp;sheet=U0&amp;row=3222&amp;col=6&amp;number=4.8&amp;sourceID=14","4.8")</f>
        <v>4.8</v>
      </c>
      <c r="G3222" s="4" t="str">
        <f>HYPERLINK("http://141.218.60.56/~jnz1568/getInfo.php?workbook=12_04.xlsx&amp;sheet=U0&amp;row=3222&amp;col=7&amp;number=0.00286&amp;sourceID=14","0.00286")</f>
        <v>0.00286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HYPERLINK("http://141.218.60.56/~jnz1568/getInfo.php?workbook=12_04.xlsx&amp;sheet=U0&amp;row=3223&amp;col=6&amp;number=4.9&amp;sourceID=14","4.9")</f>
        <v>4.9</v>
      </c>
      <c r="G3223" s="4" t="str">
        <f>HYPERLINK("http://141.218.60.56/~jnz1568/getInfo.php?workbook=12_04.xlsx&amp;sheet=U0&amp;row=3223&amp;col=7&amp;number=0.00278&amp;sourceID=14","0.00278")</f>
        <v>0.00278</v>
      </c>
    </row>
    <row r="3224" spans="1:7">
      <c r="A3224" s="3">
        <v>12</v>
      </c>
      <c r="B3224" s="3">
        <v>4</v>
      </c>
      <c r="C3224" s="3">
        <v>2</v>
      </c>
      <c r="D3224" s="3">
        <v>67</v>
      </c>
      <c r="E3224" s="3">
        <v>1</v>
      </c>
      <c r="F3224" s="4" t="str">
        <f>HYPERLINK("http://141.218.60.56/~jnz1568/getInfo.php?workbook=12_04.xlsx&amp;sheet=U0&amp;row=3224&amp;col=6&amp;number=3&amp;sourceID=14","3")</f>
        <v>3</v>
      </c>
      <c r="G3224" s="4" t="str">
        <f>HYPERLINK("http://141.218.60.56/~jnz1568/getInfo.php?workbook=12_04.xlsx&amp;sheet=U0&amp;row=3224&amp;col=7&amp;number=0.00329&amp;sourceID=14","0.00329")</f>
        <v>0.00329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HYPERLINK("http://141.218.60.56/~jnz1568/getInfo.php?workbook=12_04.xlsx&amp;sheet=U0&amp;row=3225&amp;col=6&amp;number=3.1&amp;sourceID=14","3.1")</f>
        <v>3.1</v>
      </c>
      <c r="G3225" s="4" t="str">
        <f>HYPERLINK("http://141.218.60.56/~jnz1568/getInfo.php?workbook=12_04.xlsx&amp;sheet=U0&amp;row=3225&amp;col=7&amp;number=0.00329&amp;sourceID=14","0.00329")</f>
        <v>0.00329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HYPERLINK("http://141.218.60.56/~jnz1568/getInfo.php?workbook=12_04.xlsx&amp;sheet=U0&amp;row=3226&amp;col=6&amp;number=3.2&amp;sourceID=14","3.2")</f>
        <v>3.2</v>
      </c>
      <c r="G3226" s="4" t="str">
        <f>HYPERLINK("http://141.218.60.56/~jnz1568/getInfo.php?workbook=12_04.xlsx&amp;sheet=U0&amp;row=3226&amp;col=7&amp;number=0.00328&amp;sourceID=14","0.00328")</f>
        <v>0.00328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HYPERLINK("http://141.218.60.56/~jnz1568/getInfo.php?workbook=12_04.xlsx&amp;sheet=U0&amp;row=3227&amp;col=6&amp;number=3.3&amp;sourceID=14","3.3")</f>
        <v>3.3</v>
      </c>
      <c r="G3227" s="4" t="str">
        <f>HYPERLINK("http://141.218.60.56/~jnz1568/getInfo.php?workbook=12_04.xlsx&amp;sheet=U0&amp;row=3227&amp;col=7&amp;number=0.00327&amp;sourceID=14","0.00327")</f>
        <v>0.00327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HYPERLINK("http://141.218.60.56/~jnz1568/getInfo.php?workbook=12_04.xlsx&amp;sheet=U0&amp;row=3228&amp;col=6&amp;number=3.4&amp;sourceID=14","3.4")</f>
        <v>3.4</v>
      </c>
      <c r="G3228" s="4" t="str">
        <f>HYPERLINK("http://141.218.60.56/~jnz1568/getInfo.php?workbook=12_04.xlsx&amp;sheet=U0&amp;row=3228&amp;col=7&amp;number=0.00327&amp;sourceID=14","0.00327")</f>
        <v>0.00327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HYPERLINK("http://141.218.60.56/~jnz1568/getInfo.php?workbook=12_04.xlsx&amp;sheet=U0&amp;row=3229&amp;col=6&amp;number=3.5&amp;sourceID=14","3.5")</f>
        <v>3.5</v>
      </c>
      <c r="G3229" s="4" t="str">
        <f>HYPERLINK("http://141.218.60.56/~jnz1568/getInfo.php?workbook=12_04.xlsx&amp;sheet=U0&amp;row=3229&amp;col=7&amp;number=0.00326&amp;sourceID=14","0.00326")</f>
        <v>0.00326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HYPERLINK("http://141.218.60.56/~jnz1568/getInfo.php?workbook=12_04.xlsx&amp;sheet=U0&amp;row=3230&amp;col=6&amp;number=3.6&amp;sourceID=14","3.6")</f>
        <v>3.6</v>
      </c>
      <c r="G3230" s="4" t="str">
        <f>HYPERLINK("http://141.218.60.56/~jnz1568/getInfo.php?workbook=12_04.xlsx&amp;sheet=U0&amp;row=3230&amp;col=7&amp;number=0.00324&amp;sourceID=14","0.00324")</f>
        <v>0.00324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HYPERLINK("http://141.218.60.56/~jnz1568/getInfo.php?workbook=12_04.xlsx&amp;sheet=U0&amp;row=3231&amp;col=6&amp;number=3.7&amp;sourceID=14","3.7")</f>
        <v>3.7</v>
      </c>
      <c r="G3231" s="4" t="str">
        <f>HYPERLINK("http://141.218.60.56/~jnz1568/getInfo.php?workbook=12_04.xlsx&amp;sheet=U0&amp;row=3231&amp;col=7&amp;number=0.00323&amp;sourceID=14","0.00323")</f>
        <v>0.00323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HYPERLINK("http://141.218.60.56/~jnz1568/getInfo.php?workbook=12_04.xlsx&amp;sheet=U0&amp;row=3232&amp;col=6&amp;number=3.8&amp;sourceID=14","3.8")</f>
        <v>3.8</v>
      </c>
      <c r="G3232" s="4" t="str">
        <f>HYPERLINK("http://141.218.60.56/~jnz1568/getInfo.php?workbook=12_04.xlsx&amp;sheet=U0&amp;row=3232&amp;col=7&amp;number=0.00321&amp;sourceID=14","0.00321")</f>
        <v>0.00321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HYPERLINK("http://141.218.60.56/~jnz1568/getInfo.php?workbook=12_04.xlsx&amp;sheet=U0&amp;row=3233&amp;col=6&amp;number=3.9&amp;sourceID=14","3.9")</f>
        <v>3.9</v>
      </c>
      <c r="G3233" s="4" t="str">
        <f>HYPERLINK("http://141.218.60.56/~jnz1568/getInfo.php?workbook=12_04.xlsx&amp;sheet=U0&amp;row=3233&amp;col=7&amp;number=0.00318&amp;sourceID=14","0.00318")</f>
        <v>0.00318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HYPERLINK("http://141.218.60.56/~jnz1568/getInfo.php?workbook=12_04.xlsx&amp;sheet=U0&amp;row=3234&amp;col=6&amp;number=4&amp;sourceID=14","4")</f>
        <v>4</v>
      </c>
      <c r="G3234" s="4" t="str">
        <f>HYPERLINK("http://141.218.60.56/~jnz1568/getInfo.php?workbook=12_04.xlsx&amp;sheet=U0&amp;row=3234&amp;col=7&amp;number=0.00315&amp;sourceID=14","0.00315")</f>
        <v>0.00315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HYPERLINK("http://141.218.60.56/~jnz1568/getInfo.php?workbook=12_04.xlsx&amp;sheet=U0&amp;row=3235&amp;col=6&amp;number=4.1&amp;sourceID=14","4.1")</f>
        <v>4.1</v>
      </c>
      <c r="G3235" s="4" t="str">
        <f>HYPERLINK("http://141.218.60.56/~jnz1568/getInfo.php?workbook=12_04.xlsx&amp;sheet=U0&amp;row=3235&amp;col=7&amp;number=0.00311&amp;sourceID=14","0.00311")</f>
        <v>0.00311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HYPERLINK("http://141.218.60.56/~jnz1568/getInfo.php?workbook=12_04.xlsx&amp;sheet=U0&amp;row=3236&amp;col=6&amp;number=4.2&amp;sourceID=14","4.2")</f>
        <v>4.2</v>
      </c>
      <c r="G3236" s="4" t="str">
        <f>HYPERLINK("http://141.218.60.56/~jnz1568/getInfo.php?workbook=12_04.xlsx&amp;sheet=U0&amp;row=3236&amp;col=7&amp;number=0.00306&amp;sourceID=14","0.00306")</f>
        <v>0.00306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HYPERLINK("http://141.218.60.56/~jnz1568/getInfo.php?workbook=12_04.xlsx&amp;sheet=U0&amp;row=3237&amp;col=6&amp;number=4.3&amp;sourceID=14","4.3")</f>
        <v>4.3</v>
      </c>
      <c r="G3237" s="4" t="str">
        <f>HYPERLINK("http://141.218.60.56/~jnz1568/getInfo.php?workbook=12_04.xlsx&amp;sheet=U0&amp;row=3237&amp;col=7&amp;number=0.003&amp;sourceID=14","0.003")</f>
        <v>0.003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HYPERLINK("http://141.218.60.56/~jnz1568/getInfo.php?workbook=12_04.xlsx&amp;sheet=U0&amp;row=3238&amp;col=6&amp;number=4.4&amp;sourceID=14","4.4")</f>
        <v>4.4</v>
      </c>
      <c r="G3238" s="4" t="str">
        <f>HYPERLINK("http://141.218.60.56/~jnz1568/getInfo.php?workbook=12_04.xlsx&amp;sheet=U0&amp;row=3238&amp;col=7&amp;number=0.00292&amp;sourceID=14","0.00292")</f>
        <v>0.00292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HYPERLINK("http://141.218.60.56/~jnz1568/getInfo.php?workbook=12_04.xlsx&amp;sheet=U0&amp;row=3239&amp;col=6&amp;number=4.5&amp;sourceID=14","4.5")</f>
        <v>4.5</v>
      </c>
      <c r="G3239" s="4" t="str">
        <f>HYPERLINK("http://141.218.60.56/~jnz1568/getInfo.php?workbook=12_04.xlsx&amp;sheet=U0&amp;row=3239&amp;col=7&amp;number=0.00282&amp;sourceID=14","0.00282")</f>
        <v>0.00282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HYPERLINK("http://141.218.60.56/~jnz1568/getInfo.php?workbook=12_04.xlsx&amp;sheet=U0&amp;row=3240&amp;col=6&amp;number=4.6&amp;sourceID=14","4.6")</f>
        <v>4.6</v>
      </c>
      <c r="G3240" s="4" t="str">
        <f>HYPERLINK("http://141.218.60.56/~jnz1568/getInfo.php?workbook=12_04.xlsx&amp;sheet=U0&amp;row=3240&amp;col=7&amp;number=0.0027&amp;sourceID=14","0.0027")</f>
        <v>0.0027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HYPERLINK("http://141.218.60.56/~jnz1568/getInfo.php?workbook=12_04.xlsx&amp;sheet=U0&amp;row=3241&amp;col=6&amp;number=4.7&amp;sourceID=14","4.7")</f>
        <v>4.7</v>
      </c>
      <c r="G3241" s="4" t="str">
        <f>HYPERLINK("http://141.218.60.56/~jnz1568/getInfo.php?workbook=12_04.xlsx&amp;sheet=U0&amp;row=3241&amp;col=7&amp;number=0.00256&amp;sourceID=14","0.00256")</f>
        <v>0.00256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HYPERLINK("http://141.218.60.56/~jnz1568/getInfo.php?workbook=12_04.xlsx&amp;sheet=U0&amp;row=3242&amp;col=6&amp;number=4.8&amp;sourceID=14","4.8")</f>
        <v>4.8</v>
      </c>
      <c r="G3242" s="4" t="str">
        <f>HYPERLINK("http://141.218.60.56/~jnz1568/getInfo.php?workbook=12_04.xlsx&amp;sheet=U0&amp;row=3242&amp;col=7&amp;number=0.00239&amp;sourceID=14","0.00239")</f>
        <v>0.00239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HYPERLINK("http://141.218.60.56/~jnz1568/getInfo.php?workbook=12_04.xlsx&amp;sheet=U0&amp;row=3243&amp;col=6&amp;number=4.9&amp;sourceID=14","4.9")</f>
        <v>4.9</v>
      </c>
      <c r="G3243" s="4" t="str">
        <f>HYPERLINK("http://141.218.60.56/~jnz1568/getInfo.php?workbook=12_04.xlsx&amp;sheet=U0&amp;row=3243&amp;col=7&amp;number=0.00218&amp;sourceID=14","0.00218")</f>
        <v>0.00218</v>
      </c>
    </row>
    <row r="3244" spans="1:7">
      <c r="A3244" s="3">
        <v>12</v>
      </c>
      <c r="B3244" s="3">
        <v>4</v>
      </c>
      <c r="C3244" s="3">
        <v>2</v>
      </c>
      <c r="D3244" s="3">
        <v>68</v>
      </c>
      <c r="E3244" s="3">
        <v>1</v>
      </c>
      <c r="F3244" s="4" t="str">
        <f>HYPERLINK("http://141.218.60.56/~jnz1568/getInfo.php?workbook=12_04.xlsx&amp;sheet=U0&amp;row=3244&amp;col=6&amp;number=3&amp;sourceID=14","3")</f>
        <v>3</v>
      </c>
      <c r="G3244" s="4" t="str">
        <f>HYPERLINK("http://141.218.60.56/~jnz1568/getInfo.php?workbook=12_04.xlsx&amp;sheet=U0&amp;row=3244&amp;col=7&amp;number=0.000902&amp;sourceID=14","0.000902")</f>
        <v>0.000902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HYPERLINK("http://141.218.60.56/~jnz1568/getInfo.php?workbook=12_04.xlsx&amp;sheet=U0&amp;row=3245&amp;col=6&amp;number=3.1&amp;sourceID=14","3.1")</f>
        <v>3.1</v>
      </c>
      <c r="G3245" s="4" t="str">
        <f>HYPERLINK("http://141.218.60.56/~jnz1568/getInfo.php?workbook=12_04.xlsx&amp;sheet=U0&amp;row=3245&amp;col=7&amp;number=0.000899&amp;sourceID=14","0.000899")</f>
        <v>0.000899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HYPERLINK("http://141.218.60.56/~jnz1568/getInfo.php?workbook=12_04.xlsx&amp;sheet=U0&amp;row=3246&amp;col=6&amp;number=3.2&amp;sourceID=14","3.2")</f>
        <v>3.2</v>
      </c>
      <c r="G3246" s="4" t="str">
        <f>HYPERLINK("http://141.218.60.56/~jnz1568/getInfo.php?workbook=12_04.xlsx&amp;sheet=U0&amp;row=3246&amp;col=7&amp;number=0.000895&amp;sourceID=14","0.000895")</f>
        <v>0.000895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HYPERLINK("http://141.218.60.56/~jnz1568/getInfo.php?workbook=12_04.xlsx&amp;sheet=U0&amp;row=3247&amp;col=6&amp;number=3.3&amp;sourceID=14","3.3")</f>
        <v>3.3</v>
      </c>
      <c r="G3247" s="4" t="str">
        <f>HYPERLINK("http://141.218.60.56/~jnz1568/getInfo.php?workbook=12_04.xlsx&amp;sheet=U0&amp;row=3247&amp;col=7&amp;number=0.000891&amp;sourceID=14","0.000891")</f>
        <v>0.000891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HYPERLINK("http://141.218.60.56/~jnz1568/getInfo.php?workbook=12_04.xlsx&amp;sheet=U0&amp;row=3248&amp;col=6&amp;number=3.4&amp;sourceID=14","3.4")</f>
        <v>3.4</v>
      </c>
      <c r="G3248" s="4" t="str">
        <f>HYPERLINK("http://141.218.60.56/~jnz1568/getInfo.php?workbook=12_04.xlsx&amp;sheet=U0&amp;row=3248&amp;col=7&amp;number=0.000885&amp;sourceID=14","0.000885")</f>
        <v>0.000885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HYPERLINK("http://141.218.60.56/~jnz1568/getInfo.php?workbook=12_04.xlsx&amp;sheet=U0&amp;row=3249&amp;col=6&amp;number=3.5&amp;sourceID=14","3.5")</f>
        <v>3.5</v>
      </c>
      <c r="G3249" s="4" t="str">
        <f>HYPERLINK("http://141.218.60.56/~jnz1568/getInfo.php?workbook=12_04.xlsx&amp;sheet=U0&amp;row=3249&amp;col=7&amp;number=0.000878&amp;sourceID=14","0.000878")</f>
        <v>0.000878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HYPERLINK("http://141.218.60.56/~jnz1568/getInfo.php?workbook=12_04.xlsx&amp;sheet=U0&amp;row=3250&amp;col=6&amp;number=3.6&amp;sourceID=14","3.6")</f>
        <v>3.6</v>
      </c>
      <c r="G3250" s="4" t="str">
        <f>HYPERLINK("http://141.218.60.56/~jnz1568/getInfo.php?workbook=12_04.xlsx&amp;sheet=U0&amp;row=3250&amp;col=7&amp;number=0.000869&amp;sourceID=14","0.000869")</f>
        <v>0.000869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HYPERLINK("http://141.218.60.56/~jnz1568/getInfo.php?workbook=12_04.xlsx&amp;sheet=U0&amp;row=3251&amp;col=6&amp;number=3.7&amp;sourceID=14","3.7")</f>
        <v>3.7</v>
      </c>
      <c r="G3251" s="4" t="str">
        <f>HYPERLINK("http://141.218.60.56/~jnz1568/getInfo.php?workbook=12_04.xlsx&amp;sheet=U0&amp;row=3251&amp;col=7&amp;number=0.000858&amp;sourceID=14","0.000858")</f>
        <v>0.000858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HYPERLINK("http://141.218.60.56/~jnz1568/getInfo.php?workbook=12_04.xlsx&amp;sheet=U0&amp;row=3252&amp;col=6&amp;number=3.8&amp;sourceID=14","3.8")</f>
        <v>3.8</v>
      </c>
      <c r="G3252" s="4" t="str">
        <f>HYPERLINK("http://141.218.60.56/~jnz1568/getInfo.php?workbook=12_04.xlsx&amp;sheet=U0&amp;row=3252&amp;col=7&amp;number=0.000844&amp;sourceID=14","0.000844")</f>
        <v>0.000844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HYPERLINK("http://141.218.60.56/~jnz1568/getInfo.php?workbook=12_04.xlsx&amp;sheet=U0&amp;row=3253&amp;col=6&amp;number=3.9&amp;sourceID=14","3.9")</f>
        <v>3.9</v>
      </c>
      <c r="G3253" s="4" t="str">
        <f>HYPERLINK("http://141.218.60.56/~jnz1568/getInfo.php?workbook=12_04.xlsx&amp;sheet=U0&amp;row=3253&amp;col=7&amp;number=0.000826&amp;sourceID=14","0.000826")</f>
        <v>0.000826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HYPERLINK("http://141.218.60.56/~jnz1568/getInfo.php?workbook=12_04.xlsx&amp;sheet=U0&amp;row=3254&amp;col=6&amp;number=4&amp;sourceID=14","4")</f>
        <v>4</v>
      </c>
      <c r="G3254" s="4" t="str">
        <f>HYPERLINK("http://141.218.60.56/~jnz1568/getInfo.php?workbook=12_04.xlsx&amp;sheet=U0&amp;row=3254&amp;col=7&amp;number=0.000805&amp;sourceID=14","0.000805")</f>
        <v>0.000805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HYPERLINK("http://141.218.60.56/~jnz1568/getInfo.php?workbook=12_04.xlsx&amp;sheet=U0&amp;row=3255&amp;col=6&amp;number=4.1&amp;sourceID=14","4.1")</f>
        <v>4.1</v>
      </c>
      <c r="G3255" s="4" t="str">
        <f>HYPERLINK("http://141.218.60.56/~jnz1568/getInfo.php?workbook=12_04.xlsx&amp;sheet=U0&amp;row=3255&amp;col=7&amp;number=0.000777&amp;sourceID=14","0.000777")</f>
        <v>0.000777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HYPERLINK("http://141.218.60.56/~jnz1568/getInfo.php?workbook=12_04.xlsx&amp;sheet=U0&amp;row=3256&amp;col=6&amp;number=4.2&amp;sourceID=14","4.2")</f>
        <v>4.2</v>
      </c>
      <c r="G3256" s="4" t="str">
        <f>HYPERLINK("http://141.218.60.56/~jnz1568/getInfo.php?workbook=12_04.xlsx&amp;sheet=U0&amp;row=3256&amp;col=7&amp;number=0.000743&amp;sourceID=14","0.000743")</f>
        <v>0.000743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HYPERLINK("http://141.218.60.56/~jnz1568/getInfo.php?workbook=12_04.xlsx&amp;sheet=U0&amp;row=3257&amp;col=6&amp;number=4.3&amp;sourceID=14","4.3")</f>
        <v>4.3</v>
      </c>
      <c r="G3257" s="4" t="str">
        <f>HYPERLINK("http://141.218.60.56/~jnz1568/getInfo.php?workbook=12_04.xlsx&amp;sheet=U0&amp;row=3257&amp;col=7&amp;number=0.000702&amp;sourceID=14","0.000702")</f>
        <v>0.000702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HYPERLINK("http://141.218.60.56/~jnz1568/getInfo.php?workbook=12_04.xlsx&amp;sheet=U0&amp;row=3258&amp;col=6&amp;number=4.4&amp;sourceID=14","4.4")</f>
        <v>4.4</v>
      </c>
      <c r="G3258" s="4" t="str">
        <f>HYPERLINK("http://141.218.60.56/~jnz1568/getInfo.php?workbook=12_04.xlsx&amp;sheet=U0&amp;row=3258&amp;col=7&amp;number=0.000651&amp;sourceID=14","0.000651")</f>
        <v>0.000651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HYPERLINK("http://141.218.60.56/~jnz1568/getInfo.php?workbook=12_04.xlsx&amp;sheet=U0&amp;row=3259&amp;col=6&amp;number=4.5&amp;sourceID=14","4.5")</f>
        <v>4.5</v>
      </c>
      <c r="G3259" s="4" t="str">
        <f>HYPERLINK("http://141.218.60.56/~jnz1568/getInfo.php?workbook=12_04.xlsx&amp;sheet=U0&amp;row=3259&amp;col=7&amp;number=0.000589&amp;sourceID=14","0.000589")</f>
        <v>0.000589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HYPERLINK("http://141.218.60.56/~jnz1568/getInfo.php?workbook=12_04.xlsx&amp;sheet=U0&amp;row=3260&amp;col=6&amp;number=4.6&amp;sourceID=14","4.6")</f>
        <v>4.6</v>
      </c>
      <c r="G3260" s="4" t="str">
        <f>HYPERLINK("http://141.218.60.56/~jnz1568/getInfo.php?workbook=12_04.xlsx&amp;sheet=U0&amp;row=3260&amp;col=7&amp;number=0.000517&amp;sourceID=14","0.000517")</f>
        <v>0.000517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HYPERLINK("http://141.218.60.56/~jnz1568/getInfo.php?workbook=12_04.xlsx&amp;sheet=U0&amp;row=3261&amp;col=6&amp;number=4.7&amp;sourceID=14","4.7")</f>
        <v>4.7</v>
      </c>
      <c r="G3261" s="4" t="str">
        <f>HYPERLINK("http://141.218.60.56/~jnz1568/getInfo.php?workbook=12_04.xlsx&amp;sheet=U0&amp;row=3261&amp;col=7&amp;number=0.000433&amp;sourceID=14","0.000433")</f>
        <v>0.000433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HYPERLINK("http://141.218.60.56/~jnz1568/getInfo.php?workbook=12_04.xlsx&amp;sheet=U0&amp;row=3262&amp;col=6&amp;number=4.8&amp;sourceID=14","4.8")</f>
        <v>4.8</v>
      </c>
      <c r="G3262" s="4" t="str">
        <f>HYPERLINK("http://141.218.60.56/~jnz1568/getInfo.php?workbook=12_04.xlsx&amp;sheet=U0&amp;row=3262&amp;col=7&amp;number=0.000342&amp;sourceID=14","0.000342")</f>
        <v>0.000342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HYPERLINK("http://141.218.60.56/~jnz1568/getInfo.php?workbook=12_04.xlsx&amp;sheet=U0&amp;row=3263&amp;col=6&amp;number=4.9&amp;sourceID=14","4.9")</f>
        <v>4.9</v>
      </c>
      <c r="G3263" s="4" t="str">
        <f>HYPERLINK("http://141.218.60.56/~jnz1568/getInfo.php?workbook=12_04.xlsx&amp;sheet=U0&amp;row=3263&amp;col=7&amp;number=0.000249&amp;sourceID=14","0.000249")</f>
        <v>0.000249</v>
      </c>
    </row>
    <row r="3264" spans="1:7">
      <c r="A3264" s="3">
        <v>12</v>
      </c>
      <c r="B3264" s="3">
        <v>4</v>
      </c>
      <c r="C3264" s="3">
        <v>2</v>
      </c>
      <c r="D3264" s="3">
        <v>69</v>
      </c>
      <c r="E3264" s="3">
        <v>1</v>
      </c>
      <c r="F3264" s="4" t="str">
        <f>HYPERLINK("http://141.218.60.56/~jnz1568/getInfo.php?workbook=12_04.xlsx&amp;sheet=U0&amp;row=3264&amp;col=6&amp;number=3&amp;sourceID=14","3")</f>
        <v>3</v>
      </c>
      <c r="G3264" s="4" t="str">
        <f>HYPERLINK("http://141.218.60.56/~jnz1568/getInfo.php?workbook=12_04.xlsx&amp;sheet=U0&amp;row=3264&amp;col=7&amp;number=0.00247&amp;sourceID=14","0.00247")</f>
        <v>0.00247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HYPERLINK("http://141.218.60.56/~jnz1568/getInfo.php?workbook=12_04.xlsx&amp;sheet=U0&amp;row=3265&amp;col=6&amp;number=3.1&amp;sourceID=14","3.1")</f>
        <v>3.1</v>
      </c>
      <c r="G3265" s="4" t="str">
        <f>HYPERLINK("http://141.218.60.56/~jnz1568/getInfo.php?workbook=12_04.xlsx&amp;sheet=U0&amp;row=3265&amp;col=7&amp;number=0.00247&amp;sourceID=14","0.00247")</f>
        <v>0.00247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HYPERLINK("http://141.218.60.56/~jnz1568/getInfo.php?workbook=12_04.xlsx&amp;sheet=U0&amp;row=3266&amp;col=6&amp;number=3.2&amp;sourceID=14","3.2")</f>
        <v>3.2</v>
      </c>
      <c r="G3266" s="4" t="str">
        <f>HYPERLINK("http://141.218.60.56/~jnz1568/getInfo.php?workbook=12_04.xlsx&amp;sheet=U0&amp;row=3266&amp;col=7&amp;number=0.00247&amp;sourceID=14","0.00247")</f>
        <v>0.00247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HYPERLINK("http://141.218.60.56/~jnz1568/getInfo.php?workbook=12_04.xlsx&amp;sheet=U0&amp;row=3267&amp;col=6&amp;number=3.3&amp;sourceID=14","3.3")</f>
        <v>3.3</v>
      </c>
      <c r="G3267" s="4" t="str">
        <f>HYPERLINK("http://141.218.60.56/~jnz1568/getInfo.php?workbook=12_04.xlsx&amp;sheet=U0&amp;row=3267&amp;col=7&amp;number=0.00247&amp;sourceID=14","0.00247")</f>
        <v>0.00247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HYPERLINK("http://141.218.60.56/~jnz1568/getInfo.php?workbook=12_04.xlsx&amp;sheet=U0&amp;row=3268&amp;col=6&amp;number=3.4&amp;sourceID=14","3.4")</f>
        <v>3.4</v>
      </c>
      <c r="G3268" s="4" t="str">
        <f>HYPERLINK("http://141.218.60.56/~jnz1568/getInfo.php?workbook=12_04.xlsx&amp;sheet=U0&amp;row=3268&amp;col=7&amp;number=0.00247&amp;sourceID=14","0.00247")</f>
        <v>0.00247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HYPERLINK("http://141.218.60.56/~jnz1568/getInfo.php?workbook=12_04.xlsx&amp;sheet=U0&amp;row=3269&amp;col=6&amp;number=3.5&amp;sourceID=14","3.5")</f>
        <v>3.5</v>
      </c>
      <c r="G3269" s="4" t="str">
        <f>HYPERLINK("http://141.218.60.56/~jnz1568/getInfo.php?workbook=12_04.xlsx&amp;sheet=U0&amp;row=3269&amp;col=7&amp;number=0.00246&amp;sourceID=14","0.00246")</f>
        <v>0.00246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HYPERLINK("http://141.218.60.56/~jnz1568/getInfo.php?workbook=12_04.xlsx&amp;sheet=U0&amp;row=3270&amp;col=6&amp;number=3.6&amp;sourceID=14","3.6")</f>
        <v>3.6</v>
      </c>
      <c r="G3270" s="4" t="str">
        <f>HYPERLINK("http://141.218.60.56/~jnz1568/getInfo.php?workbook=12_04.xlsx&amp;sheet=U0&amp;row=3270&amp;col=7&amp;number=0.00246&amp;sourceID=14","0.00246")</f>
        <v>0.00246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HYPERLINK("http://141.218.60.56/~jnz1568/getInfo.php?workbook=12_04.xlsx&amp;sheet=U0&amp;row=3271&amp;col=6&amp;number=3.7&amp;sourceID=14","3.7")</f>
        <v>3.7</v>
      </c>
      <c r="G3271" s="4" t="str">
        <f>HYPERLINK("http://141.218.60.56/~jnz1568/getInfo.php?workbook=12_04.xlsx&amp;sheet=U0&amp;row=3271&amp;col=7&amp;number=0.00245&amp;sourceID=14","0.00245")</f>
        <v>0.00245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HYPERLINK("http://141.218.60.56/~jnz1568/getInfo.php?workbook=12_04.xlsx&amp;sheet=U0&amp;row=3272&amp;col=6&amp;number=3.8&amp;sourceID=14","3.8")</f>
        <v>3.8</v>
      </c>
      <c r="G3272" s="4" t="str">
        <f>HYPERLINK("http://141.218.60.56/~jnz1568/getInfo.php?workbook=12_04.xlsx&amp;sheet=U0&amp;row=3272&amp;col=7&amp;number=0.00245&amp;sourceID=14","0.00245")</f>
        <v>0.00245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HYPERLINK("http://141.218.60.56/~jnz1568/getInfo.php?workbook=12_04.xlsx&amp;sheet=U0&amp;row=3273&amp;col=6&amp;number=3.9&amp;sourceID=14","3.9")</f>
        <v>3.9</v>
      </c>
      <c r="G3273" s="4" t="str">
        <f>HYPERLINK("http://141.218.60.56/~jnz1568/getInfo.php?workbook=12_04.xlsx&amp;sheet=U0&amp;row=3273&amp;col=7&amp;number=0.00244&amp;sourceID=14","0.00244")</f>
        <v>0.00244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HYPERLINK("http://141.218.60.56/~jnz1568/getInfo.php?workbook=12_04.xlsx&amp;sheet=U0&amp;row=3274&amp;col=6&amp;number=4&amp;sourceID=14","4")</f>
        <v>4</v>
      </c>
      <c r="G3274" s="4" t="str">
        <f>HYPERLINK("http://141.218.60.56/~jnz1568/getInfo.php?workbook=12_04.xlsx&amp;sheet=U0&amp;row=3274&amp;col=7&amp;number=0.00243&amp;sourceID=14","0.00243")</f>
        <v>0.00243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HYPERLINK("http://141.218.60.56/~jnz1568/getInfo.php?workbook=12_04.xlsx&amp;sheet=U0&amp;row=3275&amp;col=6&amp;number=4.1&amp;sourceID=14","4.1")</f>
        <v>4.1</v>
      </c>
      <c r="G3275" s="4" t="str">
        <f>HYPERLINK("http://141.218.60.56/~jnz1568/getInfo.php?workbook=12_04.xlsx&amp;sheet=U0&amp;row=3275&amp;col=7&amp;number=0.00242&amp;sourceID=14","0.00242")</f>
        <v>0.00242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HYPERLINK("http://141.218.60.56/~jnz1568/getInfo.php?workbook=12_04.xlsx&amp;sheet=U0&amp;row=3276&amp;col=6&amp;number=4.2&amp;sourceID=14","4.2")</f>
        <v>4.2</v>
      </c>
      <c r="G3276" s="4" t="str">
        <f>HYPERLINK("http://141.218.60.56/~jnz1568/getInfo.php?workbook=12_04.xlsx&amp;sheet=U0&amp;row=3276&amp;col=7&amp;number=0.0024&amp;sourceID=14","0.0024")</f>
        <v>0.0024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HYPERLINK("http://141.218.60.56/~jnz1568/getInfo.php?workbook=12_04.xlsx&amp;sheet=U0&amp;row=3277&amp;col=6&amp;number=4.3&amp;sourceID=14","4.3")</f>
        <v>4.3</v>
      </c>
      <c r="G3277" s="4" t="str">
        <f>HYPERLINK("http://141.218.60.56/~jnz1568/getInfo.php?workbook=12_04.xlsx&amp;sheet=U0&amp;row=3277&amp;col=7&amp;number=0.00238&amp;sourceID=14","0.00238")</f>
        <v>0.00238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HYPERLINK("http://141.218.60.56/~jnz1568/getInfo.php?workbook=12_04.xlsx&amp;sheet=U0&amp;row=3278&amp;col=6&amp;number=4.4&amp;sourceID=14","4.4")</f>
        <v>4.4</v>
      </c>
      <c r="G3278" s="4" t="str">
        <f>HYPERLINK("http://141.218.60.56/~jnz1568/getInfo.php?workbook=12_04.xlsx&amp;sheet=U0&amp;row=3278&amp;col=7&amp;number=0.00236&amp;sourceID=14","0.00236")</f>
        <v>0.00236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HYPERLINK("http://141.218.60.56/~jnz1568/getInfo.php?workbook=12_04.xlsx&amp;sheet=U0&amp;row=3279&amp;col=6&amp;number=4.5&amp;sourceID=14","4.5")</f>
        <v>4.5</v>
      </c>
      <c r="G3279" s="4" t="str">
        <f>HYPERLINK("http://141.218.60.56/~jnz1568/getInfo.php?workbook=12_04.xlsx&amp;sheet=U0&amp;row=3279&amp;col=7&amp;number=0.00233&amp;sourceID=14","0.00233")</f>
        <v>0.00233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HYPERLINK("http://141.218.60.56/~jnz1568/getInfo.php?workbook=12_04.xlsx&amp;sheet=U0&amp;row=3280&amp;col=6&amp;number=4.6&amp;sourceID=14","4.6")</f>
        <v>4.6</v>
      </c>
      <c r="G3280" s="4" t="str">
        <f>HYPERLINK("http://141.218.60.56/~jnz1568/getInfo.php?workbook=12_04.xlsx&amp;sheet=U0&amp;row=3280&amp;col=7&amp;number=0.00229&amp;sourceID=14","0.00229")</f>
        <v>0.00229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HYPERLINK("http://141.218.60.56/~jnz1568/getInfo.php?workbook=12_04.xlsx&amp;sheet=U0&amp;row=3281&amp;col=6&amp;number=4.7&amp;sourceID=14","4.7")</f>
        <v>4.7</v>
      </c>
      <c r="G3281" s="4" t="str">
        <f>HYPERLINK("http://141.218.60.56/~jnz1568/getInfo.php?workbook=12_04.xlsx&amp;sheet=U0&amp;row=3281&amp;col=7&amp;number=0.00225&amp;sourceID=14","0.00225")</f>
        <v>0.00225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HYPERLINK("http://141.218.60.56/~jnz1568/getInfo.php?workbook=12_04.xlsx&amp;sheet=U0&amp;row=3282&amp;col=6&amp;number=4.8&amp;sourceID=14","4.8")</f>
        <v>4.8</v>
      </c>
      <c r="G3282" s="4" t="str">
        <f>HYPERLINK("http://141.218.60.56/~jnz1568/getInfo.php?workbook=12_04.xlsx&amp;sheet=U0&amp;row=3282&amp;col=7&amp;number=0.00219&amp;sourceID=14","0.00219")</f>
        <v>0.00219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HYPERLINK("http://141.218.60.56/~jnz1568/getInfo.php?workbook=12_04.xlsx&amp;sheet=U0&amp;row=3283&amp;col=6&amp;number=4.9&amp;sourceID=14","4.9")</f>
        <v>4.9</v>
      </c>
      <c r="G3283" s="4" t="str">
        <f>HYPERLINK("http://141.218.60.56/~jnz1568/getInfo.php?workbook=12_04.xlsx&amp;sheet=U0&amp;row=3283&amp;col=7&amp;number=0.00213&amp;sourceID=14","0.00213")</f>
        <v>0.00213</v>
      </c>
    </row>
    <row r="3284" spans="1:7">
      <c r="A3284" s="3">
        <v>12</v>
      </c>
      <c r="B3284" s="3">
        <v>4</v>
      </c>
      <c r="C3284" s="3">
        <v>2</v>
      </c>
      <c r="D3284" s="3">
        <v>70</v>
      </c>
      <c r="E3284" s="3">
        <v>1</v>
      </c>
      <c r="F3284" s="4" t="str">
        <f>HYPERLINK("http://141.218.60.56/~jnz1568/getInfo.php?workbook=12_04.xlsx&amp;sheet=U0&amp;row=3284&amp;col=6&amp;number=3&amp;sourceID=14","3")</f>
        <v>3</v>
      </c>
      <c r="G3284" s="4" t="str">
        <f>HYPERLINK("http://141.218.60.56/~jnz1568/getInfo.php?workbook=12_04.xlsx&amp;sheet=U0&amp;row=3284&amp;col=7&amp;number=0.000739&amp;sourceID=14","0.000739")</f>
        <v>0.000739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HYPERLINK("http://141.218.60.56/~jnz1568/getInfo.php?workbook=12_04.xlsx&amp;sheet=U0&amp;row=3285&amp;col=6&amp;number=3.1&amp;sourceID=14","3.1")</f>
        <v>3.1</v>
      </c>
      <c r="G3285" s="4" t="str">
        <f>HYPERLINK("http://141.218.60.56/~jnz1568/getInfo.php?workbook=12_04.xlsx&amp;sheet=U0&amp;row=3285&amp;col=7&amp;number=0.000739&amp;sourceID=14","0.000739")</f>
        <v>0.000739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HYPERLINK("http://141.218.60.56/~jnz1568/getInfo.php?workbook=12_04.xlsx&amp;sheet=U0&amp;row=3286&amp;col=6&amp;number=3.2&amp;sourceID=14","3.2")</f>
        <v>3.2</v>
      </c>
      <c r="G3286" s="4" t="str">
        <f>HYPERLINK("http://141.218.60.56/~jnz1568/getInfo.php?workbook=12_04.xlsx&amp;sheet=U0&amp;row=3286&amp;col=7&amp;number=0.000738&amp;sourceID=14","0.000738")</f>
        <v>0.000738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HYPERLINK("http://141.218.60.56/~jnz1568/getInfo.php?workbook=12_04.xlsx&amp;sheet=U0&amp;row=3287&amp;col=6&amp;number=3.3&amp;sourceID=14","3.3")</f>
        <v>3.3</v>
      </c>
      <c r="G3287" s="4" t="str">
        <f>HYPERLINK("http://141.218.60.56/~jnz1568/getInfo.php?workbook=12_04.xlsx&amp;sheet=U0&amp;row=3287&amp;col=7&amp;number=0.000736&amp;sourceID=14","0.000736")</f>
        <v>0.000736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HYPERLINK("http://141.218.60.56/~jnz1568/getInfo.php?workbook=12_04.xlsx&amp;sheet=U0&amp;row=3288&amp;col=6&amp;number=3.4&amp;sourceID=14","3.4")</f>
        <v>3.4</v>
      </c>
      <c r="G3288" s="4" t="str">
        <f>HYPERLINK("http://141.218.60.56/~jnz1568/getInfo.php?workbook=12_04.xlsx&amp;sheet=U0&amp;row=3288&amp;col=7&amp;number=0.000735&amp;sourceID=14","0.000735")</f>
        <v>0.000735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HYPERLINK("http://141.218.60.56/~jnz1568/getInfo.php?workbook=12_04.xlsx&amp;sheet=U0&amp;row=3289&amp;col=6&amp;number=3.5&amp;sourceID=14","3.5")</f>
        <v>3.5</v>
      </c>
      <c r="G3289" s="4" t="str">
        <f>HYPERLINK("http://141.218.60.56/~jnz1568/getInfo.php?workbook=12_04.xlsx&amp;sheet=U0&amp;row=3289&amp;col=7&amp;number=0.000733&amp;sourceID=14","0.000733")</f>
        <v>0.000733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HYPERLINK("http://141.218.60.56/~jnz1568/getInfo.php?workbook=12_04.xlsx&amp;sheet=U0&amp;row=3290&amp;col=6&amp;number=3.6&amp;sourceID=14","3.6")</f>
        <v>3.6</v>
      </c>
      <c r="G3290" s="4" t="str">
        <f>HYPERLINK("http://141.218.60.56/~jnz1568/getInfo.php?workbook=12_04.xlsx&amp;sheet=U0&amp;row=3290&amp;col=7&amp;number=0.00073&amp;sourceID=14","0.00073")</f>
        <v>0.00073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HYPERLINK("http://141.218.60.56/~jnz1568/getInfo.php?workbook=12_04.xlsx&amp;sheet=U0&amp;row=3291&amp;col=6&amp;number=3.7&amp;sourceID=14","3.7")</f>
        <v>3.7</v>
      </c>
      <c r="G3291" s="4" t="str">
        <f>HYPERLINK("http://141.218.60.56/~jnz1568/getInfo.php?workbook=12_04.xlsx&amp;sheet=U0&amp;row=3291&amp;col=7&amp;number=0.000727&amp;sourceID=14","0.000727")</f>
        <v>0.000727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HYPERLINK("http://141.218.60.56/~jnz1568/getInfo.php?workbook=12_04.xlsx&amp;sheet=U0&amp;row=3292&amp;col=6&amp;number=3.8&amp;sourceID=14","3.8")</f>
        <v>3.8</v>
      </c>
      <c r="G3292" s="4" t="str">
        <f>HYPERLINK("http://141.218.60.56/~jnz1568/getInfo.php?workbook=12_04.xlsx&amp;sheet=U0&amp;row=3292&amp;col=7&amp;number=0.000723&amp;sourceID=14","0.000723")</f>
        <v>0.000723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HYPERLINK("http://141.218.60.56/~jnz1568/getInfo.php?workbook=12_04.xlsx&amp;sheet=U0&amp;row=3293&amp;col=6&amp;number=3.9&amp;sourceID=14","3.9")</f>
        <v>3.9</v>
      </c>
      <c r="G3293" s="4" t="str">
        <f>HYPERLINK("http://141.218.60.56/~jnz1568/getInfo.php?workbook=12_04.xlsx&amp;sheet=U0&amp;row=3293&amp;col=7&amp;number=0.000718&amp;sourceID=14","0.000718")</f>
        <v>0.000718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HYPERLINK("http://141.218.60.56/~jnz1568/getInfo.php?workbook=12_04.xlsx&amp;sheet=U0&amp;row=3294&amp;col=6&amp;number=4&amp;sourceID=14","4")</f>
        <v>4</v>
      </c>
      <c r="G3294" s="4" t="str">
        <f>HYPERLINK("http://141.218.60.56/~jnz1568/getInfo.php?workbook=12_04.xlsx&amp;sheet=U0&amp;row=3294&amp;col=7&amp;number=0.000712&amp;sourceID=14","0.000712")</f>
        <v>0.000712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HYPERLINK("http://141.218.60.56/~jnz1568/getInfo.php?workbook=12_04.xlsx&amp;sheet=U0&amp;row=3295&amp;col=6&amp;number=4.1&amp;sourceID=14","4.1")</f>
        <v>4.1</v>
      </c>
      <c r="G3295" s="4" t="str">
        <f>HYPERLINK("http://141.218.60.56/~jnz1568/getInfo.php?workbook=12_04.xlsx&amp;sheet=U0&amp;row=3295&amp;col=7&amp;number=0.000705&amp;sourceID=14","0.000705")</f>
        <v>0.000705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HYPERLINK("http://141.218.60.56/~jnz1568/getInfo.php?workbook=12_04.xlsx&amp;sheet=U0&amp;row=3296&amp;col=6&amp;number=4.2&amp;sourceID=14","4.2")</f>
        <v>4.2</v>
      </c>
      <c r="G3296" s="4" t="str">
        <f>HYPERLINK("http://141.218.60.56/~jnz1568/getInfo.php?workbook=12_04.xlsx&amp;sheet=U0&amp;row=3296&amp;col=7&amp;number=0.000695&amp;sourceID=14","0.000695")</f>
        <v>0.000695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HYPERLINK("http://141.218.60.56/~jnz1568/getInfo.php?workbook=12_04.xlsx&amp;sheet=U0&amp;row=3297&amp;col=6&amp;number=4.3&amp;sourceID=14","4.3")</f>
        <v>4.3</v>
      </c>
      <c r="G3297" s="4" t="str">
        <f>HYPERLINK("http://141.218.60.56/~jnz1568/getInfo.php?workbook=12_04.xlsx&amp;sheet=U0&amp;row=3297&amp;col=7&amp;number=0.000683&amp;sourceID=14","0.000683")</f>
        <v>0.000683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HYPERLINK("http://141.218.60.56/~jnz1568/getInfo.php?workbook=12_04.xlsx&amp;sheet=U0&amp;row=3298&amp;col=6&amp;number=4.4&amp;sourceID=14","4.4")</f>
        <v>4.4</v>
      </c>
      <c r="G3298" s="4" t="str">
        <f>HYPERLINK("http://141.218.60.56/~jnz1568/getInfo.php?workbook=12_04.xlsx&amp;sheet=U0&amp;row=3298&amp;col=7&amp;number=0.000668&amp;sourceID=14","0.000668")</f>
        <v>0.000668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HYPERLINK("http://141.218.60.56/~jnz1568/getInfo.php?workbook=12_04.xlsx&amp;sheet=U0&amp;row=3299&amp;col=6&amp;number=4.5&amp;sourceID=14","4.5")</f>
        <v>4.5</v>
      </c>
      <c r="G3299" s="4" t="str">
        <f>HYPERLINK("http://141.218.60.56/~jnz1568/getInfo.php?workbook=12_04.xlsx&amp;sheet=U0&amp;row=3299&amp;col=7&amp;number=0.000649&amp;sourceID=14","0.000649")</f>
        <v>0.000649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HYPERLINK("http://141.218.60.56/~jnz1568/getInfo.php?workbook=12_04.xlsx&amp;sheet=U0&amp;row=3300&amp;col=6&amp;number=4.6&amp;sourceID=14","4.6")</f>
        <v>4.6</v>
      </c>
      <c r="G3300" s="4" t="str">
        <f>HYPERLINK("http://141.218.60.56/~jnz1568/getInfo.php?workbook=12_04.xlsx&amp;sheet=U0&amp;row=3300&amp;col=7&amp;number=0.000627&amp;sourceID=14","0.000627")</f>
        <v>0.000627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HYPERLINK("http://141.218.60.56/~jnz1568/getInfo.php?workbook=12_04.xlsx&amp;sheet=U0&amp;row=3301&amp;col=6&amp;number=4.7&amp;sourceID=14","4.7")</f>
        <v>4.7</v>
      </c>
      <c r="G3301" s="4" t="str">
        <f>HYPERLINK("http://141.218.60.56/~jnz1568/getInfo.php?workbook=12_04.xlsx&amp;sheet=U0&amp;row=3301&amp;col=7&amp;number=0.000599&amp;sourceID=14","0.000599")</f>
        <v>0.000599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HYPERLINK("http://141.218.60.56/~jnz1568/getInfo.php?workbook=12_04.xlsx&amp;sheet=U0&amp;row=3302&amp;col=6&amp;number=4.8&amp;sourceID=14","4.8")</f>
        <v>4.8</v>
      </c>
      <c r="G3302" s="4" t="str">
        <f>HYPERLINK("http://141.218.60.56/~jnz1568/getInfo.php?workbook=12_04.xlsx&amp;sheet=U0&amp;row=3302&amp;col=7&amp;number=0.000566&amp;sourceID=14","0.000566")</f>
        <v>0.000566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HYPERLINK("http://141.218.60.56/~jnz1568/getInfo.php?workbook=12_04.xlsx&amp;sheet=U0&amp;row=3303&amp;col=6&amp;number=4.9&amp;sourceID=14","4.9")</f>
        <v>4.9</v>
      </c>
      <c r="G3303" s="4" t="str">
        <f>HYPERLINK("http://141.218.60.56/~jnz1568/getInfo.php?workbook=12_04.xlsx&amp;sheet=U0&amp;row=3303&amp;col=7&amp;number=0.000527&amp;sourceID=14","0.000527")</f>
        <v>0.000527</v>
      </c>
    </row>
    <row r="3304" spans="1:7">
      <c r="A3304" s="3">
        <v>12</v>
      </c>
      <c r="B3304" s="3">
        <v>4</v>
      </c>
      <c r="C3304" s="3">
        <v>2</v>
      </c>
      <c r="D3304" s="3">
        <v>71</v>
      </c>
      <c r="E3304" s="3">
        <v>1</v>
      </c>
      <c r="F3304" s="4" t="str">
        <f>HYPERLINK("http://141.218.60.56/~jnz1568/getInfo.php?workbook=12_04.xlsx&amp;sheet=U0&amp;row=3304&amp;col=6&amp;number=3&amp;sourceID=14","3")</f>
        <v>3</v>
      </c>
      <c r="G3304" s="4" t="str">
        <f>HYPERLINK("http://141.218.60.56/~jnz1568/getInfo.php?workbook=12_04.xlsx&amp;sheet=U0&amp;row=3304&amp;col=7&amp;number=0.000818&amp;sourceID=14","0.000818")</f>
        <v>0.000818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HYPERLINK("http://141.218.60.56/~jnz1568/getInfo.php?workbook=12_04.xlsx&amp;sheet=U0&amp;row=3305&amp;col=6&amp;number=3.1&amp;sourceID=14","3.1")</f>
        <v>3.1</v>
      </c>
      <c r="G3305" s="4" t="str">
        <f>HYPERLINK("http://141.218.60.56/~jnz1568/getInfo.php?workbook=12_04.xlsx&amp;sheet=U0&amp;row=3305&amp;col=7&amp;number=0.000815&amp;sourceID=14","0.000815")</f>
        <v>0.000815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HYPERLINK("http://141.218.60.56/~jnz1568/getInfo.php?workbook=12_04.xlsx&amp;sheet=U0&amp;row=3306&amp;col=6&amp;number=3.2&amp;sourceID=14","3.2")</f>
        <v>3.2</v>
      </c>
      <c r="G3306" s="4" t="str">
        <f>HYPERLINK("http://141.218.60.56/~jnz1568/getInfo.php?workbook=12_04.xlsx&amp;sheet=U0&amp;row=3306&amp;col=7&amp;number=0.000813&amp;sourceID=14","0.000813")</f>
        <v>0.000813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HYPERLINK("http://141.218.60.56/~jnz1568/getInfo.php?workbook=12_04.xlsx&amp;sheet=U0&amp;row=3307&amp;col=6&amp;number=3.3&amp;sourceID=14","3.3")</f>
        <v>3.3</v>
      </c>
      <c r="G3307" s="4" t="str">
        <f>HYPERLINK("http://141.218.60.56/~jnz1568/getInfo.php?workbook=12_04.xlsx&amp;sheet=U0&amp;row=3307&amp;col=7&amp;number=0.000809&amp;sourceID=14","0.000809")</f>
        <v>0.000809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HYPERLINK("http://141.218.60.56/~jnz1568/getInfo.php?workbook=12_04.xlsx&amp;sheet=U0&amp;row=3308&amp;col=6&amp;number=3.4&amp;sourceID=14","3.4")</f>
        <v>3.4</v>
      </c>
      <c r="G3308" s="4" t="str">
        <f>HYPERLINK("http://141.218.60.56/~jnz1568/getInfo.php?workbook=12_04.xlsx&amp;sheet=U0&amp;row=3308&amp;col=7&amp;number=0.000805&amp;sourceID=14","0.000805")</f>
        <v>0.000805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HYPERLINK("http://141.218.60.56/~jnz1568/getInfo.php?workbook=12_04.xlsx&amp;sheet=U0&amp;row=3309&amp;col=6&amp;number=3.5&amp;sourceID=14","3.5")</f>
        <v>3.5</v>
      </c>
      <c r="G3309" s="4" t="str">
        <f>HYPERLINK("http://141.218.60.56/~jnz1568/getInfo.php?workbook=12_04.xlsx&amp;sheet=U0&amp;row=3309&amp;col=7&amp;number=0.000799&amp;sourceID=14","0.000799")</f>
        <v>0.000799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HYPERLINK("http://141.218.60.56/~jnz1568/getInfo.php?workbook=12_04.xlsx&amp;sheet=U0&amp;row=3310&amp;col=6&amp;number=3.6&amp;sourceID=14","3.6")</f>
        <v>3.6</v>
      </c>
      <c r="G3310" s="4" t="str">
        <f>HYPERLINK("http://141.218.60.56/~jnz1568/getInfo.php?workbook=12_04.xlsx&amp;sheet=U0&amp;row=3310&amp;col=7&amp;number=0.000792&amp;sourceID=14","0.000792")</f>
        <v>0.000792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HYPERLINK("http://141.218.60.56/~jnz1568/getInfo.php?workbook=12_04.xlsx&amp;sheet=U0&amp;row=3311&amp;col=6&amp;number=3.7&amp;sourceID=14","3.7")</f>
        <v>3.7</v>
      </c>
      <c r="G3311" s="4" t="str">
        <f>HYPERLINK("http://141.218.60.56/~jnz1568/getInfo.php?workbook=12_04.xlsx&amp;sheet=U0&amp;row=3311&amp;col=7&amp;number=0.000783&amp;sourceID=14","0.000783")</f>
        <v>0.000783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HYPERLINK("http://141.218.60.56/~jnz1568/getInfo.php?workbook=12_04.xlsx&amp;sheet=U0&amp;row=3312&amp;col=6&amp;number=3.8&amp;sourceID=14","3.8")</f>
        <v>3.8</v>
      </c>
      <c r="G3312" s="4" t="str">
        <f>HYPERLINK("http://141.218.60.56/~jnz1568/getInfo.php?workbook=12_04.xlsx&amp;sheet=U0&amp;row=3312&amp;col=7&amp;number=0.000772&amp;sourceID=14","0.000772")</f>
        <v>0.000772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HYPERLINK("http://141.218.60.56/~jnz1568/getInfo.php?workbook=12_04.xlsx&amp;sheet=U0&amp;row=3313&amp;col=6&amp;number=3.9&amp;sourceID=14","3.9")</f>
        <v>3.9</v>
      </c>
      <c r="G3313" s="4" t="str">
        <f>HYPERLINK("http://141.218.60.56/~jnz1568/getInfo.php?workbook=12_04.xlsx&amp;sheet=U0&amp;row=3313&amp;col=7&amp;number=0.000759&amp;sourceID=14","0.000759")</f>
        <v>0.000759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HYPERLINK("http://141.218.60.56/~jnz1568/getInfo.php?workbook=12_04.xlsx&amp;sheet=U0&amp;row=3314&amp;col=6&amp;number=4&amp;sourceID=14","4")</f>
        <v>4</v>
      </c>
      <c r="G3314" s="4" t="str">
        <f>HYPERLINK("http://141.218.60.56/~jnz1568/getInfo.php?workbook=12_04.xlsx&amp;sheet=U0&amp;row=3314&amp;col=7&amp;number=0.000742&amp;sourceID=14","0.000742")</f>
        <v>0.000742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HYPERLINK("http://141.218.60.56/~jnz1568/getInfo.php?workbook=12_04.xlsx&amp;sheet=U0&amp;row=3315&amp;col=6&amp;number=4.1&amp;sourceID=14","4.1")</f>
        <v>4.1</v>
      </c>
      <c r="G3315" s="4" t="str">
        <f>HYPERLINK("http://141.218.60.56/~jnz1568/getInfo.php?workbook=12_04.xlsx&amp;sheet=U0&amp;row=3315&amp;col=7&amp;number=0.000722&amp;sourceID=14","0.000722")</f>
        <v>0.000722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HYPERLINK("http://141.218.60.56/~jnz1568/getInfo.php?workbook=12_04.xlsx&amp;sheet=U0&amp;row=3316&amp;col=6&amp;number=4.2&amp;sourceID=14","4.2")</f>
        <v>4.2</v>
      </c>
      <c r="G3316" s="4" t="str">
        <f>HYPERLINK("http://141.218.60.56/~jnz1568/getInfo.php?workbook=12_04.xlsx&amp;sheet=U0&amp;row=3316&amp;col=7&amp;number=0.000697&amp;sourceID=14","0.000697")</f>
        <v>0.000697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HYPERLINK("http://141.218.60.56/~jnz1568/getInfo.php?workbook=12_04.xlsx&amp;sheet=U0&amp;row=3317&amp;col=6&amp;number=4.3&amp;sourceID=14","4.3")</f>
        <v>4.3</v>
      </c>
      <c r="G3317" s="4" t="str">
        <f>HYPERLINK("http://141.218.60.56/~jnz1568/getInfo.php?workbook=12_04.xlsx&amp;sheet=U0&amp;row=3317&amp;col=7&amp;number=0.000668&amp;sourceID=14","0.000668")</f>
        <v>0.000668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HYPERLINK("http://141.218.60.56/~jnz1568/getInfo.php?workbook=12_04.xlsx&amp;sheet=U0&amp;row=3318&amp;col=6&amp;number=4.4&amp;sourceID=14","4.4")</f>
        <v>4.4</v>
      </c>
      <c r="G3318" s="4" t="str">
        <f>HYPERLINK("http://141.218.60.56/~jnz1568/getInfo.php?workbook=12_04.xlsx&amp;sheet=U0&amp;row=3318&amp;col=7&amp;number=0.000634&amp;sourceID=14","0.000634")</f>
        <v>0.000634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HYPERLINK("http://141.218.60.56/~jnz1568/getInfo.php?workbook=12_04.xlsx&amp;sheet=U0&amp;row=3319&amp;col=6&amp;number=4.5&amp;sourceID=14","4.5")</f>
        <v>4.5</v>
      </c>
      <c r="G3319" s="4" t="str">
        <f>HYPERLINK("http://141.218.60.56/~jnz1568/getInfo.php?workbook=12_04.xlsx&amp;sheet=U0&amp;row=3319&amp;col=7&amp;number=0.000596&amp;sourceID=14","0.000596")</f>
        <v>0.000596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HYPERLINK("http://141.218.60.56/~jnz1568/getInfo.php?workbook=12_04.xlsx&amp;sheet=U0&amp;row=3320&amp;col=6&amp;number=4.6&amp;sourceID=14","4.6")</f>
        <v>4.6</v>
      </c>
      <c r="G3320" s="4" t="str">
        <f>HYPERLINK("http://141.218.60.56/~jnz1568/getInfo.php?workbook=12_04.xlsx&amp;sheet=U0&amp;row=3320&amp;col=7&amp;number=0.000556&amp;sourceID=14","0.000556")</f>
        <v>0.000556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HYPERLINK("http://141.218.60.56/~jnz1568/getInfo.php?workbook=12_04.xlsx&amp;sheet=U0&amp;row=3321&amp;col=6&amp;number=4.7&amp;sourceID=14","4.7")</f>
        <v>4.7</v>
      </c>
      <c r="G3321" s="4" t="str">
        <f>HYPERLINK("http://141.218.60.56/~jnz1568/getInfo.php?workbook=12_04.xlsx&amp;sheet=U0&amp;row=3321&amp;col=7&amp;number=0.000519&amp;sourceID=14","0.000519")</f>
        <v>0.000519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HYPERLINK("http://141.218.60.56/~jnz1568/getInfo.php?workbook=12_04.xlsx&amp;sheet=U0&amp;row=3322&amp;col=6&amp;number=4.8&amp;sourceID=14","4.8")</f>
        <v>4.8</v>
      </c>
      <c r="G3322" s="4" t="str">
        <f>HYPERLINK("http://141.218.60.56/~jnz1568/getInfo.php?workbook=12_04.xlsx&amp;sheet=U0&amp;row=3322&amp;col=7&amp;number=0.00049&amp;sourceID=14","0.00049")</f>
        <v>0.00049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HYPERLINK("http://141.218.60.56/~jnz1568/getInfo.php?workbook=12_04.xlsx&amp;sheet=U0&amp;row=3323&amp;col=6&amp;number=4.9&amp;sourceID=14","4.9")</f>
        <v>4.9</v>
      </c>
      <c r="G3323" s="4" t="str">
        <f>HYPERLINK("http://141.218.60.56/~jnz1568/getInfo.php?workbook=12_04.xlsx&amp;sheet=U0&amp;row=3323&amp;col=7&amp;number=0.000471&amp;sourceID=14","0.000471")</f>
        <v>0.000471</v>
      </c>
    </row>
    <row r="3324" spans="1:7">
      <c r="A3324" s="3">
        <v>12</v>
      </c>
      <c r="B3324" s="3">
        <v>4</v>
      </c>
      <c r="C3324" s="3">
        <v>2</v>
      </c>
      <c r="D3324" s="3">
        <v>72</v>
      </c>
      <c r="E3324" s="3">
        <v>1</v>
      </c>
      <c r="F3324" s="4" t="str">
        <f>HYPERLINK("http://141.218.60.56/~jnz1568/getInfo.php?workbook=12_04.xlsx&amp;sheet=U0&amp;row=3324&amp;col=6&amp;number=3&amp;sourceID=14","3")</f>
        <v>3</v>
      </c>
      <c r="G3324" s="4" t="str">
        <f>HYPERLINK("http://141.218.60.56/~jnz1568/getInfo.php?workbook=12_04.xlsx&amp;sheet=U0&amp;row=3324&amp;col=7&amp;number=0.000873&amp;sourceID=14","0.000873")</f>
        <v>0.000873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HYPERLINK("http://141.218.60.56/~jnz1568/getInfo.php?workbook=12_04.xlsx&amp;sheet=U0&amp;row=3325&amp;col=6&amp;number=3.1&amp;sourceID=14","3.1")</f>
        <v>3.1</v>
      </c>
      <c r="G3325" s="4" t="str">
        <f>HYPERLINK("http://141.218.60.56/~jnz1568/getInfo.php?workbook=12_04.xlsx&amp;sheet=U0&amp;row=3325&amp;col=7&amp;number=0.000872&amp;sourceID=14","0.000872")</f>
        <v>0.000872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HYPERLINK("http://141.218.60.56/~jnz1568/getInfo.php?workbook=12_04.xlsx&amp;sheet=U0&amp;row=3326&amp;col=6&amp;number=3.2&amp;sourceID=14","3.2")</f>
        <v>3.2</v>
      </c>
      <c r="G3326" s="4" t="str">
        <f>HYPERLINK("http://141.218.60.56/~jnz1568/getInfo.php?workbook=12_04.xlsx&amp;sheet=U0&amp;row=3326&amp;col=7&amp;number=0.000871&amp;sourceID=14","0.000871")</f>
        <v>0.000871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HYPERLINK("http://141.218.60.56/~jnz1568/getInfo.php?workbook=12_04.xlsx&amp;sheet=U0&amp;row=3327&amp;col=6&amp;number=3.3&amp;sourceID=14","3.3")</f>
        <v>3.3</v>
      </c>
      <c r="G3327" s="4" t="str">
        <f>HYPERLINK("http://141.218.60.56/~jnz1568/getInfo.php?workbook=12_04.xlsx&amp;sheet=U0&amp;row=3327&amp;col=7&amp;number=0.000869&amp;sourceID=14","0.000869")</f>
        <v>0.000869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HYPERLINK("http://141.218.60.56/~jnz1568/getInfo.php?workbook=12_04.xlsx&amp;sheet=U0&amp;row=3328&amp;col=6&amp;number=3.4&amp;sourceID=14","3.4")</f>
        <v>3.4</v>
      </c>
      <c r="G3328" s="4" t="str">
        <f>HYPERLINK("http://141.218.60.56/~jnz1568/getInfo.php?workbook=12_04.xlsx&amp;sheet=U0&amp;row=3328&amp;col=7&amp;number=0.000867&amp;sourceID=14","0.000867")</f>
        <v>0.000867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HYPERLINK("http://141.218.60.56/~jnz1568/getInfo.php?workbook=12_04.xlsx&amp;sheet=U0&amp;row=3329&amp;col=6&amp;number=3.5&amp;sourceID=14","3.5")</f>
        <v>3.5</v>
      </c>
      <c r="G3329" s="4" t="str">
        <f>HYPERLINK("http://141.218.60.56/~jnz1568/getInfo.php?workbook=12_04.xlsx&amp;sheet=U0&amp;row=3329&amp;col=7&amp;number=0.000865&amp;sourceID=14","0.000865")</f>
        <v>0.000865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HYPERLINK("http://141.218.60.56/~jnz1568/getInfo.php?workbook=12_04.xlsx&amp;sheet=U0&amp;row=3330&amp;col=6&amp;number=3.6&amp;sourceID=14","3.6")</f>
        <v>3.6</v>
      </c>
      <c r="G3330" s="4" t="str">
        <f>HYPERLINK("http://141.218.60.56/~jnz1568/getInfo.php?workbook=12_04.xlsx&amp;sheet=U0&amp;row=3330&amp;col=7&amp;number=0.000861&amp;sourceID=14","0.000861")</f>
        <v>0.000861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HYPERLINK("http://141.218.60.56/~jnz1568/getInfo.php?workbook=12_04.xlsx&amp;sheet=U0&amp;row=3331&amp;col=6&amp;number=3.7&amp;sourceID=14","3.7")</f>
        <v>3.7</v>
      </c>
      <c r="G3331" s="4" t="str">
        <f>HYPERLINK("http://141.218.60.56/~jnz1568/getInfo.php?workbook=12_04.xlsx&amp;sheet=U0&amp;row=3331&amp;col=7&amp;number=0.000857&amp;sourceID=14","0.000857")</f>
        <v>0.000857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HYPERLINK("http://141.218.60.56/~jnz1568/getInfo.php?workbook=12_04.xlsx&amp;sheet=U0&amp;row=3332&amp;col=6&amp;number=3.8&amp;sourceID=14","3.8")</f>
        <v>3.8</v>
      </c>
      <c r="G3332" s="4" t="str">
        <f>HYPERLINK("http://141.218.60.56/~jnz1568/getInfo.php?workbook=12_04.xlsx&amp;sheet=U0&amp;row=3332&amp;col=7&amp;number=0.000852&amp;sourceID=14","0.000852")</f>
        <v>0.000852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HYPERLINK("http://141.218.60.56/~jnz1568/getInfo.php?workbook=12_04.xlsx&amp;sheet=U0&amp;row=3333&amp;col=6&amp;number=3.9&amp;sourceID=14","3.9")</f>
        <v>3.9</v>
      </c>
      <c r="G3333" s="4" t="str">
        <f>HYPERLINK("http://141.218.60.56/~jnz1568/getInfo.php?workbook=12_04.xlsx&amp;sheet=U0&amp;row=3333&amp;col=7&amp;number=0.000845&amp;sourceID=14","0.000845")</f>
        <v>0.000845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HYPERLINK("http://141.218.60.56/~jnz1568/getInfo.php?workbook=12_04.xlsx&amp;sheet=U0&amp;row=3334&amp;col=6&amp;number=4&amp;sourceID=14","4")</f>
        <v>4</v>
      </c>
      <c r="G3334" s="4" t="str">
        <f>HYPERLINK("http://141.218.60.56/~jnz1568/getInfo.php?workbook=12_04.xlsx&amp;sheet=U0&amp;row=3334&amp;col=7&amp;number=0.000837&amp;sourceID=14","0.000837")</f>
        <v>0.000837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HYPERLINK("http://141.218.60.56/~jnz1568/getInfo.php?workbook=12_04.xlsx&amp;sheet=U0&amp;row=3335&amp;col=6&amp;number=4.1&amp;sourceID=14","4.1")</f>
        <v>4.1</v>
      </c>
      <c r="G3335" s="4" t="str">
        <f>HYPERLINK("http://141.218.60.56/~jnz1568/getInfo.php?workbook=12_04.xlsx&amp;sheet=U0&amp;row=3335&amp;col=7&amp;number=0.000827&amp;sourceID=14","0.000827")</f>
        <v>0.000827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HYPERLINK("http://141.218.60.56/~jnz1568/getInfo.php?workbook=12_04.xlsx&amp;sheet=U0&amp;row=3336&amp;col=6&amp;number=4.2&amp;sourceID=14","4.2")</f>
        <v>4.2</v>
      </c>
      <c r="G3336" s="4" t="str">
        <f>HYPERLINK("http://141.218.60.56/~jnz1568/getInfo.php?workbook=12_04.xlsx&amp;sheet=U0&amp;row=3336&amp;col=7&amp;number=0.000814&amp;sourceID=14","0.000814")</f>
        <v>0.000814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HYPERLINK("http://141.218.60.56/~jnz1568/getInfo.php?workbook=12_04.xlsx&amp;sheet=U0&amp;row=3337&amp;col=6&amp;number=4.3&amp;sourceID=14","4.3")</f>
        <v>4.3</v>
      </c>
      <c r="G3337" s="4" t="str">
        <f>HYPERLINK("http://141.218.60.56/~jnz1568/getInfo.php?workbook=12_04.xlsx&amp;sheet=U0&amp;row=3337&amp;col=7&amp;number=0.000798&amp;sourceID=14","0.000798")</f>
        <v>0.000798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HYPERLINK("http://141.218.60.56/~jnz1568/getInfo.php?workbook=12_04.xlsx&amp;sheet=U0&amp;row=3338&amp;col=6&amp;number=4.4&amp;sourceID=14","4.4")</f>
        <v>4.4</v>
      </c>
      <c r="G3338" s="4" t="str">
        <f>HYPERLINK("http://141.218.60.56/~jnz1568/getInfo.php?workbook=12_04.xlsx&amp;sheet=U0&amp;row=3338&amp;col=7&amp;number=0.000778&amp;sourceID=14","0.000778")</f>
        <v>0.000778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HYPERLINK("http://141.218.60.56/~jnz1568/getInfo.php?workbook=12_04.xlsx&amp;sheet=U0&amp;row=3339&amp;col=6&amp;number=4.5&amp;sourceID=14","4.5")</f>
        <v>4.5</v>
      </c>
      <c r="G3339" s="4" t="str">
        <f>HYPERLINK("http://141.218.60.56/~jnz1568/getInfo.php?workbook=12_04.xlsx&amp;sheet=U0&amp;row=3339&amp;col=7&amp;number=0.000754&amp;sourceID=14","0.000754")</f>
        <v>0.000754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HYPERLINK("http://141.218.60.56/~jnz1568/getInfo.php?workbook=12_04.xlsx&amp;sheet=U0&amp;row=3340&amp;col=6&amp;number=4.6&amp;sourceID=14","4.6")</f>
        <v>4.6</v>
      </c>
      <c r="G3340" s="4" t="str">
        <f>HYPERLINK("http://141.218.60.56/~jnz1568/getInfo.php?workbook=12_04.xlsx&amp;sheet=U0&amp;row=3340&amp;col=7&amp;number=0.000724&amp;sourceID=14","0.000724")</f>
        <v>0.000724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HYPERLINK("http://141.218.60.56/~jnz1568/getInfo.php?workbook=12_04.xlsx&amp;sheet=U0&amp;row=3341&amp;col=6&amp;number=4.7&amp;sourceID=14","4.7")</f>
        <v>4.7</v>
      </c>
      <c r="G3341" s="4" t="str">
        <f>HYPERLINK("http://141.218.60.56/~jnz1568/getInfo.php?workbook=12_04.xlsx&amp;sheet=U0&amp;row=3341&amp;col=7&amp;number=0.000687&amp;sourceID=14","0.000687")</f>
        <v>0.000687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HYPERLINK("http://141.218.60.56/~jnz1568/getInfo.php?workbook=12_04.xlsx&amp;sheet=U0&amp;row=3342&amp;col=6&amp;number=4.8&amp;sourceID=14","4.8")</f>
        <v>4.8</v>
      </c>
      <c r="G3342" s="4" t="str">
        <f>HYPERLINK("http://141.218.60.56/~jnz1568/getInfo.php?workbook=12_04.xlsx&amp;sheet=U0&amp;row=3342&amp;col=7&amp;number=0.000643&amp;sourceID=14","0.000643")</f>
        <v>0.000643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HYPERLINK("http://141.218.60.56/~jnz1568/getInfo.php?workbook=12_04.xlsx&amp;sheet=U0&amp;row=3343&amp;col=6&amp;number=4.9&amp;sourceID=14","4.9")</f>
        <v>4.9</v>
      </c>
      <c r="G3343" s="4" t="str">
        <f>HYPERLINK("http://141.218.60.56/~jnz1568/getInfo.php?workbook=12_04.xlsx&amp;sheet=U0&amp;row=3343&amp;col=7&amp;number=0.000591&amp;sourceID=14","0.000591")</f>
        <v>0.000591</v>
      </c>
    </row>
    <row r="3344" spans="1:7">
      <c r="A3344" s="3">
        <v>12</v>
      </c>
      <c r="B3344" s="3">
        <v>4</v>
      </c>
      <c r="C3344" s="3">
        <v>2</v>
      </c>
      <c r="D3344" s="3">
        <v>73</v>
      </c>
      <c r="E3344" s="3">
        <v>1</v>
      </c>
      <c r="F3344" s="4" t="str">
        <f>HYPERLINK("http://141.218.60.56/~jnz1568/getInfo.php?workbook=12_04.xlsx&amp;sheet=U0&amp;row=3344&amp;col=6&amp;number=3&amp;sourceID=14","3")</f>
        <v>3</v>
      </c>
      <c r="G3344" s="4" t="str">
        <f>HYPERLINK("http://141.218.60.56/~jnz1568/getInfo.php?workbook=12_04.xlsx&amp;sheet=U0&amp;row=3344&amp;col=7&amp;number=0.00444&amp;sourceID=14","0.00444")</f>
        <v>0.00444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HYPERLINK("http://141.218.60.56/~jnz1568/getInfo.php?workbook=12_04.xlsx&amp;sheet=U0&amp;row=3345&amp;col=6&amp;number=3.1&amp;sourceID=14","3.1")</f>
        <v>3.1</v>
      </c>
      <c r="G3345" s="4" t="str">
        <f>HYPERLINK("http://141.218.60.56/~jnz1568/getInfo.php?workbook=12_04.xlsx&amp;sheet=U0&amp;row=3345&amp;col=7&amp;number=0.00443&amp;sourceID=14","0.00443")</f>
        <v>0.00443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HYPERLINK("http://141.218.60.56/~jnz1568/getInfo.php?workbook=12_04.xlsx&amp;sheet=U0&amp;row=3346&amp;col=6&amp;number=3.2&amp;sourceID=14","3.2")</f>
        <v>3.2</v>
      </c>
      <c r="G3346" s="4" t="str">
        <f>HYPERLINK("http://141.218.60.56/~jnz1568/getInfo.php?workbook=12_04.xlsx&amp;sheet=U0&amp;row=3346&amp;col=7&amp;number=0.00443&amp;sourceID=14","0.00443")</f>
        <v>0.00443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HYPERLINK("http://141.218.60.56/~jnz1568/getInfo.php?workbook=12_04.xlsx&amp;sheet=U0&amp;row=3347&amp;col=6&amp;number=3.3&amp;sourceID=14","3.3")</f>
        <v>3.3</v>
      </c>
      <c r="G3347" s="4" t="str">
        <f>HYPERLINK("http://141.218.60.56/~jnz1568/getInfo.php?workbook=12_04.xlsx&amp;sheet=U0&amp;row=3347&amp;col=7&amp;number=0.00443&amp;sourceID=14","0.00443")</f>
        <v>0.00443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HYPERLINK("http://141.218.60.56/~jnz1568/getInfo.php?workbook=12_04.xlsx&amp;sheet=U0&amp;row=3348&amp;col=6&amp;number=3.4&amp;sourceID=14","3.4")</f>
        <v>3.4</v>
      </c>
      <c r="G3348" s="4" t="str">
        <f>HYPERLINK("http://141.218.60.56/~jnz1568/getInfo.php?workbook=12_04.xlsx&amp;sheet=U0&amp;row=3348&amp;col=7&amp;number=0.00443&amp;sourceID=14","0.00443")</f>
        <v>0.00443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HYPERLINK("http://141.218.60.56/~jnz1568/getInfo.php?workbook=12_04.xlsx&amp;sheet=U0&amp;row=3349&amp;col=6&amp;number=3.5&amp;sourceID=14","3.5")</f>
        <v>3.5</v>
      </c>
      <c r="G3349" s="4" t="str">
        <f>HYPERLINK("http://141.218.60.56/~jnz1568/getInfo.php?workbook=12_04.xlsx&amp;sheet=U0&amp;row=3349&amp;col=7&amp;number=0.00443&amp;sourceID=14","0.00443")</f>
        <v>0.00443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HYPERLINK("http://141.218.60.56/~jnz1568/getInfo.php?workbook=12_04.xlsx&amp;sheet=U0&amp;row=3350&amp;col=6&amp;number=3.6&amp;sourceID=14","3.6")</f>
        <v>3.6</v>
      </c>
      <c r="G3350" s="4" t="str">
        <f>HYPERLINK("http://141.218.60.56/~jnz1568/getInfo.php?workbook=12_04.xlsx&amp;sheet=U0&amp;row=3350&amp;col=7&amp;number=0.00442&amp;sourceID=14","0.00442")</f>
        <v>0.00442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HYPERLINK("http://141.218.60.56/~jnz1568/getInfo.php?workbook=12_04.xlsx&amp;sheet=U0&amp;row=3351&amp;col=6&amp;number=3.7&amp;sourceID=14","3.7")</f>
        <v>3.7</v>
      </c>
      <c r="G3351" s="4" t="str">
        <f>HYPERLINK("http://141.218.60.56/~jnz1568/getInfo.php?workbook=12_04.xlsx&amp;sheet=U0&amp;row=3351&amp;col=7&amp;number=0.00442&amp;sourceID=14","0.00442")</f>
        <v>0.00442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HYPERLINK("http://141.218.60.56/~jnz1568/getInfo.php?workbook=12_04.xlsx&amp;sheet=U0&amp;row=3352&amp;col=6&amp;number=3.8&amp;sourceID=14","3.8")</f>
        <v>3.8</v>
      </c>
      <c r="G3352" s="4" t="str">
        <f>HYPERLINK("http://141.218.60.56/~jnz1568/getInfo.php?workbook=12_04.xlsx&amp;sheet=U0&amp;row=3352&amp;col=7&amp;number=0.00441&amp;sourceID=14","0.00441")</f>
        <v>0.00441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HYPERLINK("http://141.218.60.56/~jnz1568/getInfo.php?workbook=12_04.xlsx&amp;sheet=U0&amp;row=3353&amp;col=6&amp;number=3.9&amp;sourceID=14","3.9")</f>
        <v>3.9</v>
      </c>
      <c r="G3353" s="4" t="str">
        <f>HYPERLINK("http://141.218.60.56/~jnz1568/getInfo.php?workbook=12_04.xlsx&amp;sheet=U0&amp;row=3353&amp;col=7&amp;number=0.00441&amp;sourceID=14","0.00441")</f>
        <v>0.00441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HYPERLINK("http://141.218.60.56/~jnz1568/getInfo.php?workbook=12_04.xlsx&amp;sheet=U0&amp;row=3354&amp;col=6&amp;number=4&amp;sourceID=14","4")</f>
        <v>4</v>
      </c>
      <c r="G3354" s="4" t="str">
        <f>HYPERLINK("http://141.218.60.56/~jnz1568/getInfo.php?workbook=12_04.xlsx&amp;sheet=U0&amp;row=3354&amp;col=7&amp;number=0.0044&amp;sourceID=14","0.0044")</f>
        <v>0.0044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HYPERLINK("http://141.218.60.56/~jnz1568/getInfo.php?workbook=12_04.xlsx&amp;sheet=U0&amp;row=3355&amp;col=6&amp;number=4.1&amp;sourceID=14","4.1")</f>
        <v>4.1</v>
      </c>
      <c r="G3355" s="4" t="str">
        <f>HYPERLINK("http://141.218.60.56/~jnz1568/getInfo.php?workbook=12_04.xlsx&amp;sheet=U0&amp;row=3355&amp;col=7&amp;number=0.00439&amp;sourceID=14","0.00439")</f>
        <v>0.00439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HYPERLINK("http://141.218.60.56/~jnz1568/getInfo.php?workbook=12_04.xlsx&amp;sheet=U0&amp;row=3356&amp;col=6&amp;number=4.2&amp;sourceID=14","4.2")</f>
        <v>4.2</v>
      </c>
      <c r="G3356" s="4" t="str">
        <f>HYPERLINK("http://141.218.60.56/~jnz1568/getInfo.php?workbook=12_04.xlsx&amp;sheet=U0&amp;row=3356&amp;col=7&amp;number=0.00437&amp;sourceID=14","0.00437")</f>
        <v>0.00437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HYPERLINK("http://141.218.60.56/~jnz1568/getInfo.php?workbook=12_04.xlsx&amp;sheet=U0&amp;row=3357&amp;col=6&amp;number=4.3&amp;sourceID=14","4.3")</f>
        <v>4.3</v>
      </c>
      <c r="G3357" s="4" t="str">
        <f>HYPERLINK("http://141.218.60.56/~jnz1568/getInfo.php?workbook=12_04.xlsx&amp;sheet=U0&amp;row=3357&amp;col=7&amp;number=0.00435&amp;sourceID=14","0.00435")</f>
        <v>0.00435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HYPERLINK("http://141.218.60.56/~jnz1568/getInfo.php?workbook=12_04.xlsx&amp;sheet=U0&amp;row=3358&amp;col=6&amp;number=4.4&amp;sourceID=14","4.4")</f>
        <v>4.4</v>
      </c>
      <c r="G3358" s="4" t="str">
        <f>HYPERLINK("http://141.218.60.56/~jnz1568/getInfo.php?workbook=12_04.xlsx&amp;sheet=U0&amp;row=3358&amp;col=7&amp;number=0.00433&amp;sourceID=14","0.00433")</f>
        <v>0.00433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HYPERLINK("http://141.218.60.56/~jnz1568/getInfo.php?workbook=12_04.xlsx&amp;sheet=U0&amp;row=3359&amp;col=6&amp;number=4.5&amp;sourceID=14","4.5")</f>
        <v>4.5</v>
      </c>
      <c r="G3359" s="4" t="str">
        <f>HYPERLINK("http://141.218.60.56/~jnz1568/getInfo.php?workbook=12_04.xlsx&amp;sheet=U0&amp;row=3359&amp;col=7&amp;number=0.00431&amp;sourceID=14","0.00431")</f>
        <v>0.00431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HYPERLINK("http://141.218.60.56/~jnz1568/getInfo.php?workbook=12_04.xlsx&amp;sheet=U0&amp;row=3360&amp;col=6&amp;number=4.6&amp;sourceID=14","4.6")</f>
        <v>4.6</v>
      </c>
      <c r="G3360" s="4" t="str">
        <f>HYPERLINK("http://141.218.60.56/~jnz1568/getInfo.php?workbook=12_04.xlsx&amp;sheet=U0&amp;row=3360&amp;col=7&amp;number=0.00427&amp;sourceID=14","0.00427")</f>
        <v>0.00427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HYPERLINK("http://141.218.60.56/~jnz1568/getInfo.php?workbook=12_04.xlsx&amp;sheet=U0&amp;row=3361&amp;col=6&amp;number=4.7&amp;sourceID=14","4.7")</f>
        <v>4.7</v>
      </c>
      <c r="G3361" s="4" t="str">
        <f>HYPERLINK("http://141.218.60.56/~jnz1568/getInfo.php?workbook=12_04.xlsx&amp;sheet=U0&amp;row=3361&amp;col=7&amp;number=0.00423&amp;sourceID=14","0.00423")</f>
        <v>0.00423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HYPERLINK("http://141.218.60.56/~jnz1568/getInfo.php?workbook=12_04.xlsx&amp;sheet=U0&amp;row=3362&amp;col=6&amp;number=4.8&amp;sourceID=14","4.8")</f>
        <v>4.8</v>
      </c>
      <c r="G3362" s="4" t="str">
        <f>HYPERLINK("http://141.218.60.56/~jnz1568/getInfo.php?workbook=12_04.xlsx&amp;sheet=U0&amp;row=3362&amp;col=7&amp;number=0.00419&amp;sourceID=14","0.00419")</f>
        <v>0.00419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HYPERLINK("http://141.218.60.56/~jnz1568/getInfo.php?workbook=12_04.xlsx&amp;sheet=U0&amp;row=3363&amp;col=6&amp;number=4.9&amp;sourceID=14","4.9")</f>
        <v>4.9</v>
      </c>
      <c r="G3363" s="4" t="str">
        <f>HYPERLINK("http://141.218.60.56/~jnz1568/getInfo.php?workbook=12_04.xlsx&amp;sheet=U0&amp;row=3363&amp;col=7&amp;number=0.00413&amp;sourceID=14","0.00413")</f>
        <v>0.00413</v>
      </c>
    </row>
    <row r="3364" spans="1:7">
      <c r="A3364" s="3">
        <v>12</v>
      </c>
      <c r="B3364" s="3">
        <v>4</v>
      </c>
      <c r="C3364" s="3">
        <v>2</v>
      </c>
      <c r="D3364" s="3">
        <v>74</v>
      </c>
      <c r="E3364" s="3">
        <v>1</v>
      </c>
      <c r="F3364" s="4" t="str">
        <f>HYPERLINK("http://141.218.60.56/~jnz1568/getInfo.php?workbook=12_04.xlsx&amp;sheet=U0&amp;row=3364&amp;col=6&amp;number=3&amp;sourceID=14","3")</f>
        <v>3</v>
      </c>
      <c r="G3364" s="4" t="str">
        <f>HYPERLINK("http://141.218.60.56/~jnz1568/getInfo.php?workbook=12_04.xlsx&amp;sheet=U0&amp;row=3364&amp;col=7&amp;number=0.00264&amp;sourceID=14","0.00264")</f>
        <v>0.00264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HYPERLINK("http://141.218.60.56/~jnz1568/getInfo.php?workbook=12_04.xlsx&amp;sheet=U0&amp;row=3365&amp;col=6&amp;number=3.1&amp;sourceID=14","3.1")</f>
        <v>3.1</v>
      </c>
      <c r="G3365" s="4" t="str">
        <f>HYPERLINK("http://141.218.60.56/~jnz1568/getInfo.php?workbook=12_04.xlsx&amp;sheet=U0&amp;row=3365&amp;col=7&amp;number=0.00264&amp;sourceID=14","0.00264")</f>
        <v>0.00264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HYPERLINK("http://141.218.60.56/~jnz1568/getInfo.php?workbook=12_04.xlsx&amp;sheet=U0&amp;row=3366&amp;col=6&amp;number=3.2&amp;sourceID=14","3.2")</f>
        <v>3.2</v>
      </c>
      <c r="G3366" s="4" t="str">
        <f>HYPERLINK("http://141.218.60.56/~jnz1568/getInfo.php?workbook=12_04.xlsx&amp;sheet=U0&amp;row=3366&amp;col=7&amp;number=0.00264&amp;sourceID=14","0.00264")</f>
        <v>0.00264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HYPERLINK("http://141.218.60.56/~jnz1568/getInfo.php?workbook=12_04.xlsx&amp;sheet=U0&amp;row=3367&amp;col=6&amp;number=3.3&amp;sourceID=14","3.3")</f>
        <v>3.3</v>
      </c>
      <c r="G3367" s="4" t="str">
        <f>HYPERLINK("http://141.218.60.56/~jnz1568/getInfo.php?workbook=12_04.xlsx&amp;sheet=U0&amp;row=3367&amp;col=7&amp;number=0.00264&amp;sourceID=14","0.00264")</f>
        <v>0.00264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HYPERLINK("http://141.218.60.56/~jnz1568/getInfo.php?workbook=12_04.xlsx&amp;sheet=U0&amp;row=3368&amp;col=6&amp;number=3.4&amp;sourceID=14","3.4")</f>
        <v>3.4</v>
      </c>
      <c r="G3368" s="4" t="str">
        <f>HYPERLINK("http://141.218.60.56/~jnz1568/getInfo.php?workbook=12_04.xlsx&amp;sheet=U0&amp;row=3368&amp;col=7&amp;number=0.00263&amp;sourceID=14","0.00263")</f>
        <v>0.00263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HYPERLINK("http://141.218.60.56/~jnz1568/getInfo.php?workbook=12_04.xlsx&amp;sheet=U0&amp;row=3369&amp;col=6&amp;number=3.5&amp;sourceID=14","3.5")</f>
        <v>3.5</v>
      </c>
      <c r="G3369" s="4" t="str">
        <f>HYPERLINK("http://141.218.60.56/~jnz1568/getInfo.php?workbook=12_04.xlsx&amp;sheet=U0&amp;row=3369&amp;col=7&amp;number=0.00263&amp;sourceID=14","0.00263")</f>
        <v>0.00263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HYPERLINK("http://141.218.60.56/~jnz1568/getInfo.php?workbook=12_04.xlsx&amp;sheet=U0&amp;row=3370&amp;col=6&amp;number=3.6&amp;sourceID=14","3.6")</f>
        <v>3.6</v>
      </c>
      <c r="G3370" s="4" t="str">
        <f>HYPERLINK("http://141.218.60.56/~jnz1568/getInfo.php?workbook=12_04.xlsx&amp;sheet=U0&amp;row=3370&amp;col=7&amp;number=0.00263&amp;sourceID=14","0.00263")</f>
        <v>0.00263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HYPERLINK("http://141.218.60.56/~jnz1568/getInfo.php?workbook=12_04.xlsx&amp;sheet=U0&amp;row=3371&amp;col=6&amp;number=3.7&amp;sourceID=14","3.7")</f>
        <v>3.7</v>
      </c>
      <c r="G3371" s="4" t="str">
        <f>HYPERLINK("http://141.218.60.56/~jnz1568/getInfo.php?workbook=12_04.xlsx&amp;sheet=U0&amp;row=3371&amp;col=7&amp;number=0.00262&amp;sourceID=14","0.00262")</f>
        <v>0.00262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HYPERLINK("http://141.218.60.56/~jnz1568/getInfo.php?workbook=12_04.xlsx&amp;sheet=U0&amp;row=3372&amp;col=6&amp;number=3.8&amp;sourceID=14","3.8")</f>
        <v>3.8</v>
      </c>
      <c r="G3372" s="4" t="str">
        <f>HYPERLINK("http://141.218.60.56/~jnz1568/getInfo.php?workbook=12_04.xlsx&amp;sheet=U0&amp;row=3372&amp;col=7&amp;number=0.00262&amp;sourceID=14","0.00262")</f>
        <v>0.00262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HYPERLINK("http://141.218.60.56/~jnz1568/getInfo.php?workbook=12_04.xlsx&amp;sheet=U0&amp;row=3373&amp;col=6&amp;number=3.9&amp;sourceID=14","3.9")</f>
        <v>3.9</v>
      </c>
      <c r="G3373" s="4" t="str">
        <f>HYPERLINK("http://141.218.60.56/~jnz1568/getInfo.php?workbook=12_04.xlsx&amp;sheet=U0&amp;row=3373&amp;col=7&amp;number=0.00261&amp;sourceID=14","0.00261")</f>
        <v>0.00261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HYPERLINK("http://141.218.60.56/~jnz1568/getInfo.php?workbook=12_04.xlsx&amp;sheet=U0&amp;row=3374&amp;col=6&amp;number=4&amp;sourceID=14","4")</f>
        <v>4</v>
      </c>
      <c r="G3374" s="4" t="str">
        <f>HYPERLINK("http://141.218.60.56/~jnz1568/getInfo.php?workbook=12_04.xlsx&amp;sheet=U0&amp;row=3374&amp;col=7&amp;number=0.0026&amp;sourceID=14","0.0026")</f>
        <v>0.0026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HYPERLINK("http://141.218.60.56/~jnz1568/getInfo.php?workbook=12_04.xlsx&amp;sheet=U0&amp;row=3375&amp;col=6&amp;number=4.1&amp;sourceID=14","4.1")</f>
        <v>4.1</v>
      </c>
      <c r="G3375" s="4" t="str">
        <f>HYPERLINK("http://141.218.60.56/~jnz1568/getInfo.php?workbook=12_04.xlsx&amp;sheet=U0&amp;row=3375&amp;col=7&amp;number=0.00259&amp;sourceID=14","0.00259")</f>
        <v>0.00259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HYPERLINK("http://141.218.60.56/~jnz1568/getInfo.php?workbook=12_04.xlsx&amp;sheet=U0&amp;row=3376&amp;col=6&amp;number=4.2&amp;sourceID=14","4.2")</f>
        <v>4.2</v>
      </c>
      <c r="G3376" s="4" t="str">
        <f>HYPERLINK("http://141.218.60.56/~jnz1568/getInfo.php?workbook=12_04.xlsx&amp;sheet=U0&amp;row=3376&amp;col=7&amp;number=0.00257&amp;sourceID=14","0.00257")</f>
        <v>0.00257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HYPERLINK("http://141.218.60.56/~jnz1568/getInfo.php?workbook=12_04.xlsx&amp;sheet=U0&amp;row=3377&amp;col=6&amp;number=4.3&amp;sourceID=14","4.3")</f>
        <v>4.3</v>
      </c>
      <c r="G3377" s="4" t="str">
        <f>HYPERLINK("http://141.218.60.56/~jnz1568/getInfo.php?workbook=12_04.xlsx&amp;sheet=U0&amp;row=3377&amp;col=7&amp;number=0.00255&amp;sourceID=14","0.00255")</f>
        <v>0.00255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HYPERLINK("http://141.218.60.56/~jnz1568/getInfo.php?workbook=12_04.xlsx&amp;sheet=U0&amp;row=3378&amp;col=6&amp;number=4.4&amp;sourceID=14","4.4")</f>
        <v>4.4</v>
      </c>
      <c r="G3378" s="4" t="str">
        <f>HYPERLINK("http://141.218.60.56/~jnz1568/getInfo.php?workbook=12_04.xlsx&amp;sheet=U0&amp;row=3378&amp;col=7&amp;number=0.00253&amp;sourceID=14","0.00253")</f>
        <v>0.00253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HYPERLINK("http://141.218.60.56/~jnz1568/getInfo.php?workbook=12_04.xlsx&amp;sheet=U0&amp;row=3379&amp;col=6&amp;number=4.5&amp;sourceID=14","4.5")</f>
        <v>4.5</v>
      </c>
      <c r="G3379" s="4" t="str">
        <f>HYPERLINK("http://141.218.60.56/~jnz1568/getInfo.php?workbook=12_04.xlsx&amp;sheet=U0&amp;row=3379&amp;col=7&amp;number=0.0025&amp;sourceID=14","0.0025")</f>
        <v>0.0025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HYPERLINK("http://141.218.60.56/~jnz1568/getInfo.php?workbook=12_04.xlsx&amp;sheet=U0&amp;row=3380&amp;col=6&amp;number=4.6&amp;sourceID=14","4.6")</f>
        <v>4.6</v>
      </c>
      <c r="G3380" s="4" t="str">
        <f>HYPERLINK("http://141.218.60.56/~jnz1568/getInfo.php?workbook=12_04.xlsx&amp;sheet=U0&amp;row=3380&amp;col=7&amp;number=0.00247&amp;sourceID=14","0.00247")</f>
        <v>0.00247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HYPERLINK("http://141.218.60.56/~jnz1568/getInfo.php?workbook=12_04.xlsx&amp;sheet=U0&amp;row=3381&amp;col=6&amp;number=4.7&amp;sourceID=14","4.7")</f>
        <v>4.7</v>
      </c>
      <c r="G3381" s="4" t="str">
        <f>HYPERLINK("http://141.218.60.56/~jnz1568/getInfo.php?workbook=12_04.xlsx&amp;sheet=U0&amp;row=3381&amp;col=7&amp;number=0.00242&amp;sourceID=14","0.00242")</f>
        <v>0.00242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HYPERLINK("http://141.218.60.56/~jnz1568/getInfo.php?workbook=12_04.xlsx&amp;sheet=U0&amp;row=3382&amp;col=6&amp;number=4.8&amp;sourceID=14","4.8")</f>
        <v>4.8</v>
      </c>
      <c r="G3382" s="4" t="str">
        <f>HYPERLINK("http://141.218.60.56/~jnz1568/getInfo.php?workbook=12_04.xlsx&amp;sheet=U0&amp;row=3382&amp;col=7&amp;number=0.00237&amp;sourceID=14","0.00237")</f>
        <v>0.00237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HYPERLINK("http://141.218.60.56/~jnz1568/getInfo.php?workbook=12_04.xlsx&amp;sheet=U0&amp;row=3383&amp;col=6&amp;number=4.9&amp;sourceID=14","4.9")</f>
        <v>4.9</v>
      </c>
      <c r="G3383" s="4" t="str">
        <f>HYPERLINK("http://141.218.60.56/~jnz1568/getInfo.php?workbook=12_04.xlsx&amp;sheet=U0&amp;row=3383&amp;col=7&amp;number=0.00231&amp;sourceID=14","0.00231")</f>
        <v>0.00231</v>
      </c>
    </row>
    <row r="3384" spans="1:7">
      <c r="A3384" s="3">
        <v>12</v>
      </c>
      <c r="B3384" s="3">
        <v>4</v>
      </c>
      <c r="C3384" s="3">
        <v>2</v>
      </c>
      <c r="D3384" s="3">
        <v>75</v>
      </c>
      <c r="E3384" s="3">
        <v>1</v>
      </c>
      <c r="F3384" s="4" t="str">
        <f>HYPERLINK("http://141.218.60.56/~jnz1568/getInfo.php?workbook=12_04.xlsx&amp;sheet=U0&amp;row=3384&amp;col=6&amp;number=3&amp;sourceID=14","3")</f>
        <v>3</v>
      </c>
      <c r="G3384" s="4" t="str">
        <f>HYPERLINK("http://141.218.60.56/~jnz1568/getInfo.php?workbook=12_04.xlsx&amp;sheet=U0&amp;row=3384&amp;col=7&amp;number=0.00261&amp;sourceID=14","0.00261")</f>
        <v>0.00261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HYPERLINK("http://141.218.60.56/~jnz1568/getInfo.php?workbook=12_04.xlsx&amp;sheet=U0&amp;row=3385&amp;col=6&amp;number=3.1&amp;sourceID=14","3.1")</f>
        <v>3.1</v>
      </c>
      <c r="G3385" s="4" t="str">
        <f>HYPERLINK("http://141.218.60.56/~jnz1568/getInfo.php?workbook=12_04.xlsx&amp;sheet=U0&amp;row=3385&amp;col=7&amp;number=0.00261&amp;sourceID=14","0.00261")</f>
        <v>0.00261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HYPERLINK("http://141.218.60.56/~jnz1568/getInfo.php?workbook=12_04.xlsx&amp;sheet=U0&amp;row=3386&amp;col=6&amp;number=3.2&amp;sourceID=14","3.2")</f>
        <v>3.2</v>
      </c>
      <c r="G3386" s="4" t="str">
        <f>HYPERLINK("http://141.218.60.56/~jnz1568/getInfo.php?workbook=12_04.xlsx&amp;sheet=U0&amp;row=3386&amp;col=7&amp;number=0.00261&amp;sourceID=14","0.00261")</f>
        <v>0.00261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HYPERLINK("http://141.218.60.56/~jnz1568/getInfo.php?workbook=12_04.xlsx&amp;sheet=U0&amp;row=3387&amp;col=6&amp;number=3.3&amp;sourceID=14","3.3")</f>
        <v>3.3</v>
      </c>
      <c r="G3387" s="4" t="str">
        <f>HYPERLINK("http://141.218.60.56/~jnz1568/getInfo.php?workbook=12_04.xlsx&amp;sheet=U0&amp;row=3387&amp;col=7&amp;number=0.00261&amp;sourceID=14","0.00261")</f>
        <v>0.00261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HYPERLINK("http://141.218.60.56/~jnz1568/getInfo.php?workbook=12_04.xlsx&amp;sheet=U0&amp;row=3388&amp;col=6&amp;number=3.4&amp;sourceID=14","3.4")</f>
        <v>3.4</v>
      </c>
      <c r="G3388" s="4" t="str">
        <f>HYPERLINK("http://141.218.60.56/~jnz1568/getInfo.php?workbook=12_04.xlsx&amp;sheet=U0&amp;row=3388&amp;col=7&amp;number=0.00261&amp;sourceID=14","0.00261")</f>
        <v>0.00261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HYPERLINK("http://141.218.60.56/~jnz1568/getInfo.php?workbook=12_04.xlsx&amp;sheet=U0&amp;row=3389&amp;col=6&amp;number=3.5&amp;sourceID=14","3.5")</f>
        <v>3.5</v>
      </c>
      <c r="G3389" s="4" t="str">
        <f>HYPERLINK("http://141.218.60.56/~jnz1568/getInfo.php?workbook=12_04.xlsx&amp;sheet=U0&amp;row=3389&amp;col=7&amp;number=0.0026&amp;sourceID=14","0.0026")</f>
        <v>0.0026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HYPERLINK("http://141.218.60.56/~jnz1568/getInfo.php?workbook=12_04.xlsx&amp;sheet=U0&amp;row=3390&amp;col=6&amp;number=3.6&amp;sourceID=14","3.6")</f>
        <v>3.6</v>
      </c>
      <c r="G3390" s="4" t="str">
        <f>HYPERLINK("http://141.218.60.56/~jnz1568/getInfo.php?workbook=12_04.xlsx&amp;sheet=U0&amp;row=3390&amp;col=7&amp;number=0.0026&amp;sourceID=14","0.0026")</f>
        <v>0.0026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HYPERLINK("http://141.218.60.56/~jnz1568/getInfo.php?workbook=12_04.xlsx&amp;sheet=U0&amp;row=3391&amp;col=6&amp;number=3.7&amp;sourceID=14","3.7")</f>
        <v>3.7</v>
      </c>
      <c r="G3391" s="4" t="str">
        <f>HYPERLINK("http://141.218.60.56/~jnz1568/getInfo.php?workbook=12_04.xlsx&amp;sheet=U0&amp;row=3391&amp;col=7&amp;number=0.0026&amp;sourceID=14","0.0026")</f>
        <v>0.0026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HYPERLINK("http://141.218.60.56/~jnz1568/getInfo.php?workbook=12_04.xlsx&amp;sheet=U0&amp;row=3392&amp;col=6&amp;number=3.8&amp;sourceID=14","3.8")</f>
        <v>3.8</v>
      </c>
      <c r="G3392" s="4" t="str">
        <f>HYPERLINK("http://141.218.60.56/~jnz1568/getInfo.php?workbook=12_04.xlsx&amp;sheet=U0&amp;row=3392&amp;col=7&amp;number=0.0026&amp;sourceID=14","0.0026")</f>
        <v>0.0026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HYPERLINK("http://141.218.60.56/~jnz1568/getInfo.php?workbook=12_04.xlsx&amp;sheet=U0&amp;row=3393&amp;col=6&amp;number=3.9&amp;sourceID=14","3.9")</f>
        <v>3.9</v>
      </c>
      <c r="G3393" s="4" t="str">
        <f>HYPERLINK("http://141.218.60.56/~jnz1568/getInfo.php?workbook=12_04.xlsx&amp;sheet=U0&amp;row=3393&amp;col=7&amp;number=0.00259&amp;sourceID=14","0.00259")</f>
        <v>0.00259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HYPERLINK("http://141.218.60.56/~jnz1568/getInfo.php?workbook=12_04.xlsx&amp;sheet=U0&amp;row=3394&amp;col=6&amp;number=4&amp;sourceID=14","4")</f>
        <v>4</v>
      </c>
      <c r="G3394" s="4" t="str">
        <f>HYPERLINK("http://141.218.60.56/~jnz1568/getInfo.php?workbook=12_04.xlsx&amp;sheet=U0&amp;row=3394&amp;col=7&amp;number=0.00259&amp;sourceID=14","0.00259")</f>
        <v>0.00259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HYPERLINK("http://141.218.60.56/~jnz1568/getInfo.php?workbook=12_04.xlsx&amp;sheet=U0&amp;row=3395&amp;col=6&amp;number=4.1&amp;sourceID=14","4.1")</f>
        <v>4.1</v>
      </c>
      <c r="G3395" s="4" t="str">
        <f>HYPERLINK("http://141.218.60.56/~jnz1568/getInfo.php?workbook=12_04.xlsx&amp;sheet=U0&amp;row=3395&amp;col=7&amp;number=0.00259&amp;sourceID=14","0.00259")</f>
        <v>0.00259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HYPERLINK("http://141.218.60.56/~jnz1568/getInfo.php?workbook=12_04.xlsx&amp;sheet=U0&amp;row=3396&amp;col=6&amp;number=4.2&amp;sourceID=14","4.2")</f>
        <v>4.2</v>
      </c>
      <c r="G3396" s="4" t="str">
        <f>HYPERLINK("http://141.218.60.56/~jnz1568/getInfo.php?workbook=12_04.xlsx&amp;sheet=U0&amp;row=3396&amp;col=7&amp;number=0.00258&amp;sourceID=14","0.00258")</f>
        <v>0.00258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HYPERLINK("http://141.218.60.56/~jnz1568/getInfo.php?workbook=12_04.xlsx&amp;sheet=U0&amp;row=3397&amp;col=6&amp;number=4.3&amp;sourceID=14","4.3")</f>
        <v>4.3</v>
      </c>
      <c r="G3397" s="4" t="str">
        <f>HYPERLINK("http://141.218.60.56/~jnz1568/getInfo.php?workbook=12_04.xlsx&amp;sheet=U0&amp;row=3397&amp;col=7&amp;number=0.00257&amp;sourceID=14","0.00257")</f>
        <v>0.00257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HYPERLINK("http://141.218.60.56/~jnz1568/getInfo.php?workbook=12_04.xlsx&amp;sheet=U0&amp;row=3398&amp;col=6&amp;number=4.4&amp;sourceID=14","4.4")</f>
        <v>4.4</v>
      </c>
      <c r="G3398" s="4" t="str">
        <f>HYPERLINK("http://141.218.60.56/~jnz1568/getInfo.php?workbook=12_04.xlsx&amp;sheet=U0&amp;row=3398&amp;col=7&amp;number=0.00256&amp;sourceID=14","0.00256")</f>
        <v>0.00256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HYPERLINK("http://141.218.60.56/~jnz1568/getInfo.php?workbook=12_04.xlsx&amp;sheet=U0&amp;row=3399&amp;col=6&amp;number=4.5&amp;sourceID=14","4.5")</f>
        <v>4.5</v>
      </c>
      <c r="G3399" s="4" t="str">
        <f>HYPERLINK("http://141.218.60.56/~jnz1568/getInfo.php?workbook=12_04.xlsx&amp;sheet=U0&amp;row=3399&amp;col=7&amp;number=0.00255&amp;sourceID=14","0.00255")</f>
        <v>0.00255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HYPERLINK("http://141.218.60.56/~jnz1568/getInfo.php?workbook=12_04.xlsx&amp;sheet=U0&amp;row=3400&amp;col=6&amp;number=4.6&amp;sourceID=14","4.6")</f>
        <v>4.6</v>
      </c>
      <c r="G3400" s="4" t="str">
        <f>HYPERLINK("http://141.218.60.56/~jnz1568/getInfo.php?workbook=12_04.xlsx&amp;sheet=U0&amp;row=3400&amp;col=7&amp;number=0.00253&amp;sourceID=14","0.00253")</f>
        <v>0.00253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HYPERLINK("http://141.218.60.56/~jnz1568/getInfo.php?workbook=12_04.xlsx&amp;sheet=U0&amp;row=3401&amp;col=6&amp;number=4.7&amp;sourceID=14","4.7")</f>
        <v>4.7</v>
      </c>
      <c r="G3401" s="4" t="str">
        <f>HYPERLINK("http://141.218.60.56/~jnz1568/getInfo.php?workbook=12_04.xlsx&amp;sheet=U0&amp;row=3401&amp;col=7&amp;number=0.00252&amp;sourceID=14","0.00252")</f>
        <v>0.00252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HYPERLINK("http://141.218.60.56/~jnz1568/getInfo.php?workbook=12_04.xlsx&amp;sheet=U0&amp;row=3402&amp;col=6&amp;number=4.8&amp;sourceID=14","4.8")</f>
        <v>4.8</v>
      </c>
      <c r="G3402" s="4" t="str">
        <f>HYPERLINK("http://141.218.60.56/~jnz1568/getInfo.php?workbook=12_04.xlsx&amp;sheet=U0&amp;row=3402&amp;col=7&amp;number=0.00249&amp;sourceID=14","0.00249")</f>
        <v>0.00249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HYPERLINK("http://141.218.60.56/~jnz1568/getInfo.php?workbook=12_04.xlsx&amp;sheet=U0&amp;row=3403&amp;col=6&amp;number=4.9&amp;sourceID=14","4.9")</f>
        <v>4.9</v>
      </c>
      <c r="G3403" s="4" t="str">
        <f>HYPERLINK("http://141.218.60.56/~jnz1568/getInfo.php?workbook=12_04.xlsx&amp;sheet=U0&amp;row=3403&amp;col=7&amp;number=0.00247&amp;sourceID=14","0.00247")</f>
        <v>0.00247</v>
      </c>
    </row>
    <row r="3404" spans="1:7">
      <c r="A3404" s="3">
        <v>12</v>
      </c>
      <c r="B3404" s="3">
        <v>4</v>
      </c>
      <c r="C3404" s="3">
        <v>2</v>
      </c>
      <c r="D3404" s="3">
        <v>76</v>
      </c>
      <c r="E3404" s="3">
        <v>1</v>
      </c>
      <c r="F3404" s="4" t="str">
        <f>HYPERLINK("http://141.218.60.56/~jnz1568/getInfo.php?workbook=12_04.xlsx&amp;sheet=U0&amp;row=3404&amp;col=6&amp;number=3&amp;sourceID=14","3")</f>
        <v>3</v>
      </c>
      <c r="G3404" s="4" t="str">
        <f>HYPERLINK("http://141.218.60.56/~jnz1568/getInfo.php?workbook=12_04.xlsx&amp;sheet=U0&amp;row=3404&amp;col=7&amp;number=0.00123&amp;sourceID=14","0.00123")</f>
        <v>0.00123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HYPERLINK("http://141.218.60.56/~jnz1568/getInfo.php?workbook=12_04.xlsx&amp;sheet=U0&amp;row=3405&amp;col=6&amp;number=3.1&amp;sourceID=14","3.1")</f>
        <v>3.1</v>
      </c>
      <c r="G3405" s="4" t="str">
        <f>HYPERLINK("http://141.218.60.56/~jnz1568/getInfo.php?workbook=12_04.xlsx&amp;sheet=U0&amp;row=3405&amp;col=7&amp;number=0.00123&amp;sourceID=14","0.00123")</f>
        <v>0.00123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HYPERLINK("http://141.218.60.56/~jnz1568/getInfo.php?workbook=12_04.xlsx&amp;sheet=U0&amp;row=3406&amp;col=6&amp;number=3.2&amp;sourceID=14","3.2")</f>
        <v>3.2</v>
      </c>
      <c r="G3406" s="4" t="str">
        <f>HYPERLINK("http://141.218.60.56/~jnz1568/getInfo.php?workbook=12_04.xlsx&amp;sheet=U0&amp;row=3406&amp;col=7&amp;number=0.00122&amp;sourceID=14","0.00122")</f>
        <v>0.00122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HYPERLINK("http://141.218.60.56/~jnz1568/getInfo.php?workbook=12_04.xlsx&amp;sheet=U0&amp;row=3407&amp;col=6&amp;number=3.3&amp;sourceID=14","3.3")</f>
        <v>3.3</v>
      </c>
      <c r="G3407" s="4" t="str">
        <f>HYPERLINK("http://141.218.60.56/~jnz1568/getInfo.php?workbook=12_04.xlsx&amp;sheet=U0&amp;row=3407&amp;col=7&amp;number=0.00122&amp;sourceID=14","0.00122")</f>
        <v>0.00122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HYPERLINK("http://141.218.60.56/~jnz1568/getInfo.php?workbook=12_04.xlsx&amp;sheet=U0&amp;row=3408&amp;col=6&amp;number=3.4&amp;sourceID=14","3.4")</f>
        <v>3.4</v>
      </c>
      <c r="G3408" s="4" t="str">
        <f>HYPERLINK("http://141.218.60.56/~jnz1568/getInfo.php?workbook=12_04.xlsx&amp;sheet=U0&amp;row=3408&amp;col=7&amp;number=0.00122&amp;sourceID=14","0.00122")</f>
        <v>0.00122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HYPERLINK("http://141.218.60.56/~jnz1568/getInfo.php?workbook=12_04.xlsx&amp;sheet=U0&amp;row=3409&amp;col=6&amp;number=3.5&amp;sourceID=14","3.5")</f>
        <v>3.5</v>
      </c>
      <c r="G3409" s="4" t="str">
        <f>HYPERLINK("http://141.218.60.56/~jnz1568/getInfo.php?workbook=12_04.xlsx&amp;sheet=U0&amp;row=3409&amp;col=7&amp;number=0.00121&amp;sourceID=14","0.00121")</f>
        <v>0.00121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HYPERLINK("http://141.218.60.56/~jnz1568/getInfo.php?workbook=12_04.xlsx&amp;sheet=U0&amp;row=3410&amp;col=6&amp;number=3.6&amp;sourceID=14","3.6")</f>
        <v>3.6</v>
      </c>
      <c r="G3410" s="4" t="str">
        <f>HYPERLINK("http://141.218.60.56/~jnz1568/getInfo.php?workbook=12_04.xlsx&amp;sheet=U0&amp;row=3410&amp;col=7&amp;number=0.00121&amp;sourceID=14","0.00121")</f>
        <v>0.00121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HYPERLINK("http://141.218.60.56/~jnz1568/getInfo.php?workbook=12_04.xlsx&amp;sheet=U0&amp;row=3411&amp;col=6&amp;number=3.7&amp;sourceID=14","3.7")</f>
        <v>3.7</v>
      </c>
      <c r="G3411" s="4" t="str">
        <f>HYPERLINK("http://141.218.60.56/~jnz1568/getInfo.php?workbook=12_04.xlsx&amp;sheet=U0&amp;row=3411&amp;col=7&amp;number=0.0012&amp;sourceID=14","0.0012")</f>
        <v>0.0012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HYPERLINK("http://141.218.60.56/~jnz1568/getInfo.php?workbook=12_04.xlsx&amp;sheet=U0&amp;row=3412&amp;col=6&amp;number=3.8&amp;sourceID=14","3.8")</f>
        <v>3.8</v>
      </c>
      <c r="G3412" s="4" t="str">
        <f>HYPERLINK("http://141.218.60.56/~jnz1568/getInfo.php?workbook=12_04.xlsx&amp;sheet=U0&amp;row=3412&amp;col=7&amp;number=0.0012&amp;sourceID=14","0.0012")</f>
        <v>0.0012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HYPERLINK("http://141.218.60.56/~jnz1568/getInfo.php?workbook=12_04.xlsx&amp;sheet=U0&amp;row=3413&amp;col=6&amp;number=3.9&amp;sourceID=14","3.9")</f>
        <v>3.9</v>
      </c>
      <c r="G3413" s="4" t="str">
        <f>HYPERLINK("http://141.218.60.56/~jnz1568/getInfo.php?workbook=12_04.xlsx&amp;sheet=U0&amp;row=3413&amp;col=7&amp;number=0.00119&amp;sourceID=14","0.00119")</f>
        <v>0.00119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HYPERLINK("http://141.218.60.56/~jnz1568/getInfo.php?workbook=12_04.xlsx&amp;sheet=U0&amp;row=3414&amp;col=6&amp;number=4&amp;sourceID=14","4")</f>
        <v>4</v>
      </c>
      <c r="G3414" s="4" t="str">
        <f>HYPERLINK("http://141.218.60.56/~jnz1568/getInfo.php?workbook=12_04.xlsx&amp;sheet=U0&amp;row=3414&amp;col=7&amp;number=0.00118&amp;sourceID=14","0.00118")</f>
        <v>0.00118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HYPERLINK("http://141.218.60.56/~jnz1568/getInfo.php?workbook=12_04.xlsx&amp;sheet=U0&amp;row=3415&amp;col=6&amp;number=4.1&amp;sourceID=14","4.1")</f>
        <v>4.1</v>
      </c>
      <c r="G3415" s="4" t="str">
        <f>HYPERLINK("http://141.218.60.56/~jnz1568/getInfo.php?workbook=12_04.xlsx&amp;sheet=U0&amp;row=3415&amp;col=7&amp;number=0.00116&amp;sourceID=14","0.00116")</f>
        <v>0.00116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HYPERLINK("http://141.218.60.56/~jnz1568/getInfo.php?workbook=12_04.xlsx&amp;sheet=U0&amp;row=3416&amp;col=6&amp;number=4.2&amp;sourceID=14","4.2")</f>
        <v>4.2</v>
      </c>
      <c r="G3416" s="4" t="str">
        <f>HYPERLINK("http://141.218.60.56/~jnz1568/getInfo.php?workbook=12_04.xlsx&amp;sheet=U0&amp;row=3416&amp;col=7&amp;number=0.00115&amp;sourceID=14","0.00115")</f>
        <v>0.00115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HYPERLINK("http://141.218.60.56/~jnz1568/getInfo.php?workbook=12_04.xlsx&amp;sheet=U0&amp;row=3417&amp;col=6&amp;number=4.3&amp;sourceID=14","4.3")</f>
        <v>4.3</v>
      </c>
      <c r="G3417" s="4" t="str">
        <f>HYPERLINK("http://141.218.60.56/~jnz1568/getInfo.php?workbook=12_04.xlsx&amp;sheet=U0&amp;row=3417&amp;col=7&amp;number=0.00112&amp;sourceID=14","0.00112")</f>
        <v>0.00112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HYPERLINK("http://141.218.60.56/~jnz1568/getInfo.php?workbook=12_04.xlsx&amp;sheet=U0&amp;row=3418&amp;col=6&amp;number=4.4&amp;sourceID=14","4.4")</f>
        <v>4.4</v>
      </c>
      <c r="G3418" s="4" t="str">
        <f>HYPERLINK("http://141.218.60.56/~jnz1568/getInfo.php?workbook=12_04.xlsx&amp;sheet=U0&amp;row=3418&amp;col=7&amp;number=0.0011&amp;sourceID=14","0.0011")</f>
        <v>0.0011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HYPERLINK("http://141.218.60.56/~jnz1568/getInfo.php?workbook=12_04.xlsx&amp;sheet=U0&amp;row=3419&amp;col=6&amp;number=4.5&amp;sourceID=14","4.5")</f>
        <v>4.5</v>
      </c>
      <c r="G3419" s="4" t="str">
        <f>HYPERLINK("http://141.218.60.56/~jnz1568/getInfo.php?workbook=12_04.xlsx&amp;sheet=U0&amp;row=3419&amp;col=7&amp;number=0.00106&amp;sourceID=14","0.00106")</f>
        <v>0.00106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HYPERLINK("http://141.218.60.56/~jnz1568/getInfo.php?workbook=12_04.xlsx&amp;sheet=U0&amp;row=3420&amp;col=6&amp;number=4.6&amp;sourceID=14","4.6")</f>
        <v>4.6</v>
      </c>
      <c r="G3420" s="4" t="str">
        <f>HYPERLINK("http://141.218.60.56/~jnz1568/getInfo.php?workbook=12_04.xlsx&amp;sheet=U0&amp;row=3420&amp;col=7&amp;number=0.00102&amp;sourceID=14","0.00102")</f>
        <v>0.00102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HYPERLINK("http://141.218.60.56/~jnz1568/getInfo.php?workbook=12_04.xlsx&amp;sheet=U0&amp;row=3421&amp;col=6&amp;number=4.7&amp;sourceID=14","4.7")</f>
        <v>4.7</v>
      </c>
      <c r="G3421" s="4" t="str">
        <f>HYPERLINK("http://141.218.60.56/~jnz1568/getInfo.php?workbook=12_04.xlsx&amp;sheet=U0&amp;row=3421&amp;col=7&amp;number=0.000973&amp;sourceID=14","0.000973")</f>
        <v>0.000973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HYPERLINK("http://141.218.60.56/~jnz1568/getInfo.php?workbook=12_04.xlsx&amp;sheet=U0&amp;row=3422&amp;col=6&amp;number=4.8&amp;sourceID=14","4.8")</f>
        <v>4.8</v>
      </c>
      <c r="G3422" s="4" t="str">
        <f>HYPERLINK("http://141.218.60.56/~jnz1568/getInfo.php?workbook=12_04.xlsx&amp;sheet=U0&amp;row=3422&amp;col=7&amp;number=0.000912&amp;sourceID=14","0.000912")</f>
        <v>0.000912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HYPERLINK("http://141.218.60.56/~jnz1568/getInfo.php?workbook=12_04.xlsx&amp;sheet=U0&amp;row=3423&amp;col=6&amp;number=4.9&amp;sourceID=14","4.9")</f>
        <v>4.9</v>
      </c>
      <c r="G3423" s="4" t="str">
        <f>HYPERLINK("http://141.218.60.56/~jnz1568/getInfo.php?workbook=12_04.xlsx&amp;sheet=U0&amp;row=3423&amp;col=7&amp;number=0.000842&amp;sourceID=14","0.000842")</f>
        <v>0.000842</v>
      </c>
    </row>
    <row r="3424" spans="1:7">
      <c r="A3424" s="3">
        <v>12</v>
      </c>
      <c r="B3424" s="3">
        <v>4</v>
      </c>
      <c r="C3424" s="3">
        <v>2</v>
      </c>
      <c r="D3424" s="3">
        <v>77</v>
      </c>
      <c r="E3424" s="3">
        <v>1</v>
      </c>
      <c r="F3424" s="4" t="str">
        <f>HYPERLINK("http://141.218.60.56/~jnz1568/getInfo.php?workbook=12_04.xlsx&amp;sheet=U0&amp;row=3424&amp;col=6&amp;number=3&amp;sourceID=14","3")</f>
        <v>3</v>
      </c>
      <c r="G3424" s="4" t="str">
        <f>HYPERLINK("http://141.218.60.56/~jnz1568/getInfo.php?workbook=12_04.xlsx&amp;sheet=U0&amp;row=3424&amp;col=7&amp;number=0.000188&amp;sourceID=14","0.000188")</f>
        <v>0.000188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HYPERLINK("http://141.218.60.56/~jnz1568/getInfo.php?workbook=12_04.xlsx&amp;sheet=U0&amp;row=3425&amp;col=6&amp;number=3.1&amp;sourceID=14","3.1")</f>
        <v>3.1</v>
      </c>
      <c r="G3425" s="4" t="str">
        <f>HYPERLINK("http://141.218.60.56/~jnz1568/getInfo.php?workbook=12_04.xlsx&amp;sheet=U0&amp;row=3425&amp;col=7&amp;number=0.000188&amp;sourceID=14","0.000188")</f>
        <v>0.000188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HYPERLINK("http://141.218.60.56/~jnz1568/getInfo.php?workbook=12_04.xlsx&amp;sheet=U0&amp;row=3426&amp;col=6&amp;number=3.2&amp;sourceID=14","3.2")</f>
        <v>3.2</v>
      </c>
      <c r="G3426" s="4" t="str">
        <f>HYPERLINK("http://141.218.60.56/~jnz1568/getInfo.php?workbook=12_04.xlsx&amp;sheet=U0&amp;row=3426&amp;col=7&amp;number=0.000187&amp;sourceID=14","0.000187")</f>
        <v>0.000187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HYPERLINK("http://141.218.60.56/~jnz1568/getInfo.php?workbook=12_04.xlsx&amp;sheet=U0&amp;row=3427&amp;col=6&amp;number=3.3&amp;sourceID=14","3.3")</f>
        <v>3.3</v>
      </c>
      <c r="G3427" s="4" t="str">
        <f>HYPERLINK("http://141.218.60.56/~jnz1568/getInfo.php?workbook=12_04.xlsx&amp;sheet=U0&amp;row=3427&amp;col=7&amp;number=0.000186&amp;sourceID=14","0.000186")</f>
        <v>0.000186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HYPERLINK("http://141.218.60.56/~jnz1568/getInfo.php?workbook=12_04.xlsx&amp;sheet=U0&amp;row=3428&amp;col=6&amp;number=3.4&amp;sourceID=14","3.4")</f>
        <v>3.4</v>
      </c>
      <c r="G3428" s="4" t="str">
        <f>HYPERLINK("http://141.218.60.56/~jnz1568/getInfo.php?workbook=12_04.xlsx&amp;sheet=U0&amp;row=3428&amp;col=7&amp;number=0.000185&amp;sourceID=14","0.000185")</f>
        <v>0.000185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HYPERLINK("http://141.218.60.56/~jnz1568/getInfo.php?workbook=12_04.xlsx&amp;sheet=U0&amp;row=3429&amp;col=6&amp;number=3.5&amp;sourceID=14","3.5")</f>
        <v>3.5</v>
      </c>
      <c r="G3429" s="4" t="str">
        <f>HYPERLINK("http://141.218.60.56/~jnz1568/getInfo.php?workbook=12_04.xlsx&amp;sheet=U0&amp;row=3429&amp;col=7&amp;number=0.000183&amp;sourceID=14","0.000183")</f>
        <v>0.000183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HYPERLINK("http://141.218.60.56/~jnz1568/getInfo.php?workbook=12_04.xlsx&amp;sheet=U0&amp;row=3430&amp;col=6&amp;number=3.6&amp;sourceID=14","3.6")</f>
        <v>3.6</v>
      </c>
      <c r="G3430" s="4" t="str">
        <f>HYPERLINK("http://141.218.60.56/~jnz1568/getInfo.php?workbook=12_04.xlsx&amp;sheet=U0&amp;row=3430&amp;col=7&amp;number=0.000182&amp;sourceID=14","0.000182")</f>
        <v>0.000182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HYPERLINK("http://141.218.60.56/~jnz1568/getInfo.php?workbook=12_04.xlsx&amp;sheet=U0&amp;row=3431&amp;col=6&amp;number=3.7&amp;sourceID=14","3.7")</f>
        <v>3.7</v>
      </c>
      <c r="G3431" s="4" t="str">
        <f>HYPERLINK("http://141.218.60.56/~jnz1568/getInfo.php?workbook=12_04.xlsx&amp;sheet=U0&amp;row=3431&amp;col=7&amp;number=0.000179&amp;sourceID=14","0.000179")</f>
        <v>0.000179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HYPERLINK("http://141.218.60.56/~jnz1568/getInfo.php?workbook=12_04.xlsx&amp;sheet=U0&amp;row=3432&amp;col=6&amp;number=3.8&amp;sourceID=14","3.8")</f>
        <v>3.8</v>
      </c>
      <c r="G3432" s="4" t="str">
        <f>HYPERLINK("http://141.218.60.56/~jnz1568/getInfo.php?workbook=12_04.xlsx&amp;sheet=U0&amp;row=3432&amp;col=7&amp;number=0.000177&amp;sourceID=14","0.000177")</f>
        <v>0.000177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HYPERLINK("http://141.218.60.56/~jnz1568/getInfo.php?workbook=12_04.xlsx&amp;sheet=U0&amp;row=3433&amp;col=6&amp;number=3.9&amp;sourceID=14","3.9")</f>
        <v>3.9</v>
      </c>
      <c r="G3433" s="4" t="str">
        <f>HYPERLINK("http://141.218.60.56/~jnz1568/getInfo.php?workbook=12_04.xlsx&amp;sheet=U0&amp;row=3433&amp;col=7&amp;number=0.000173&amp;sourceID=14","0.000173")</f>
        <v>0.000173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HYPERLINK("http://141.218.60.56/~jnz1568/getInfo.php?workbook=12_04.xlsx&amp;sheet=U0&amp;row=3434&amp;col=6&amp;number=4&amp;sourceID=14","4")</f>
        <v>4</v>
      </c>
      <c r="G3434" s="4" t="str">
        <f>HYPERLINK("http://141.218.60.56/~jnz1568/getInfo.php?workbook=12_04.xlsx&amp;sheet=U0&amp;row=3434&amp;col=7&amp;number=0.000169&amp;sourceID=14","0.000169")</f>
        <v>0.000169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HYPERLINK("http://141.218.60.56/~jnz1568/getInfo.php?workbook=12_04.xlsx&amp;sheet=U0&amp;row=3435&amp;col=6&amp;number=4.1&amp;sourceID=14","4.1")</f>
        <v>4.1</v>
      </c>
      <c r="G3435" s="4" t="str">
        <f>HYPERLINK("http://141.218.60.56/~jnz1568/getInfo.php?workbook=12_04.xlsx&amp;sheet=U0&amp;row=3435&amp;col=7&amp;number=0.000163&amp;sourceID=14","0.000163")</f>
        <v>0.000163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HYPERLINK("http://141.218.60.56/~jnz1568/getInfo.php?workbook=12_04.xlsx&amp;sheet=U0&amp;row=3436&amp;col=6&amp;number=4.2&amp;sourceID=14","4.2")</f>
        <v>4.2</v>
      </c>
      <c r="G3436" s="4" t="str">
        <f>HYPERLINK("http://141.218.60.56/~jnz1568/getInfo.php?workbook=12_04.xlsx&amp;sheet=U0&amp;row=3436&amp;col=7&amp;number=0.000157&amp;sourceID=14","0.000157")</f>
        <v>0.000157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HYPERLINK("http://141.218.60.56/~jnz1568/getInfo.php?workbook=12_04.xlsx&amp;sheet=U0&amp;row=3437&amp;col=6&amp;number=4.3&amp;sourceID=14","4.3")</f>
        <v>4.3</v>
      </c>
      <c r="G3437" s="4" t="str">
        <f>HYPERLINK("http://141.218.60.56/~jnz1568/getInfo.php?workbook=12_04.xlsx&amp;sheet=U0&amp;row=3437&amp;col=7&amp;number=0.000148&amp;sourceID=14","0.000148")</f>
        <v>0.000148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HYPERLINK("http://141.218.60.56/~jnz1568/getInfo.php?workbook=12_04.xlsx&amp;sheet=U0&amp;row=3438&amp;col=6&amp;number=4.4&amp;sourceID=14","4.4")</f>
        <v>4.4</v>
      </c>
      <c r="G3438" s="4" t="str">
        <f>HYPERLINK("http://141.218.60.56/~jnz1568/getInfo.php?workbook=12_04.xlsx&amp;sheet=U0&amp;row=3438&amp;col=7&amp;number=0.000138&amp;sourceID=14","0.000138")</f>
        <v>0.000138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HYPERLINK("http://141.218.60.56/~jnz1568/getInfo.php?workbook=12_04.xlsx&amp;sheet=U0&amp;row=3439&amp;col=6&amp;number=4.5&amp;sourceID=14","4.5")</f>
        <v>4.5</v>
      </c>
      <c r="G3439" s="4" t="str">
        <f>HYPERLINK("http://141.218.60.56/~jnz1568/getInfo.php?workbook=12_04.xlsx&amp;sheet=U0&amp;row=3439&amp;col=7&amp;number=0.000126&amp;sourceID=14","0.000126")</f>
        <v>0.000126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HYPERLINK("http://141.218.60.56/~jnz1568/getInfo.php?workbook=12_04.xlsx&amp;sheet=U0&amp;row=3440&amp;col=6&amp;number=4.6&amp;sourceID=14","4.6")</f>
        <v>4.6</v>
      </c>
      <c r="G3440" s="4" t="str">
        <f>HYPERLINK("http://141.218.60.56/~jnz1568/getInfo.php?workbook=12_04.xlsx&amp;sheet=U0&amp;row=3440&amp;col=7&amp;number=0.000112&amp;sourceID=14","0.000112")</f>
        <v>0.000112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HYPERLINK("http://141.218.60.56/~jnz1568/getInfo.php?workbook=12_04.xlsx&amp;sheet=U0&amp;row=3441&amp;col=6&amp;number=4.7&amp;sourceID=14","4.7")</f>
        <v>4.7</v>
      </c>
      <c r="G3441" s="4" t="str">
        <f>HYPERLINK("http://141.218.60.56/~jnz1568/getInfo.php?workbook=12_04.xlsx&amp;sheet=U0&amp;row=3441&amp;col=7&amp;number=9.49e-05&amp;sourceID=14","9.49e-05")</f>
        <v>9.49e-05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HYPERLINK("http://141.218.60.56/~jnz1568/getInfo.php?workbook=12_04.xlsx&amp;sheet=U0&amp;row=3442&amp;col=6&amp;number=4.8&amp;sourceID=14","4.8")</f>
        <v>4.8</v>
      </c>
      <c r="G3442" s="4" t="str">
        <f>HYPERLINK("http://141.218.60.56/~jnz1568/getInfo.php?workbook=12_04.xlsx&amp;sheet=U0&amp;row=3442&amp;col=7&amp;number=7.66e-05&amp;sourceID=14","7.66e-05")</f>
        <v>7.66e-05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HYPERLINK("http://141.218.60.56/~jnz1568/getInfo.php?workbook=12_04.xlsx&amp;sheet=U0&amp;row=3443&amp;col=6&amp;number=4.9&amp;sourceID=14","4.9")</f>
        <v>4.9</v>
      </c>
      <c r="G3443" s="4" t="str">
        <f>HYPERLINK("http://141.218.60.56/~jnz1568/getInfo.php?workbook=12_04.xlsx&amp;sheet=U0&amp;row=3443&amp;col=7&amp;number=5.83e-05&amp;sourceID=14","5.83e-05")</f>
        <v>5.83e-05</v>
      </c>
    </row>
    <row r="3444" spans="1:7">
      <c r="A3444" s="3">
        <v>12</v>
      </c>
      <c r="B3444" s="3">
        <v>4</v>
      </c>
      <c r="C3444" s="3">
        <v>2</v>
      </c>
      <c r="D3444" s="3">
        <v>78</v>
      </c>
      <c r="E3444" s="3">
        <v>1</v>
      </c>
      <c r="F3444" s="4" t="str">
        <f>HYPERLINK("http://141.218.60.56/~jnz1568/getInfo.php?workbook=12_04.xlsx&amp;sheet=U0&amp;row=3444&amp;col=6&amp;number=3&amp;sourceID=14","3")</f>
        <v>3</v>
      </c>
      <c r="G3444" s="4" t="str">
        <f>HYPERLINK("http://141.218.60.56/~jnz1568/getInfo.php?workbook=12_04.xlsx&amp;sheet=U0&amp;row=3444&amp;col=7&amp;number=0.0012&amp;sourceID=14","0.0012")</f>
        <v>0.0012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HYPERLINK("http://141.218.60.56/~jnz1568/getInfo.php?workbook=12_04.xlsx&amp;sheet=U0&amp;row=3445&amp;col=6&amp;number=3.1&amp;sourceID=14","3.1")</f>
        <v>3.1</v>
      </c>
      <c r="G3445" s="4" t="str">
        <f>HYPERLINK("http://141.218.60.56/~jnz1568/getInfo.php?workbook=12_04.xlsx&amp;sheet=U0&amp;row=3445&amp;col=7&amp;number=0.0012&amp;sourceID=14","0.0012")</f>
        <v>0.0012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HYPERLINK("http://141.218.60.56/~jnz1568/getInfo.php?workbook=12_04.xlsx&amp;sheet=U0&amp;row=3446&amp;col=6&amp;number=3.2&amp;sourceID=14","3.2")</f>
        <v>3.2</v>
      </c>
      <c r="G3446" s="4" t="str">
        <f>HYPERLINK("http://141.218.60.56/~jnz1568/getInfo.php?workbook=12_04.xlsx&amp;sheet=U0&amp;row=3446&amp;col=7&amp;number=0.0012&amp;sourceID=14","0.0012")</f>
        <v>0.0012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HYPERLINK("http://141.218.60.56/~jnz1568/getInfo.php?workbook=12_04.xlsx&amp;sheet=U0&amp;row=3447&amp;col=6&amp;number=3.3&amp;sourceID=14","3.3")</f>
        <v>3.3</v>
      </c>
      <c r="G3447" s="4" t="str">
        <f>HYPERLINK("http://141.218.60.56/~jnz1568/getInfo.php?workbook=12_04.xlsx&amp;sheet=U0&amp;row=3447&amp;col=7&amp;number=0.0012&amp;sourceID=14","0.0012")</f>
        <v>0.0012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HYPERLINK("http://141.218.60.56/~jnz1568/getInfo.php?workbook=12_04.xlsx&amp;sheet=U0&amp;row=3448&amp;col=6&amp;number=3.4&amp;sourceID=14","3.4")</f>
        <v>3.4</v>
      </c>
      <c r="G3448" s="4" t="str">
        <f>HYPERLINK("http://141.218.60.56/~jnz1568/getInfo.php?workbook=12_04.xlsx&amp;sheet=U0&amp;row=3448&amp;col=7&amp;number=0.0012&amp;sourceID=14","0.0012")</f>
        <v>0.0012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HYPERLINK("http://141.218.60.56/~jnz1568/getInfo.php?workbook=12_04.xlsx&amp;sheet=U0&amp;row=3449&amp;col=6&amp;number=3.5&amp;sourceID=14","3.5")</f>
        <v>3.5</v>
      </c>
      <c r="G3449" s="4" t="str">
        <f>HYPERLINK("http://141.218.60.56/~jnz1568/getInfo.php?workbook=12_04.xlsx&amp;sheet=U0&amp;row=3449&amp;col=7&amp;number=0.0012&amp;sourceID=14","0.0012")</f>
        <v>0.0012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HYPERLINK("http://141.218.60.56/~jnz1568/getInfo.php?workbook=12_04.xlsx&amp;sheet=U0&amp;row=3450&amp;col=6&amp;number=3.6&amp;sourceID=14","3.6")</f>
        <v>3.6</v>
      </c>
      <c r="G3450" s="4" t="str">
        <f>HYPERLINK("http://141.218.60.56/~jnz1568/getInfo.php?workbook=12_04.xlsx&amp;sheet=U0&amp;row=3450&amp;col=7&amp;number=0.0012&amp;sourceID=14","0.0012")</f>
        <v>0.0012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HYPERLINK("http://141.218.60.56/~jnz1568/getInfo.php?workbook=12_04.xlsx&amp;sheet=U0&amp;row=3451&amp;col=6&amp;number=3.7&amp;sourceID=14","3.7")</f>
        <v>3.7</v>
      </c>
      <c r="G3451" s="4" t="str">
        <f>HYPERLINK("http://141.218.60.56/~jnz1568/getInfo.php?workbook=12_04.xlsx&amp;sheet=U0&amp;row=3451&amp;col=7&amp;number=0.0012&amp;sourceID=14","0.0012")</f>
        <v>0.0012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HYPERLINK("http://141.218.60.56/~jnz1568/getInfo.php?workbook=12_04.xlsx&amp;sheet=U0&amp;row=3452&amp;col=6&amp;number=3.8&amp;sourceID=14","3.8")</f>
        <v>3.8</v>
      </c>
      <c r="G3452" s="4" t="str">
        <f>HYPERLINK("http://141.218.60.56/~jnz1568/getInfo.php?workbook=12_04.xlsx&amp;sheet=U0&amp;row=3452&amp;col=7&amp;number=0.0012&amp;sourceID=14","0.0012")</f>
        <v>0.0012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HYPERLINK("http://141.218.60.56/~jnz1568/getInfo.php?workbook=12_04.xlsx&amp;sheet=U0&amp;row=3453&amp;col=6&amp;number=3.9&amp;sourceID=14","3.9")</f>
        <v>3.9</v>
      </c>
      <c r="G3453" s="4" t="str">
        <f>HYPERLINK("http://141.218.60.56/~jnz1568/getInfo.php?workbook=12_04.xlsx&amp;sheet=U0&amp;row=3453&amp;col=7&amp;number=0.0012&amp;sourceID=14","0.0012")</f>
        <v>0.0012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HYPERLINK("http://141.218.60.56/~jnz1568/getInfo.php?workbook=12_04.xlsx&amp;sheet=U0&amp;row=3454&amp;col=6&amp;number=4&amp;sourceID=14","4")</f>
        <v>4</v>
      </c>
      <c r="G3454" s="4" t="str">
        <f>HYPERLINK("http://141.218.60.56/~jnz1568/getInfo.php?workbook=12_04.xlsx&amp;sheet=U0&amp;row=3454&amp;col=7&amp;number=0.0012&amp;sourceID=14","0.0012")</f>
        <v>0.0012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HYPERLINK("http://141.218.60.56/~jnz1568/getInfo.php?workbook=12_04.xlsx&amp;sheet=U0&amp;row=3455&amp;col=6&amp;number=4.1&amp;sourceID=14","4.1")</f>
        <v>4.1</v>
      </c>
      <c r="G3455" s="4" t="str">
        <f>HYPERLINK("http://141.218.60.56/~jnz1568/getInfo.php?workbook=12_04.xlsx&amp;sheet=U0&amp;row=3455&amp;col=7&amp;number=0.0012&amp;sourceID=14","0.0012")</f>
        <v>0.0012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HYPERLINK("http://141.218.60.56/~jnz1568/getInfo.php?workbook=12_04.xlsx&amp;sheet=U0&amp;row=3456&amp;col=6&amp;number=4.2&amp;sourceID=14","4.2")</f>
        <v>4.2</v>
      </c>
      <c r="G3456" s="4" t="str">
        <f>HYPERLINK("http://141.218.60.56/~jnz1568/getInfo.php?workbook=12_04.xlsx&amp;sheet=U0&amp;row=3456&amp;col=7&amp;number=0.00119&amp;sourceID=14","0.00119")</f>
        <v>0.00119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HYPERLINK("http://141.218.60.56/~jnz1568/getInfo.php?workbook=12_04.xlsx&amp;sheet=U0&amp;row=3457&amp;col=6&amp;number=4.3&amp;sourceID=14","4.3")</f>
        <v>4.3</v>
      </c>
      <c r="G3457" s="4" t="str">
        <f>HYPERLINK("http://141.218.60.56/~jnz1568/getInfo.php?workbook=12_04.xlsx&amp;sheet=U0&amp;row=3457&amp;col=7&amp;number=0.00119&amp;sourceID=14","0.00119")</f>
        <v>0.00119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HYPERLINK("http://141.218.60.56/~jnz1568/getInfo.php?workbook=12_04.xlsx&amp;sheet=U0&amp;row=3458&amp;col=6&amp;number=4.4&amp;sourceID=14","4.4")</f>
        <v>4.4</v>
      </c>
      <c r="G3458" s="4" t="str">
        <f>HYPERLINK("http://141.218.60.56/~jnz1568/getInfo.php?workbook=12_04.xlsx&amp;sheet=U0&amp;row=3458&amp;col=7&amp;number=0.00119&amp;sourceID=14","0.00119")</f>
        <v>0.00119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HYPERLINK("http://141.218.60.56/~jnz1568/getInfo.php?workbook=12_04.xlsx&amp;sheet=U0&amp;row=3459&amp;col=6&amp;number=4.5&amp;sourceID=14","4.5")</f>
        <v>4.5</v>
      </c>
      <c r="G3459" s="4" t="str">
        <f>HYPERLINK("http://141.218.60.56/~jnz1568/getInfo.php?workbook=12_04.xlsx&amp;sheet=U0&amp;row=3459&amp;col=7&amp;number=0.00118&amp;sourceID=14","0.00118")</f>
        <v>0.00118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HYPERLINK("http://141.218.60.56/~jnz1568/getInfo.php?workbook=12_04.xlsx&amp;sheet=U0&amp;row=3460&amp;col=6&amp;number=4.6&amp;sourceID=14","4.6")</f>
        <v>4.6</v>
      </c>
      <c r="G3460" s="4" t="str">
        <f>HYPERLINK("http://141.218.60.56/~jnz1568/getInfo.php?workbook=12_04.xlsx&amp;sheet=U0&amp;row=3460&amp;col=7&amp;number=0.00118&amp;sourceID=14","0.00118")</f>
        <v>0.00118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HYPERLINK("http://141.218.60.56/~jnz1568/getInfo.php?workbook=12_04.xlsx&amp;sheet=U0&amp;row=3461&amp;col=6&amp;number=4.7&amp;sourceID=14","4.7")</f>
        <v>4.7</v>
      </c>
      <c r="G3461" s="4" t="str">
        <f>HYPERLINK("http://141.218.60.56/~jnz1568/getInfo.php?workbook=12_04.xlsx&amp;sheet=U0&amp;row=3461&amp;col=7&amp;number=0.00117&amp;sourceID=14","0.00117")</f>
        <v>0.00117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HYPERLINK("http://141.218.60.56/~jnz1568/getInfo.php?workbook=12_04.xlsx&amp;sheet=U0&amp;row=3462&amp;col=6&amp;number=4.8&amp;sourceID=14","4.8")</f>
        <v>4.8</v>
      </c>
      <c r="G3462" s="4" t="str">
        <f>HYPERLINK("http://141.218.60.56/~jnz1568/getInfo.php?workbook=12_04.xlsx&amp;sheet=U0&amp;row=3462&amp;col=7&amp;number=0.00116&amp;sourceID=14","0.00116")</f>
        <v>0.00116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HYPERLINK("http://141.218.60.56/~jnz1568/getInfo.php?workbook=12_04.xlsx&amp;sheet=U0&amp;row=3463&amp;col=6&amp;number=4.9&amp;sourceID=14","4.9")</f>
        <v>4.9</v>
      </c>
      <c r="G3463" s="4" t="str">
        <f>HYPERLINK("http://141.218.60.56/~jnz1568/getInfo.php?workbook=12_04.xlsx&amp;sheet=U0&amp;row=3463&amp;col=7&amp;number=0.00115&amp;sourceID=14","0.00115")</f>
        <v>0.00115</v>
      </c>
    </row>
    <row r="3464" spans="1:7">
      <c r="A3464" s="3">
        <v>12</v>
      </c>
      <c r="B3464" s="3">
        <v>4</v>
      </c>
      <c r="C3464" s="3">
        <v>2</v>
      </c>
      <c r="D3464" s="3">
        <v>79</v>
      </c>
      <c r="E3464" s="3">
        <v>1</v>
      </c>
      <c r="F3464" s="4" t="str">
        <f>HYPERLINK("http://141.218.60.56/~jnz1568/getInfo.php?workbook=12_04.xlsx&amp;sheet=U0&amp;row=3464&amp;col=6&amp;number=3&amp;sourceID=14","3")</f>
        <v>3</v>
      </c>
      <c r="G3464" s="4" t="str">
        <f>HYPERLINK("http://141.218.60.56/~jnz1568/getInfo.php?workbook=12_04.xlsx&amp;sheet=U0&amp;row=3464&amp;col=7&amp;number=0.00253&amp;sourceID=14","0.00253")</f>
        <v>0.00253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HYPERLINK("http://141.218.60.56/~jnz1568/getInfo.php?workbook=12_04.xlsx&amp;sheet=U0&amp;row=3465&amp;col=6&amp;number=3.1&amp;sourceID=14","3.1")</f>
        <v>3.1</v>
      </c>
      <c r="G3465" s="4" t="str">
        <f>HYPERLINK("http://141.218.60.56/~jnz1568/getInfo.php?workbook=12_04.xlsx&amp;sheet=U0&amp;row=3465&amp;col=7&amp;number=0.00253&amp;sourceID=14","0.00253")</f>
        <v>0.00253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HYPERLINK("http://141.218.60.56/~jnz1568/getInfo.php?workbook=12_04.xlsx&amp;sheet=U0&amp;row=3466&amp;col=6&amp;number=3.2&amp;sourceID=14","3.2")</f>
        <v>3.2</v>
      </c>
      <c r="G3466" s="4" t="str">
        <f>HYPERLINK("http://141.218.60.56/~jnz1568/getInfo.php?workbook=12_04.xlsx&amp;sheet=U0&amp;row=3466&amp;col=7&amp;number=0.00253&amp;sourceID=14","0.00253")</f>
        <v>0.00253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HYPERLINK("http://141.218.60.56/~jnz1568/getInfo.php?workbook=12_04.xlsx&amp;sheet=U0&amp;row=3467&amp;col=6&amp;number=3.3&amp;sourceID=14","3.3")</f>
        <v>3.3</v>
      </c>
      <c r="G3467" s="4" t="str">
        <f>HYPERLINK("http://141.218.60.56/~jnz1568/getInfo.php?workbook=12_04.xlsx&amp;sheet=U0&amp;row=3467&amp;col=7&amp;number=0.00253&amp;sourceID=14","0.00253")</f>
        <v>0.00253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HYPERLINK("http://141.218.60.56/~jnz1568/getInfo.php?workbook=12_04.xlsx&amp;sheet=U0&amp;row=3468&amp;col=6&amp;number=3.4&amp;sourceID=14","3.4")</f>
        <v>3.4</v>
      </c>
      <c r="G3468" s="4" t="str">
        <f>HYPERLINK("http://141.218.60.56/~jnz1568/getInfo.php?workbook=12_04.xlsx&amp;sheet=U0&amp;row=3468&amp;col=7&amp;number=0.00253&amp;sourceID=14","0.00253")</f>
        <v>0.00253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HYPERLINK("http://141.218.60.56/~jnz1568/getInfo.php?workbook=12_04.xlsx&amp;sheet=U0&amp;row=3469&amp;col=6&amp;number=3.5&amp;sourceID=14","3.5")</f>
        <v>3.5</v>
      </c>
      <c r="G3469" s="4" t="str">
        <f>HYPERLINK("http://141.218.60.56/~jnz1568/getInfo.php?workbook=12_04.xlsx&amp;sheet=U0&amp;row=3469&amp;col=7&amp;number=0.00253&amp;sourceID=14","0.00253")</f>
        <v>0.00253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HYPERLINK("http://141.218.60.56/~jnz1568/getInfo.php?workbook=12_04.xlsx&amp;sheet=U0&amp;row=3470&amp;col=6&amp;number=3.6&amp;sourceID=14","3.6")</f>
        <v>3.6</v>
      </c>
      <c r="G3470" s="4" t="str">
        <f>HYPERLINK("http://141.218.60.56/~jnz1568/getInfo.php?workbook=12_04.xlsx&amp;sheet=U0&amp;row=3470&amp;col=7&amp;number=0.00253&amp;sourceID=14","0.00253")</f>
        <v>0.00253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HYPERLINK("http://141.218.60.56/~jnz1568/getInfo.php?workbook=12_04.xlsx&amp;sheet=U0&amp;row=3471&amp;col=6&amp;number=3.7&amp;sourceID=14","3.7")</f>
        <v>3.7</v>
      </c>
      <c r="G3471" s="4" t="str">
        <f>HYPERLINK("http://141.218.60.56/~jnz1568/getInfo.php?workbook=12_04.xlsx&amp;sheet=U0&amp;row=3471&amp;col=7&amp;number=0.00253&amp;sourceID=14","0.00253")</f>
        <v>0.00253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HYPERLINK("http://141.218.60.56/~jnz1568/getInfo.php?workbook=12_04.xlsx&amp;sheet=U0&amp;row=3472&amp;col=6&amp;number=3.8&amp;sourceID=14","3.8")</f>
        <v>3.8</v>
      </c>
      <c r="G3472" s="4" t="str">
        <f>HYPERLINK("http://141.218.60.56/~jnz1568/getInfo.php?workbook=12_04.xlsx&amp;sheet=U0&amp;row=3472&amp;col=7&amp;number=0.00253&amp;sourceID=14","0.00253")</f>
        <v>0.00253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HYPERLINK("http://141.218.60.56/~jnz1568/getInfo.php?workbook=12_04.xlsx&amp;sheet=U0&amp;row=3473&amp;col=6&amp;number=3.9&amp;sourceID=14","3.9")</f>
        <v>3.9</v>
      </c>
      <c r="G3473" s="4" t="str">
        <f>HYPERLINK("http://141.218.60.56/~jnz1568/getInfo.php?workbook=12_04.xlsx&amp;sheet=U0&amp;row=3473&amp;col=7&amp;number=0.00253&amp;sourceID=14","0.00253")</f>
        <v>0.00253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HYPERLINK("http://141.218.60.56/~jnz1568/getInfo.php?workbook=12_04.xlsx&amp;sheet=U0&amp;row=3474&amp;col=6&amp;number=4&amp;sourceID=14","4")</f>
        <v>4</v>
      </c>
      <c r="G3474" s="4" t="str">
        <f>HYPERLINK("http://141.218.60.56/~jnz1568/getInfo.php?workbook=12_04.xlsx&amp;sheet=U0&amp;row=3474&amp;col=7&amp;number=0.00253&amp;sourceID=14","0.00253")</f>
        <v>0.00253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HYPERLINK("http://141.218.60.56/~jnz1568/getInfo.php?workbook=12_04.xlsx&amp;sheet=U0&amp;row=3475&amp;col=6&amp;number=4.1&amp;sourceID=14","4.1")</f>
        <v>4.1</v>
      </c>
      <c r="G3475" s="4" t="str">
        <f>HYPERLINK("http://141.218.60.56/~jnz1568/getInfo.php?workbook=12_04.xlsx&amp;sheet=U0&amp;row=3475&amp;col=7&amp;number=0.00253&amp;sourceID=14","0.00253")</f>
        <v>0.00253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HYPERLINK("http://141.218.60.56/~jnz1568/getInfo.php?workbook=12_04.xlsx&amp;sheet=U0&amp;row=3476&amp;col=6&amp;number=4.2&amp;sourceID=14","4.2")</f>
        <v>4.2</v>
      </c>
      <c r="G3476" s="4" t="str">
        <f>HYPERLINK("http://141.218.60.56/~jnz1568/getInfo.php?workbook=12_04.xlsx&amp;sheet=U0&amp;row=3476&amp;col=7&amp;number=0.00254&amp;sourceID=14","0.00254")</f>
        <v>0.00254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HYPERLINK("http://141.218.60.56/~jnz1568/getInfo.php?workbook=12_04.xlsx&amp;sheet=U0&amp;row=3477&amp;col=6&amp;number=4.3&amp;sourceID=14","4.3")</f>
        <v>4.3</v>
      </c>
      <c r="G3477" s="4" t="str">
        <f>HYPERLINK("http://141.218.60.56/~jnz1568/getInfo.php?workbook=12_04.xlsx&amp;sheet=U0&amp;row=3477&amp;col=7&amp;number=0.00254&amp;sourceID=14","0.00254")</f>
        <v>0.00254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HYPERLINK("http://141.218.60.56/~jnz1568/getInfo.php?workbook=12_04.xlsx&amp;sheet=U0&amp;row=3478&amp;col=6&amp;number=4.4&amp;sourceID=14","4.4")</f>
        <v>4.4</v>
      </c>
      <c r="G3478" s="4" t="str">
        <f>HYPERLINK("http://141.218.60.56/~jnz1568/getInfo.php?workbook=12_04.xlsx&amp;sheet=U0&amp;row=3478&amp;col=7&amp;number=0.00254&amp;sourceID=14","0.00254")</f>
        <v>0.00254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HYPERLINK("http://141.218.60.56/~jnz1568/getInfo.php?workbook=12_04.xlsx&amp;sheet=U0&amp;row=3479&amp;col=6&amp;number=4.5&amp;sourceID=14","4.5")</f>
        <v>4.5</v>
      </c>
      <c r="G3479" s="4" t="str">
        <f>HYPERLINK("http://141.218.60.56/~jnz1568/getInfo.php?workbook=12_04.xlsx&amp;sheet=U0&amp;row=3479&amp;col=7&amp;number=0.00254&amp;sourceID=14","0.00254")</f>
        <v>0.00254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HYPERLINK("http://141.218.60.56/~jnz1568/getInfo.php?workbook=12_04.xlsx&amp;sheet=U0&amp;row=3480&amp;col=6&amp;number=4.6&amp;sourceID=14","4.6")</f>
        <v>4.6</v>
      </c>
      <c r="G3480" s="4" t="str">
        <f>HYPERLINK("http://141.218.60.56/~jnz1568/getInfo.php?workbook=12_04.xlsx&amp;sheet=U0&amp;row=3480&amp;col=7&amp;number=0.00255&amp;sourceID=14","0.00255")</f>
        <v>0.00255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HYPERLINK("http://141.218.60.56/~jnz1568/getInfo.php?workbook=12_04.xlsx&amp;sheet=U0&amp;row=3481&amp;col=6&amp;number=4.7&amp;sourceID=14","4.7")</f>
        <v>4.7</v>
      </c>
      <c r="G3481" s="4" t="str">
        <f>HYPERLINK("http://141.218.60.56/~jnz1568/getInfo.php?workbook=12_04.xlsx&amp;sheet=U0&amp;row=3481&amp;col=7&amp;number=0.00255&amp;sourceID=14","0.00255")</f>
        <v>0.00255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HYPERLINK("http://141.218.60.56/~jnz1568/getInfo.php?workbook=12_04.xlsx&amp;sheet=U0&amp;row=3482&amp;col=6&amp;number=4.8&amp;sourceID=14","4.8")</f>
        <v>4.8</v>
      </c>
      <c r="G3482" s="4" t="str">
        <f>HYPERLINK("http://141.218.60.56/~jnz1568/getInfo.php?workbook=12_04.xlsx&amp;sheet=U0&amp;row=3482&amp;col=7&amp;number=0.00256&amp;sourceID=14","0.00256")</f>
        <v>0.00256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HYPERLINK("http://141.218.60.56/~jnz1568/getInfo.php?workbook=12_04.xlsx&amp;sheet=U0&amp;row=3483&amp;col=6&amp;number=4.9&amp;sourceID=14","4.9")</f>
        <v>4.9</v>
      </c>
      <c r="G3483" s="4" t="str">
        <f>HYPERLINK("http://141.218.60.56/~jnz1568/getInfo.php?workbook=12_04.xlsx&amp;sheet=U0&amp;row=3483&amp;col=7&amp;number=0.00257&amp;sourceID=14","0.00257")</f>
        <v>0.00257</v>
      </c>
    </row>
    <row r="3484" spans="1:7">
      <c r="A3484" s="3">
        <v>12</v>
      </c>
      <c r="B3484" s="3">
        <v>4</v>
      </c>
      <c r="C3484" s="3">
        <v>2</v>
      </c>
      <c r="D3484" s="3">
        <v>80</v>
      </c>
      <c r="E3484" s="3">
        <v>1</v>
      </c>
      <c r="F3484" s="4" t="str">
        <f>HYPERLINK("http://141.218.60.56/~jnz1568/getInfo.php?workbook=12_04.xlsx&amp;sheet=U0&amp;row=3484&amp;col=6&amp;number=3&amp;sourceID=14","3")</f>
        <v>3</v>
      </c>
      <c r="G3484" s="4" t="str">
        <f>HYPERLINK("http://141.218.60.56/~jnz1568/getInfo.php?workbook=12_04.xlsx&amp;sheet=U0&amp;row=3484&amp;col=7&amp;number=0.00104&amp;sourceID=14","0.00104")</f>
        <v>0.00104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HYPERLINK("http://141.218.60.56/~jnz1568/getInfo.php?workbook=12_04.xlsx&amp;sheet=U0&amp;row=3485&amp;col=6&amp;number=3.1&amp;sourceID=14","3.1")</f>
        <v>3.1</v>
      </c>
      <c r="G3485" s="4" t="str">
        <f>HYPERLINK("http://141.218.60.56/~jnz1568/getInfo.php?workbook=12_04.xlsx&amp;sheet=U0&amp;row=3485&amp;col=7&amp;number=0.00104&amp;sourceID=14","0.00104")</f>
        <v>0.00104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HYPERLINK("http://141.218.60.56/~jnz1568/getInfo.php?workbook=12_04.xlsx&amp;sheet=U0&amp;row=3486&amp;col=6&amp;number=3.2&amp;sourceID=14","3.2")</f>
        <v>3.2</v>
      </c>
      <c r="G3486" s="4" t="str">
        <f>HYPERLINK("http://141.218.60.56/~jnz1568/getInfo.php?workbook=12_04.xlsx&amp;sheet=U0&amp;row=3486&amp;col=7&amp;number=0.00104&amp;sourceID=14","0.00104")</f>
        <v>0.00104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HYPERLINK("http://141.218.60.56/~jnz1568/getInfo.php?workbook=12_04.xlsx&amp;sheet=U0&amp;row=3487&amp;col=6&amp;number=3.3&amp;sourceID=14","3.3")</f>
        <v>3.3</v>
      </c>
      <c r="G3487" s="4" t="str">
        <f>HYPERLINK("http://141.218.60.56/~jnz1568/getInfo.php?workbook=12_04.xlsx&amp;sheet=U0&amp;row=3487&amp;col=7&amp;number=0.00104&amp;sourceID=14","0.00104")</f>
        <v>0.00104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HYPERLINK("http://141.218.60.56/~jnz1568/getInfo.php?workbook=12_04.xlsx&amp;sheet=U0&amp;row=3488&amp;col=6&amp;number=3.4&amp;sourceID=14","3.4")</f>
        <v>3.4</v>
      </c>
      <c r="G3488" s="4" t="str">
        <f>HYPERLINK("http://141.218.60.56/~jnz1568/getInfo.php?workbook=12_04.xlsx&amp;sheet=U0&amp;row=3488&amp;col=7&amp;number=0.00104&amp;sourceID=14","0.00104")</f>
        <v>0.00104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HYPERLINK("http://141.218.60.56/~jnz1568/getInfo.php?workbook=12_04.xlsx&amp;sheet=U0&amp;row=3489&amp;col=6&amp;number=3.5&amp;sourceID=14","3.5")</f>
        <v>3.5</v>
      </c>
      <c r="G3489" s="4" t="str">
        <f>HYPERLINK("http://141.218.60.56/~jnz1568/getInfo.php?workbook=12_04.xlsx&amp;sheet=U0&amp;row=3489&amp;col=7&amp;number=0.00103&amp;sourceID=14","0.00103")</f>
        <v>0.00103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HYPERLINK("http://141.218.60.56/~jnz1568/getInfo.php?workbook=12_04.xlsx&amp;sheet=U0&amp;row=3490&amp;col=6&amp;number=3.6&amp;sourceID=14","3.6")</f>
        <v>3.6</v>
      </c>
      <c r="G3490" s="4" t="str">
        <f>HYPERLINK("http://141.218.60.56/~jnz1568/getInfo.php?workbook=12_04.xlsx&amp;sheet=U0&amp;row=3490&amp;col=7&amp;number=0.00103&amp;sourceID=14","0.00103")</f>
        <v>0.00103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HYPERLINK("http://141.218.60.56/~jnz1568/getInfo.php?workbook=12_04.xlsx&amp;sheet=U0&amp;row=3491&amp;col=6&amp;number=3.7&amp;sourceID=14","3.7")</f>
        <v>3.7</v>
      </c>
      <c r="G3491" s="4" t="str">
        <f>HYPERLINK("http://141.218.60.56/~jnz1568/getInfo.php?workbook=12_04.xlsx&amp;sheet=U0&amp;row=3491&amp;col=7&amp;number=0.00103&amp;sourceID=14","0.00103")</f>
        <v>0.00103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HYPERLINK("http://141.218.60.56/~jnz1568/getInfo.php?workbook=12_04.xlsx&amp;sheet=U0&amp;row=3492&amp;col=6&amp;number=3.8&amp;sourceID=14","3.8")</f>
        <v>3.8</v>
      </c>
      <c r="G3492" s="4" t="str">
        <f>HYPERLINK("http://141.218.60.56/~jnz1568/getInfo.php?workbook=12_04.xlsx&amp;sheet=U0&amp;row=3492&amp;col=7&amp;number=0.00103&amp;sourceID=14","0.00103")</f>
        <v>0.00103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HYPERLINK("http://141.218.60.56/~jnz1568/getInfo.php?workbook=12_04.xlsx&amp;sheet=U0&amp;row=3493&amp;col=6&amp;number=3.9&amp;sourceID=14","3.9")</f>
        <v>3.9</v>
      </c>
      <c r="G3493" s="4" t="str">
        <f>HYPERLINK("http://141.218.60.56/~jnz1568/getInfo.php?workbook=12_04.xlsx&amp;sheet=U0&amp;row=3493&amp;col=7&amp;number=0.00103&amp;sourceID=14","0.00103")</f>
        <v>0.00103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HYPERLINK("http://141.218.60.56/~jnz1568/getInfo.php?workbook=12_04.xlsx&amp;sheet=U0&amp;row=3494&amp;col=6&amp;number=4&amp;sourceID=14","4")</f>
        <v>4</v>
      </c>
      <c r="G3494" s="4" t="str">
        <f>HYPERLINK("http://141.218.60.56/~jnz1568/getInfo.php?workbook=12_04.xlsx&amp;sheet=U0&amp;row=3494&amp;col=7&amp;number=0.00103&amp;sourceID=14","0.00103")</f>
        <v>0.00103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HYPERLINK("http://141.218.60.56/~jnz1568/getInfo.php?workbook=12_04.xlsx&amp;sheet=U0&amp;row=3495&amp;col=6&amp;number=4.1&amp;sourceID=14","4.1")</f>
        <v>4.1</v>
      </c>
      <c r="G3495" s="4" t="str">
        <f>HYPERLINK("http://141.218.60.56/~jnz1568/getInfo.php?workbook=12_04.xlsx&amp;sheet=U0&amp;row=3495&amp;col=7&amp;number=0.00103&amp;sourceID=14","0.00103")</f>
        <v>0.00103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HYPERLINK("http://141.218.60.56/~jnz1568/getInfo.php?workbook=12_04.xlsx&amp;sheet=U0&amp;row=3496&amp;col=6&amp;number=4.2&amp;sourceID=14","4.2")</f>
        <v>4.2</v>
      </c>
      <c r="G3496" s="4" t="str">
        <f>HYPERLINK("http://141.218.60.56/~jnz1568/getInfo.php?workbook=12_04.xlsx&amp;sheet=U0&amp;row=3496&amp;col=7&amp;number=0.00102&amp;sourceID=14","0.00102")</f>
        <v>0.00102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HYPERLINK("http://141.218.60.56/~jnz1568/getInfo.php?workbook=12_04.xlsx&amp;sheet=U0&amp;row=3497&amp;col=6&amp;number=4.3&amp;sourceID=14","4.3")</f>
        <v>4.3</v>
      </c>
      <c r="G3497" s="4" t="str">
        <f>HYPERLINK("http://141.218.60.56/~jnz1568/getInfo.php?workbook=12_04.xlsx&amp;sheet=U0&amp;row=3497&amp;col=7&amp;number=0.00102&amp;sourceID=14","0.00102")</f>
        <v>0.00102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HYPERLINK("http://141.218.60.56/~jnz1568/getInfo.php?workbook=12_04.xlsx&amp;sheet=U0&amp;row=3498&amp;col=6&amp;number=4.4&amp;sourceID=14","4.4")</f>
        <v>4.4</v>
      </c>
      <c r="G3498" s="4" t="str">
        <f>HYPERLINK("http://141.218.60.56/~jnz1568/getInfo.php?workbook=12_04.xlsx&amp;sheet=U0&amp;row=3498&amp;col=7&amp;number=0.00102&amp;sourceID=14","0.00102")</f>
        <v>0.00102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HYPERLINK("http://141.218.60.56/~jnz1568/getInfo.php?workbook=12_04.xlsx&amp;sheet=U0&amp;row=3499&amp;col=6&amp;number=4.5&amp;sourceID=14","4.5")</f>
        <v>4.5</v>
      </c>
      <c r="G3499" s="4" t="str">
        <f>HYPERLINK("http://141.218.60.56/~jnz1568/getInfo.php?workbook=12_04.xlsx&amp;sheet=U0&amp;row=3499&amp;col=7&amp;number=0.00101&amp;sourceID=14","0.00101")</f>
        <v>0.00101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HYPERLINK("http://141.218.60.56/~jnz1568/getInfo.php?workbook=12_04.xlsx&amp;sheet=U0&amp;row=3500&amp;col=6&amp;number=4.6&amp;sourceID=14","4.6")</f>
        <v>4.6</v>
      </c>
      <c r="G3500" s="4" t="str">
        <f>HYPERLINK("http://141.218.60.56/~jnz1568/getInfo.php?workbook=12_04.xlsx&amp;sheet=U0&amp;row=3500&amp;col=7&amp;number=0.00101&amp;sourceID=14","0.00101")</f>
        <v>0.00101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HYPERLINK("http://141.218.60.56/~jnz1568/getInfo.php?workbook=12_04.xlsx&amp;sheet=U0&amp;row=3501&amp;col=6&amp;number=4.7&amp;sourceID=14","4.7")</f>
        <v>4.7</v>
      </c>
      <c r="G3501" s="4" t="str">
        <f>HYPERLINK("http://141.218.60.56/~jnz1568/getInfo.php?workbook=12_04.xlsx&amp;sheet=U0&amp;row=3501&amp;col=7&amp;number=0.001&amp;sourceID=14","0.001")</f>
        <v>0.001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HYPERLINK("http://141.218.60.56/~jnz1568/getInfo.php?workbook=12_04.xlsx&amp;sheet=U0&amp;row=3502&amp;col=6&amp;number=4.8&amp;sourceID=14","4.8")</f>
        <v>4.8</v>
      </c>
      <c r="G3502" s="4" t="str">
        <f>HYPERLINK("http://141.218.60.56/~jnz1568/getInfo.php?workbook=12_04.xlsx&amp;sheet=U0&amp;row=3502&amp;col=7&amp;number=0.00099&amp;sourceID=14","0.00099")</f>
        <v>0.00099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HYPERLINK("http://141.218.60.56/~jnz1568/getInfo.php?workbook=12_04.xlsx&amp;sheet=U0&amp;row=3503&amp;col=6&amp;number=4.9&amp;sourceID=14","4.9")</f>
        <v>4.9</v>
      </c>
      <c r="G3503" s="4" t="str">
        <f>HYPERLINK("http://141.218.60.56/~jnz1568/getInfo.php?workbook=12_04.xlsx&amp;sheet=U0&amp;row=3503&amp;col=7&amp;number=0.000979&amp;sourceID=14","0.000979")</f>
        <v>0.000979</v>
      </c>
    </row>
    <row r="3504" spans="1:7">
      <c r="A3504" s="3">
        <v>12</v>
      </c>
      <c r="B3504" s="3">
        <v>4</v>
      </c>
      <c r="C3504" s="3">
        <v>2</v>
      </c>
      <c r="D3504" s="3">
        <v>81</v>
      </c>
      <c r="E3504" s="3">
        <v>1</v>
      </c>
      <c r="F3504" s="4" t="str">
        <f>HYPERLINK("http://141.218.60.56/~jnz1568/getInfo.php?workbook=12_04.xlsx&amp;sheet=U0&amp;row=3504&amp;col=6&amp;number=3&amp;sourceID=14","3")</f>
        <v>3</v>
      </c>
      <c r="G3504" s="4" t="str">
        <f>HYPERLINK("http://141.218.60.56/~jnz1568/getInfo.php?workbook=12_04.xlsx&amp;sheet=U0&amp;row=3504&amp;col=7&amp;number=0.000645&amp;sourceID=14","0.000645")</f>
        <v>0.000645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HYPERLINK("http://141.218.60.56/~jnz1568/getInfo.php?workbook=12_04.xlsx&amp;sheet=U0&amp;row=3505&amp;col=6&amp;number=3.1&amp;sourceID=14","3.1")</f>
        <v>3.1</v>
      </c>
      <c r="G3505" s="4" t="str">
        <f>HYPERLINK("http://141.218.60.56/~jnz1568/getInfo.php?workbook=12_04.xlsx&amp;sheet=U0&amp;row=3505&amp;col=7&amp;number=0.000644&amp;sourceID=14","0.000644")</f>
        <v>0.000644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HYPERLINK("http://141.218.60.56/~jnz1568/getInfo.php?workbook=12_04.xlsx&amp;sheet=U0&amp;row=3506&amp;col=6&amp;number=3.2&amp;sourceID=14","3.2")</f>
        <v>3.2</v>
      </c>
      <c r="G3506" s="4" t="str">
        <f>HYPERLINK("http://141.218.60.56/~jnz1568/getInfo.php?workbook=12_04.xlsx&amp;sheet=U0&amp;row=3506&amp;col=7&amp;number=0.000644&amp;sourceID=14","0.000644")</f>
        <v>0.000644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HYPERLINK("http://141.218.60.56/~jnz1568/getInfo.php?workbook=12_04.xlsx&amp;sheet=U0&amp;row=3507&amp;col=6&amp;number=3.3&amp;sourceID=14","3.3")</f>
        <v>3.3</v>
      </c>
      <c r="G3507" s="4" t="str">
        <f>HYPERLINK("http://141.218.60.56/~jnz1568/getInfo.php?workbook=12_04.xlsx&amp;sheet=U0&amp;row=3507&amp;col=7&amp;number=0.000644&amp;sourceID=14","0.000644")</f>
        <v>0.000644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HYPERLINK("http://141.218.60.56/~jnz1568/getInfo.php?workbook=12_04.xlsx&amp;sheet=U0&amp;row=3508&amp;col=6&amp;number=3.4&amp;sourceID=14","3.4")</f>
        <v>3.4</v>
      </c>
      <c r="G3508" s="4" t="str">
        <f>HYPERLINK("http://141.218.60.56/~jnz1568/getInfo.php?workbook=12_04.xlsx&amp;sheet=U0&amp;row=3508&amp;col=7&amp;number=0.000643&amp;sourceID=14","0.000643")</f>
        <v>0.000643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HYPERLINK("http://141.218.60.56/~jnz1568/getInfo.php?workbook=12_04.xlsx&amp;sheet=U0&amp;row=3509&amp;col=6&amp;number=3.5&amp;sourceID=14","3.5")</f>
        <v>3.5</v>
      </c>
      <c r="G3509" s="4" t="str">
        <f>HYPERLINK("http://141.218.60.56/~jnz1568/getInfo.php?workbook=12_04.xlsx&amp;sheet=U0&amp;row=3509&amp;col=7&amp;number=0.000643&amp;sourceID=14","0.000643")</f>
        <v>0.000643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HYPERLINK("http://141.218.60.56/~jnz1568/getInfo.php?workbook=12_04.xlsx&amp;sheet=U0&amp;row=3510&amp;col=6&amp;number=3.6&amp;sourceID=14","3.6")</f>
        <v>3.6</v>
      </c>
      <c r="G3510" s="4" t="str">
        <f>HYPERLINK("http://141.218.60.56/~jnz1568/getInfo.php?workbook=12_04.xlsx&amp;sheet=U0&amp;row=3510&amp;col=7&amp;number=0.000642&amp;sourceID=14","0.000642")</f>
        <v>0.000642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HYPERLINK("http://141.218.60.56/~jnz1568/getInfo.php?workbook=12_04.xlsx&amp;sheet=U0&amp;row=3511&amp;col=6&amp;number=3.7&amp;sourceID=14","3.7")</f>
        <v>3.7</v>
      </c>
      <c r="G3511" s="4" t="str">
        <f>HYPERLINK("http://141.218.60.56/~jnz1568/getInfo.php?workbook=12_04.xlsx&amp;sheet=U0&amp;row=3511&amp;col=7&amp;number=0.000641&amp;sourceID=14","0.000641")</f>
        <v>0.000641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HYPERLINK("http://141.218.60.56/~jnz1568/getInfo.php?workbook=12_04.xlsx&amp;sheet=U0&amp;row=3512&amp;col=6&amp;number=3.8&amp;sourceID=14","3.8")</f>
        <v>3.8</v>
      </c>
      <c r="G3512" s="4" t="str">
        <f>HYPERLINK("http://141.218.60.56/~jnz1568/getInfo.php?workbook=12_04.xlsx&amp;sheet=U0&amp;row=3512&amp;col=7&amp;number=0.00064&amp;sourceID=14","0.00064")</f>
        <v>0.00064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HYPERLINK("http://141.218.60.56/~jnz1568/getInfo.php?workbook=12_04.xlsx&amp;sheet=U0&amp;row=3513&amp;col=6&amp;number=3.9&amp;sourceID=14","3.9")</f>
        <v>3.9</v>
      </c>
      <c r="G3513" s="4" t="str">
        <f>HYPERLINK("http://141.218.60.56/~jnz1568/getInfo.php?workbook=12_04.xlsx&amp;sheet=U0&amp;row=3513&amp;col=7&amp;number=0.000638&amp;sourceID=14","0.000638")</f>
        <v>0.000638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HYPERLINK("http://141.218.60.56/~jnz1568/getInfo.php?workbook=12_04.xlsx&amp;sheet=U0&amp;row=3514&amp;col=6&amp;number=4&amp;sourceID=14","4")</f>
        <v>4</v>
      </c>
      <c r="G3514" s="4" t="str">
        <f>HYPERLINK("http://141.218.60.56/~jnz1568/getInfo.php?workbook=12_04.xlsx&amp;sheet=U0&amp;row=3514&amp;col=7&amp;number=0.000637&amp;sourceID=14","0.000637")</f>
        <v>0.000637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HYPERLINK("http://141.218.60.56/~jnz1568/getInfo.php?workbook=12_04.xlsx&amp;sheet=U0&amp;row=3515&amp;col=6&amp;number=4.1&amp;sourceID=14","4.1")</f>
        <v>4.1</v>
      </c>
      <c r="G3515" s="4" t="str">
        <f>HYPERLINK("http://141.218.60.56/~jnz1568/getInfo.php?workbook=12_04.xlsx&amp;sheet=U0&amp;row=3515&amp;col=7&amp;number=0.000634&amp;sourceID=14","0.000634")</f>
        <v>0.000634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HYPERLINK("http://141.218.60.56/~jnz1568/getInfo.php?workbook=12_04.xlsx&amp;sheet=U0&amp;row=3516&amp;col=6&amp;number=4.2&amp;sourceID=14","4.2")</f>
        <v>4.2</v>
      </c>
      <c r="G3516" s="4" t="str">
        <f>HYPERLINK("http://141.218.60.56/~jnz1568/getInfo.php?workbook=12_04.xlsx&amp;sheet=U0&amp;row=3516&amp;col=7&amp;number=0.000631&amp;sourceID=14","0.000631")</f>
        <v>0.000631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HYPERLINK("http://141.218.60.56/~jnz1568/getInfo.php?workbook=12_04.xlsx&amp;sheet=U0&amp;row=3517&amp;col=6&amp;number=4.3&amp;sourceID=14","4.3")</f>
        <v>4.3</v>
      </c>
      <c r="G3517" s="4" t="str">
        <f>HYPERLINK("http://141.218.60.56/~jnz1568/getInfo.php?workbook=12_04.xlsx&amp;sheet=U0&amp;row=3517&amp;col=7&amp;number=0.000628&amp;sourceID=14","0.000628")</f>
        <v>0.000628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HYPERLINK("http://141.218.60.56/~jnz1568/getInfo.php?workbook=12_04.xlsx&amp;sheet=U0&amp;row=3518&amp;col=6&amp;number=4.4&amp;sourceID=14","4.4")</f>
        <v>4.4</v>
      </c>
      <c r="G3518" s="4" t="str">
        <f>HYPERLINK("http://141.218.60.56/~jnz1568/getInfo.php?workbook=12_04.xlsx&amp;sheet=U0&amp;row=3518&amp;col=7&amp;number=0.000623&amp;sourceID=14","0.000623")</f>
        <v>0.000623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HYPERLINK("http://141.218.60.56/~jnz1568/getInfo.php?workbook=12_04.xlsx&amp;sheet=U0&amp;row=3519&amp;col=6&amp;number=4.5&amp;sourceID=14","4.5")</f>
        <v>4.5</v>
      </c>
      <c r="G3519" s="4" t="str">
        <f>HYPERLINK("http://141.218.60.56/~jnz1568/getInfo.php?workbook=12_04.xlsx&amp;sheet=U0&amp;row=3519&amp;col=7&amp;number=0.000618&amp;sourceID=14","0.000618")</f>
        <v>0.000618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HYPERLINK("http://141.218.60.56/~jnz1568/getInfo.php?workbook=12_04.xlsx&amp;sheet=U0&amp;row=3520&amp;col=6&amp;number=4.6&amp;sourceID=14","4.6")</f>
        <v>4.6</v>
      </c>
      <c r="G3520" s="4" t="str">
        <f>HYPERLINK("http://141.218.60.56/~jnz1568/getInfo.php?workbook=12_04.xlsx&amp;sheet=U0&amp;row=3520&amp;col=7&amp;number=0.000611&amp;sourceID=14","0.000611")</f>
        <v>0.000611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HYPERLINK("http://141.218.60.56/~jnz1568/getInfo.php?workbook=12_04.xlsx&amp;sheet=U0&amp;row=3521&amp;col=6&amp;number=4.7&amp;sourceID=14","4.7")</f>
        <v>4.7</v>
      </c>
      <c r="G3521" s="4" t="str">
        <f>HYPERLINK("http://141.218.60.56/~jnz1568/getInfo.php?workbook=12_04.xlsx&amp;sheet=U0&amp;row=3521&amp;col=7&amp;number=0.000602&amp;sourceID=14","0.000602")</f>
        <v>0.000602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HYPERLINK("http://141.218.60.56/~jnz1568/getInfo.php?workbook=12_04.xlsx&amp;sheet=U0&amp;row=3522&amp;col=6&amp;number=4.8&amp;sourceID=14","4.8")</f>
        <v>4.8</v>
      </c>
      <c r="G3522" s="4" t="str">
        <f>HYPERLINK("http://141.218.60.56/~jnz1568/getInfo.php?workbook=12_04.xlsx&amp;sheet=U0&amp;row=3522&amp;col=7&amp;number=0.000592&amp;sourceID=14","0.000592")</f>
        <v>0.000592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HYPERLINK("http://141.218.60.56/~jnz1568/getInfo.php?workbook=12_04.xlsx&amp;sheet=U0&amp;row=3523&amp;col=6&amp;number=4.9&amp;sourceID=14","4.9")</f>
        <v>4.9</v>
      </c>
      <c r="G3523" s="4" t="str">
        <f>HYPERLINK("http://141.218.60.56/~jnz1568/getInfo.php?workbook=12_04.xlsx&amp;sheet=U0&amp;row=3523&amp;col=7&amp;number=0.00058&amp;sourceID=14","0.00058")</f>
        <v>0.00058</v>
      </c>
    </row>
    <row r="3524" spans="1:7">
      <c r="A3524" s="3">
        <v>12</v>
      </c>
      <c r="B3524" s="3">
        <v>4</v>
      </c>
      <c r="C3524" s="3">
        <v>2</v>
      </c>
      <c r="D3524" s="3">
        <v>82</v>
      </c>
      <c r="E3524" s="3">
        <v>1</v>
      </c>
      <c r="F3524" s="4" t="str">
        <f>HYPERLINK("http://141.218.60.56/~jnz1568/getInfo.php?workbook=12_04.xlsx&amp;sheet=U0&amp;row=3524&amp;col=6&amp;number=3&amp;sourceID=14","3")</f>
        <v>3</v>
      </c>
      <c r="G3524" s="4" t="str">
        <f>HYPERLINK("http://141.218.60.56/~jnz1568/getInfo.php?workbook=12_04.xlsx&amp;sheet=U0&amp;row=3524&amp;col=7&amp;number=0.00066&amp;sourceID=14","0.00066")</f>
        <v>0.00066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HYPERLINK("http://141.218.60.56/~jnz1568/getInfo.php?workbook=12_04.xlsx&amp;sheet=U0&amp;row=3525&amp;col=6&amp;number=3.1&amp;sourceID=14","3.1")</f>
        <v>3.1</v>
      </c>
      <c r="G3525" s="4" t="str">
        <f>HYPERLINK("http://141.218.60.56/~jnz1568/getInfo.php?workbook=12_04.xlsx&amp;sheet=U0&amp;row=3525&amp;col=7&amp;number=0.00066&amp;sourceID=14","0.00066")</f>
        <v>0.00066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HYPERLINK("http://141.218.60.56/~jnz1568/getInfo.php?workbook=12_04.xlsx&amp;sheet=U0&amp;row=3526&amp;col=6&amp;number=3.2&amp;sourceID=14","3.2")</f>
        <v>3.2</v>
      </c>
      <c r="G3526" s="4" t="str">
        <f>HYPERLINK("http://141.218.60.56/~jnz1568/getInfo.php?workbook=12_04.xlsx&amp;sheet=U0&amp;row=3526&amp;col=7&amp;number=0.00066&amp;sourceID=14","0.00066")</f>
        <v>0.00066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HYPERLINK("http://141.218.60.56/~jnz1568/getInfo.php?workbook=12_04.xlsx&amp;sheet=U0&amp;row=3527&amp;col=6&amp;number=3.3&amp;sourceID=14","3.3")</f>
        <v>3.3</v>
      </c>
      <c r="G3527" s="4" t="str">
        <f>HYPERLINK("http://141.218.60.56/~jnz1568/getInfo.php?workbook=12_04.xlsx&amp;sheet=U0&amp;row=3527&amp;col=7&amp;number=0.00066&amp;sourceID=14","0.00066")</f>
        <v>0.00066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HYPERLINK("http://141.218.60.56/~jnz1568/getInfo.php?workbook=12_04.xlsx&amp;sheet=U0&amp;row=3528&amp;col=6&amp;number=3.4&amp;sourceID=14","3.4")</f>
        <v>3.4</v>
      </c>
      <c r="G3528" s="4" t="str">
        <f>HYPERLINK("http://141.218.60.56/~jnz1568/getInfo.php?workbook=12_04.xlsx&amp;sheet=U0&amp;row=3528&amp;col=7&amp;number=0.000659&amp;sourceID=14","0.000659")</f>
        <v>0.000659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HYPERLINK("http://141.218.60.56/~jnz1568/getInfo.php?workbook=12_04.xlsx&amp;sheet=U0&amp;row=3529&amp;col=6&amp;number=3.5&amp;sourceID=14","3.5")</f>
        <v>3.5</v>
      </c>
      <c r="G3529" s="4" t="str">
        <f>HYPERLINK("http://141.218.60.56/~jnz1568/getInfo.php?workbook=12_04.xlsx&amp;sheet=U0&amp;row=3529&amp;col=7&amp;number=0.000659&amp;sourceID=14","0.000659")</f>
        <v>0.000659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HYPERLINK("http://141.218.60.56/~jnz1568/getInfo.php?workbook=12_04.xlsx&amp;sheet=U0&amp;row=3530&amp;col=6&amp;number=3.6&amp;sourceID=14","3.6")</f>
        <v>3.6</v>
      </c>
      <c r="G3530" s="4" t="str">
        <f>HYPERLINK("http://141.218.60.56/~jnz1568/getInfo.php?workbook=12_04.xlsx&amp;sheet=U0&amp;row=3530&amp;col=7&amp;number=0.000659&amp;sourceID=14","0.000659")</f>
        <v>0.000659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HYPERLINK("http://141.218.60.56/~jnz1568/getInfo.php?workbook=12_04.xlsx&amp;sheet=U0&amp;row=3531&amp;col=6&amp;number=3.7&amp;sourceID=14","3.7")</f>
        <v>3.7</v>
      </c>
      <c r="G3531" s="4" t="str">
        <f>HYPERLINK("http://141.218.60.56/~jnz1568/getInfo.php?workbook=12_04.xlsx&amp;sheet=U0&amp;row=3531&amp;col=7&amp;number=0.000658&amp;sourceID=14","0.000658")</f>
        <v>0.000658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HYPERLINK("http://141.218.60.56/~jnz1568/getInfo.php?workbook=12_04.xlsx&amp;sheet=U0&amp;row=3532&amp;col=6&amp;number=3.8&amp;sourceID=14","3.8")</f>
        <v>3.8</v>
      </c>
      <c r="G3532" s="4" t="str">
        <f>HYPERLINK("http://141.218.60.56/~jnz1568/getInfo.php?workbook=12_04.xlsx&amp;sheet=U0&amp;row=3532&amp;col=7&amp;number=0.000658&amp;sourceID=14","0.000658")</f>
        <v>0.000658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HYPERLINK("http://141.218.60.56/~jnz1568/getInfo.php?workbook=12_04.xlsx&amp;sheet=U0&amp;row=3533&amp;col=6&amp;number=3.9&amp;sourceID=14","3.9")</f>
        <v>3.9</v>
      </c>
      <c r="G3533" s="4" t="str">
        <f>HYPERLINK("http://141.218.60.56/~jnz1568/getInfo.php?workbook=12_04.xlsx&amp;sheet=U0&amp;row=3533&amp;col=7&amp;number=0.000657&amp;sourceID=14","0.000657")</f>
        <v>0.000657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HYPERLINK("http://141.218.60.56/~jnz1568/getInfo.php?workbook=12_04.xlsx&amp;sheet=U0&amp;row=3534&amp;col=6&amp;number=4&amp;sourceID=14","4")</f>
        <v>4</v>
      </c>
      <c r="G3534" s="4" t="str">
        <f>HYPERLINK("http://141.218.60.56/~jnz1568/getInfo.php?workbook=12_04.xlsx&amp;sheet=U0&amp;row=3534&amp;col=7&amp;number=0.000657&amp;sourceID=14","0.000657")</f>
        <v>0.000657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HYPERLINK("http://141.218.60.56/~jnz1568/getInfo.php?workbook=12_04.xlsx&amp;sheet=U0&amp;row=3535&amp;col=6&amp;number=4.1&amp;sourceID=14","4.1")</f>
        <v>4.1</v>
      </c>
      <c r="G3535" s="4" t="str">
        <f>HYPERLINK("http://141.218.60.56/~jnz1568/getInfo.php?workbook=12_04.xlsx&amp;sheet=U0&amp;row=3535&amp;col=7&amp;number=0.000656&amp;sourceID=14","0.000656")</f>
        <v>0.000656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HYPERLINK("http://141.218.60.56/~jnz1568/getInfo.php?workbook=12_04.xlsx&amp;sheet=U0&amp;row=3536&amp;col=6&amp;number=4.2&amp;sourceID=14","4.2")</f>
        <v>4.2</v>
      </c>
      <c r="G3536" s="4" t="str">
        <f>HYPERLINK("http://141.218.60.56/~jnz1568/getInfo.php?workbook=12_04.xlsx&amp;sheet=U0&amp;row=3536&amp;col=7&amp;number=0.000655&amp;sourceID=14","0.000655")</f>
        <v>0.000655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HYPERLINK("http://141.218.60.56/~jnz1568/getInfo.php?workbook=12_04.xlsx&amp;sheet=U0&amp;row=3537&amp;col=6&amp;number=4.3&amp;sourceID=14","4.3")</f>
        <v>4.3</v>
      </c>
      <c r="G3537" s="4" t="str">
        <f>HYPERLINK("http://141.218.60.56/~jnz1568/getInfo.php?workbook=12_04.xlsx&amp;sheet=U0&amp;row=3537&amp;col=7&amp;number=0.000653&amp;sourceID=14","0.000653")</f>
        <v>0.000653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HYPERLINK("http://141.218.60.56/~jnz1568/getInfo.php?workbook=12_04.xlsx&amp;sheet=U0&amp;row=3538&amp;col=6&amp;number=4.4&amp;sourceID=14","4.4")</f>
        <v>4.4</v>
      </c>
      <c r="G3538" s="4" t="str">
        <f>HYPERLINK("http://141.218.60.56/~jnz1568/getInfo.php?workbook=12_04.xlsx&amp;sheet=U0&amp;row=3538&amp;col=7&amp;number=0.000651&amp;sourceID=14","0.000651")</f>
        <v>0.000651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HYPERLINK("http://141.218.60.56/~jnz1568/getInfo.php?workbook=12_04.xlsx&amp;sheet=U0&amp;row=3539&amp;col=6&amp;number=4.5&amp;sourceID=14","4.5")</f>
        <v>4.5</v>
      </c>
      <c r="G3539" s="4" t="str">
        <f>HYPERLINK("http://141.218.60.56/~jnz1568/getInfo.php?workbook=12_04.xlsx&amp;sheet=U0&amp;row=3539&amp;col=7&amp;number=0.000649&amp;sourceID=14","0.000649")</f>
        <v>0.000649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HYPERLINK("http://141.218.60.56/~jnz1568/getInfo.php?workbook=12_04.xlsx&amp;sheet=U0&amp;row=3540&amp;col=6&amp;number=4.6&amp;sourceID=14","4.6")</f>
        <v>4.6</v>
      </c>
      <c r="G3540" s="4" t="str">
        <f>HYPERLINK("http://141.218.60.56/~jnz1568/getInfo.php?workbook=12_04.xlsx&amp;sheet=U0&amp;row=3540&amp;col=7&amp;number=0.000646&amp;sourceID=14","0.000646")</f>
        <v>0.000646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HYPERLINK("http://141.218.60.56/~jnz1568/getInfo.php?workbook=12_04.xlsx&amp;sheet=U0&amp;row=3541&amp;col=6&amp;number=4.7&amp;sourceID=14","4.7")</f>
        <v>4.7</v>
      </c>
      <c r="G3541" s="4" t="str">
        <f>HYPERLINK("http://141.218.60.56/~jnz1568/getInfo.php?workbook=12_04.xlsx&amp;sheet=U0&amp;row=3541&amp;col=7&amp;number=0.000643&amp;sourceID=14","0.000643")</f>
        <v>0.000643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HYPERLINK("http://141.218.60.56/~jnz1568/getInfo.php?workbook=12_04.xlsx&amp;sheet=U0&amp;row=3542&amp;col=6&amp;number=4.8&amp;sourceID=14","4.8")</f>
        <v>4.8</v>
      </c>
      <c r="G3542" s="4" t="str">
        <f>HYPERLINK("http://141.218.60.56/~jnz1568/getInfo.php?workbook=12_04.xlsx&amp;sheet=U0&amp;row=3542&amp;col=7&amp;number=0.000638&amp;sourceID=14","0.000638")</f>
        <v>0.000638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HYPERLINK("http://141.218.60.56/~jnz1568/getInfo.php?workbook=12_04.xlsx&amp;sheet=U0&amp;row=3543&amp;col=6&amp;number=4.9&amp;sourceID=14","4.9")</f>
        <v>4.9</v>
      </c>
      <c r="G3543" s="4" t="str">
        <f>HYPERLINK("http://141.218.60.56/~jnz1568/getInfo.php?workbook=12_04.xlsx&amp;sheet=U0&amp;row=3543&amp;col=7&amp;number=0.000633&amp;sourceID=14","0.000633")</f>
        <v>0.000633</v>
      </c>
    </row>
    <row r="3544" spans="1:7">
      <c r="A3544" s="3">
        <v>12</v>
      </c>
      <c r="B3544" s="3">
        <v>4</v>
      </c>
      <c r="C3544" s="3">
        <v>2</v>
      </c>
      <c r="D3544" s="3">
        <v>83</v>
      </c>
      <c r="E3544" s="3">
        <v>1</v>
      </c>
      <c r="F3544" s="4" t="str">
        <f>HYPERLINK("http://141.218.60.56/~jnz1568/getInfo.php?workbook=12_04.xlsx&amp;sheet=U0&amp;row=3544&amp;col=6&amp;number=3&amp;sourceID=14","3")</f>
        <v>3</v>
      </c>
      <c r="G3544" s="4" t="str">
        <f>HYPERLINK("http://141.218.60.56/~jnz1568/getInfo.php?workbook=12_04.xlsx&amp;sheet=U0&amp;row=3544&amp;col=7&amp;number=0.00201&amp;sourceID=14","0.00201")</f>
        <v>0.00201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HYPERLINK("http://141.218.60.56/~jnz1568/getInfo.php?workbook=12_04.xlsx&amp;sheet=U0&amp;row=3545&amp;col=6&amp;number=3.1&amp;sourceID=14","3.1")</f>
        <v>3.1</v>
      </c>
      <c r="G3545" s="4" t="str">
        <f>HYPERLINK("http://141.218.60.56/~jnz1568/getInfo.php?workbook=12_04.xlsx&amp;sheet=U0&amp;row=3545&amp;col=7&amp;number=0.00201&amp;sourceID=14","0.00201")</f>
        <v>0.00201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HYPERLINK("http://141.218.60.56/~jnz1568/getInfo.php?workbook=12_04.xlsx&amp;sheet=U0&amp;row=3546&amp;col=6&amp;number=3.2&amp;sourceID=14","3.2")</f>
        <v>3.2</v>
      </c>
      <c r="G3546" s="4" t="str">
        <f>HYPERLINK("http://141.218.60.56/~jnz1568/getInfo.php?workbook=12_04.xlsx&amp;sheet=U0&amp;row=3546&amp;col=7&amp;number=0.00201&amp;sourceID=14","0.00201")</f>
        <v>0.00201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HYPERLINK("http://141.218.60.56/~jnz1568/getInfo.php?workbook=12_04.xlsx&amp;sheet=U0&amp;row=3547&amp;col=6&amp;number=3.3&amp;sourceID=14","3.3")</f>
        <v>3.3</v>
      </c>
      <c r="G3547" s="4" t="str">
        <f>HYPERLINK("http://141.218.60.56/~jnz1568/getInfo.php?workbook=12_04.xlsx&amp;sheet=U0&amp;row=3547&amp;col=7&amp;number=0.00201&amp;sourceID=14","0.00201")</f>
        <v>0.00201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HYPERLINK("http://141.218.60.56/~jnz1568/getInfo.php?workbook=12_04.xlsx&amp;sheet=U0&amp;row=3548&amp;col=6&amp;number=3.4&amp;sourceID=14","3.4")</f>
        <v>3.4</v>
      </c>
      <c r="G3548" s="4" t="str">
        <f>HYPERLINK("http://141.218.60.56/~jnz1568/getInfo.php?workbook=12_04.xlsx&amp;sheet=U0&amp;row=3548&amp;col=7&amp;number=0.00201&amp;sourceID=14","0.00201")</f>
        <v>0.00201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HYPERLINK("http://141.218.60.56/~jnz1568/getInfo.php?workbook=12_04.xlsx&amp;sheet=U0&amp;row=3549&amp;col=6&amp;number=3.5&amp;sourceID=14","3.5")</f>
        <v>3.5</v>
      </c>
      <c r="G3549" s="4" t="str">
        <f>HYPERLINK("http://141.218.60.56/~jnz1568/getInfo.php?workbook=12_04.xlsx&amp;sheet=U0&amp;row=3549&amp;col=7&amp;number=0.00201&amp;sourceID=14","0.00201")</f>
        <v>0.00201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HYPERLINK("http://141.218.60.56/~jnz1568/getInfo.php?workbook=12_04.xlsx&amp;sheet=U0&amp;row=3550&amp;col=6&amp;number=3.6&amp;sourceID=14","3.6")</f>
        <v>3.6</v>
      </c>
      <c r="G3550" s="4" t="str">
        <f>HYPERLINK("http://141.218.60.56/~jnz1568/getInfo.php?workbook=12_04.xlsx&amp;sheet=U0&amp;row=3550&amp;col=7&amp;number=0.00201&amp;sourceID=14","0.00201")</f>
        <v>0.00201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HYPERLINK("http://141.218.60.56/~jnz1568/getInfo.php?workbook=12_04.xlsx&amp;sheet=U0&amp;row=3551&amp;col=6&amp;number=3.7&amp;sourceID=14","3.7")</f>
        <v>3.7</v>
      </c>
      <c r="G3551" s="4" t="str">
        <f>HYPERLINK("http://141.218.60.56/~jnz1568/getInfo.php?workbook=12_04.xlsx&amp;sheet=U0&amp;row=3551&amp;col=7&amp;number=0.00201&amp;sourceID=14","0.00201")</f>
        <v>0.00201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HYPERLINK("http://141.218.60.56/~jnz1568/getInfo.php?workbook=12_04.xlsx&amp;sheet=U0&amp;row=3552&amp;col=6&amp;number=3.8&amp;sourceID=14","3.8")</f>
        <v>3.8</v>
      </c>
      <c r="G3552" s="4" t="str">
        <f>HYPERLINK("http://141.218.60.56/~jnz1568/getInfo.php?workbook=12_04.xlsx&amp;sheet=U0&amp;row=3552&amp;col=7&amp;number=0.00201&amp;sourceID=14","0.00201")</f>
        <v>0.00201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HYPERLINK("http://141.218.60.56/~jnz1568/getInfo.php?workbook=12_04.xlsx&amp;sheet=U0&amp;row=3553&amp;col=6&amp;number=3.9&amp;sourceID=14","3.9")</f>
        <v>3.9</v>
      </c>
      <c r="G3553" s="4" t="str">
        <f>HYPERLINK("http://141.218.60.56/~jnz1568/getInfo.php?workbook=12_04.xlsx&amp;sheet=U0&amp;row=3553&amp;col=7&amp;number=0.00201&amp;sourceID=14","0.00201")</f>
        <v>0.00201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HYPERLINK("http://141.218.60.56/~jnz1568/getInfo.php?workbook=12_04.xlsx&amp;sheet=U0&amp;row=3554&amp;col=6&amp;number=4&amp;sourceID=14","4")</f>
        <v>4</v>
      </c>
      <c r="G3554" s="4" t="str">
        <f>HYPERLINK("http://141.218.60.56/~jnz1568/getInfo.php?workbook=12_04.xlsx&amp;sheet=U0&amp;row=3554&amp;col=7&amp;number=0.00201&amp;sourceID=14","0.00201")</f>
        <v>0.00201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HYPERLINK("http://141.218.60.56/~jnz1568/getInfo.php?workbook=12_04.xlsx&amp;sheet=U0&amp;row=3555&amp;col=6&amp;number=4.1&amp;sourceID=14","4.1")</f>
        <v>4.1</v>
      </c>
      <c r="G3555" s="4" t="str">
        <f>HYPERLINK("http://141.218.60.56/~jnz1568/getInfo.php?workbook=12_04.xlsx&amp;sheet=U0&amp;row=3555&amp;col=7&amp;number=0.00201&amp;sourceID=14","0.00201")</f>
        <v>0.00201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HYPERLINK("http://141.218.60.56/~jnz1568/getInfo.php?workbook=12_04.xlsx&amp;sheet=U0&amp;row=3556&amp;col=6&amp;number=4.2&amp;sourceID=14","4.2")</f>
        <v>4.2</v>
      </c>
      <c r="G3556" s="4" t="str">
        <f>HYPERLINK("http://141.218.60.56/~jnz1568/getInfo.php?workbook=12_04.xlsx&amp;sheet=U0&amp;row=3556&amp;col=7&amp;number=0.00201&amp;sourceID=14","0.00201")</f>
        <v>0.00201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HYPERLINK("http://141.218.60.56/~jnz1568/getInfo.php?workbook=12_04.xlsx&amp;sheet=U0&amp;row=3557&amp;col=6&amp;number=4.3&amp;sourceID=14","4.3")</f>
        <v>4.3</v>
      </c>
      <c r="G3557" s="4" t="str">
        <f>HYPERLINK("http://141.218.60.56/~jnz1568/getInfo.php?workbook=12_04.xlsx&amp;sheet=U0&amp;row=3557&amp;col=7&amp;number=0.00201&amp;sourceID=14","0.00201")</f>
        <v>0.00201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HYPERLINK("http://141.218.60.56/~jnz1568/getInfo.php?workbook=12_04.xlsx&amp;sheet=U0&amp;row=3558&amp;col=6&amp;number=4.4&amp;sourceID=14","4.4")</f>
        <v>4.4</v>
      </c>
      <c r="G3558" s="4" t="str">
        <f>HYPERLINK("http://141.218.60.56/~jnz1568/getInfo.php?workbook=12_04.xlsx&amp;sheet=U0&amp;row=3558&amp;col=7&amp;number=0.00202&amp;sourceID=14","0.00202")</f>
        <v>0.00202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HYPERLINK("http://141.218.60.56/~jnz1568/getInfo.php?workbook=12_04.xlsx&amp;sheet=U0&amp;row=3559&amp;col=6&amp;number=4.5&amp;sourceID=14","4.5")</f>
        <v>4.5</v>
      </c>
      <c r="G3559" s="4" t="str">
        <f>HYPERLINK("http://141.218.60.56/~jnz1568/getInfo.php?workbook=12_04.xlsx&amp;sheet=U0&amp;row=3559&amp;col=7&amp;number=0.00202&amp;sourceID=14","0.00202")</f>
        <v>0.00202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HYPERLINK("http://141.218.60.56/~jnz1568/getInfo.php?workbook=12_04.xlsx&amp;sheet=U0&amp;row=3560&amp;col=6&amp;number=4.6&amp;sourceID=14","4.6")</f>
        <v>4.6</v>
      </c>
      <c r="G3560" s="4" t="str">
        <f>HYPERLINK("http://141.218.60.56/~jnz1568/getInfo.php?workbook=12_04.xlsx&amp;sheet=U0&amp;row=3560&amp;col=7&amp;number=0.00202&amp;sourceID=14","0.00202")</f>
        <v>0.00202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HYPERLINK("http://141.218.60.56/~jnz1568/getInfo.php?workbook=12_04.xlsx&amp;sheet=U0&amp;row=3561&amp;col=6&amp;number=4.7&amp;sourceID=14","4.7")</f>
        <v>4.7</v>
      </c>
      <c r="G3561" s="4" t="str">
        <f>HYPERLINK("http://141.218.60.56/~jnz1568/getInfo.php?workbook=12_04.xlsx&amp;sheet=U0&amp;row=3561&amp;col=7&amp;number=0.00202&amp;sourceID=14","0.00202")</f>
        <v>0.00202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HYPERLINK("http://141.218.60.56/~jnz1568/getInfo.php?workbook=12_04.xlsx&amp;sheet=U0&amp;row=3562&amp;col=6&amp;number=4.8&amp;sourceID=14","4.8")</f>
        <v>4.8</v>
      </c>
      <c r="G3562" s="4" t="str">
        <f>HYPERLINK("http://141.218.60.56/~jnz1568/getInfo.php?workbook=12_04.xlsx&amp;sheet=U0&amp;row=3562&amp;col=7&amp;number=0.00202&amp;sourceID=14","0.00202")</f>
        <v>0.00202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HYPERLINK("http://141.218.60.56/~jnz1568/getInfo.php?workbook=12_04.xlsx&amp;sheet=U0&amp;row=3563&amp;col=6&amp;number=4.9&amp;sourceID=14","4.9")</f>
        <v>4.9</v>
      </c>
      <c r="G3563" s="4" t="str">
        <f>HYPERLINK("http://141.218.60.56/~jnz1568/getInfo.php?workbook=12_04.xlsx&amp;sheet=U0&amp;row=3563&amp;col=7&amp;number=0.00203&amp;sourceID=14","0.00203")</f>
        <v>0.00203</v>
      </c>
    </row>
    <row r="3564" spans="1:7">
      <c r="A3564" s="3">
        <v>12</v>
      </c>
      <c r="B3564" s="3">
        <v>4</v>
      </c>
      <c r="C3564" s="3">
        <v>2</v>
      </c>
      <c r="D3564" s="3">
        <v>84</v>
      </c>
      <c r="E3564" s="3">
        <v>1</v>
      </c>
      <c r="F3564" s="4" t="str">
        <f>HYPERLINK("http://141.218.60.56/~jnz1568/getInfo.php?workbook=12_04.xlsx&amp;sheet=U0&amp;row=3564&amp;col=6&amp;number=3&amp;sourceID=14","3")</f>
        <v>3</v>
      </c>
      <c r="G3564" s="4" t="str">
        <f>HYPERLINK("http://141.218.60.56/~jnz1568/getInfo.php?workbook=12_04.xlsx&amp;sheet=U0&amp;row=3564&amp;col=7&amp;number=0.00129&amp;sourceID=14","0.00129")</f>
        <v>0.00129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HYPERLINK("http://141.218.60.56/~jnz1568/getInfo.php?workbook=12_04.xlsx&amp;sheet=U0&amp;row=3565&amp;col=6&amp;number=3.1&amp;sourceID=14","3.1")</f>
        <v>3.1</v>
      </c>
      <c r="G3565" s="4" t="str">
        <f>HYPERLINK("http://141.218.60.56/~jnz1568/getInfo.php?workbook=12_04.xlsx&amp;sheet=U0&amp;row=3565&amp;col=7&amp;number=0.00129&amp;sourceID=14","0.00129")</f>
        <v>0.00129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HYPERLINK("http://141.218.60.56/~jnz1568/getInfo.php?workbook=12_04.xlsx&amp;sheet=U0&amp;row=3566&amp;col=6&amp;number=3.2&amp;sourceID=14","3.2")</f>
        <v>3.2</v>
      </c>
      <c r="G3566" s="4" t="str">
        <f>HYPERLINK("http://141.218.60.56/~jnz1568/getInfo.php?workbook=12_04.xlsx&amp;sheet=U0&amp;row=3566&amp;col=7&amp;number=0.00129&amp;sourceID=14","0.00129")</f>
        <v>0.00129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HYPERLINK("http://141.218.60.56/~jnz1568/getInfo.php?workbook=12_04.xlsx&amp;sheet=U0&amp;row=3567&amp;col=6&amp;number=3.3&amp;sourceID=14","3.3")</f>
        <v>3.3</v>
      </c>
      <c r="G3567" s="4" t="str">
        <f>HYPERLINK("http://141.218.60.56/~jnz1568/getInfo.php?workbook=12_04.xlsx&amp;sheet=U0&amp;row=3567&amp;col=7&amp;number=0.00129&amp;sourceID=14","0.00129")</f>
        <v>0.00129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HYPERLINK("http://141.218.60.56/~jnz1568/getInfo.php?workbook=12_04.xlsx&amp;sheet=U0&amp;row=3568&amp;col=6&amp;number=3.4&amp;sourceID=14","3.4")</f>
        <v>3.4</v>
      </c>
      <c r="G3568" s="4" t="str">
        <f>HYPERLINK("http://141.218.60.56/~jnz1568/getInfo.php?workbook=12_04.xlsx&amp;sheet=U0&amp;row=3568&amp;col=7&amp;number=0.00129&amp;sourceID=14","0.00129")</f>
        <v>0.00129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HYPERLINK("http://141.218.60.56/~jnz1568/getInfo.php?workbook=12_04.xlsx&amp;sheet=U0&amp;row=3569&amp;col=6&amp;number=3.5&amp;sourceID=14","3.5")</f>
        <v>3.5</v>
      </c>
      <c r="G3569" s="4" t="str">
        <f>HYPERLINK("http://141.218.60.56/~jnz1568/getInfo.php?workbook=12_04.xlsx&amp;sheet=U0&amp;row=3569&amp;col=7&amp;number=0.00129&amp;sourceID=14","0.00129")</f>
        <v>0.00129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HYPERLINK("http://141.218.60.56/~jnz1568/getInfo.php?workbook=12_04.xlsx&amp;sheet=U0&amp;row=3570&amp;col=6&amp;number=3.6&amp;sourceID=14","3.6")</f>
        <v>3.6</v>
      </c>
      <c r="G3570" s="4" t="str">
        <f>HYPERLINK("http://141.218.60.56/~jnz1568/getInfo.php?workbook=12_04.xlsx&amp;sheet=U0&amp;row=3570&amp;col=7&amp;number=0.00129&amp;sourceID=14","0.00129")</f>
        <v>0.00129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HYPERLINK("http://141.218.60.56/~jnz1568/getInfo.php?workbook=12_04.xlsx&amp;sheet=U0&amp;row=3571&amp;col=6&amp;number=3.7&amp;sourceID=14","3.7")</f>
        <v>3.7</v>
      </c>
      <c r="G3571" s="4" t="str">
        <f>HYPERLINK("http://141.218.60.56/~jnz1568/getInfo.php?workbook=12_04.xlsx&amp;sheet=U0&amp;row=3571&amp;col=7&amp;number=0.00129&amp;sourceID=14","0.00129")</f>
        <v>0.00129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HYPERLINK("http://141.218.60.56/~jnz1568/getInfo.php?workbook=12_04.xlsx&amp;sheet=U0&amp;row=3572&amp;col=6&amp;number=3.8&amp;sourceID=14","3.8")</f>
        <v>3.8</v>
      </c>
      <c r="G3572" s="4" t="str">
        <f>HYPERLINK("http://141.218.60.56/~jnz1568/getInfo.php?workbook=12_04.xlsx&amp;sheet=U0&amp;row=3572&amp;col=7&amp;number=0.00129&amp;sourceID=14","0.00129")</f>
        <v>0.00129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HYPERLINK("http://141.218.60.56/~jnz1568/getInfo.php?workbook=12_04.xlsx&amp;sheet=U0&amp;row=3573&amp;col=6&amp;number=3.9&amp;sourceID=14","3.9")</f>
        <v>3.9</v>
      </c>
      <c r="G3573" s="4" t="str">
        <f>HYPERLINK("http://141.218.60.56/~jnz1568/getInfo.php?workbook=12_04.xlsx&amp;sheet=U0&amp;row=3573&amp;col=7&amp;number=0.00129&amp;sourceID=14","0.00129")</f>
        <v>0.00129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HYPERLINK("http://141.218.60.56/~jnz1568/getInfo.php?workbook=12_04.xlsx&amp;sheet=U0&amp;row=3574&amp;col=6&amp;number=4&amp;sourceID=14","4")</f>
        <v>4</v>
      </c>
      <c r="G3574" s="4" t="str">
        <f>HYPERLINK("http://141.218.60.56/~jnz1568/getInfo.php?workbook=12_04.xlsx&amp;sheet=U0&amp;row=3574&amp;col=7&amp;number=0.00129&amp;sourceID=14","0.00129")</f>
        <v>0.00129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HYPERLINK("http://141.218.60.56/~jnz1568/getInfo.php?workbook=12_04.xlsx&amp;sheet=U0&amp;row=3575&amp;col=6&amp;number=4.1&amp;sourceID=14","4.1")</f>
        <v>4.1</v>
      </c>
      <c r="G3575" s="4" t="str">
        <f>HYPERLINK("http://141.218.60.56/~jnz1568/getInfo.php?workbook=12_04.xlsx&amp;sheet=U0&amp;row=3575&amp;col=7&amp;number=0.00128&amp;sourceID=14","0.00128")</f>
        <v>0.00128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HYPERLINK("http://141.218.60.56/~jnz1568/getInfo.php?workbook=12_04.xlsx&amp;sheet=U0&amp;row=3576&amp;col=6&amp;number=4.2&amp;sourceID=14","4.2")</f>
        <v>4.2</v>
      </c>
      <c r="G3576" s="4" t="str">
        <f>HYPERLINK("http://141.218.60.56/~jnz1568/getInfo.php?workbook=12_04.xlsx&amp;sheet=U0&amp;row=3576&amp;col=7&amp;number=0.00128&amp;sourceID=14","0.00128")</f>
        <v>0.00128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HYPERLINK("http://141.218.60.56/~jnz1568/getInfo.php?workbook=12_04.xlsx&amp;sheet=U0&amp;row=3577&amp;col=6&amp;number=4.3&amp;sourceID=14","4.3")</f>
        <v>4.3</v>
      </c>
      <c r="G3577" s="4" t="str">
        <f>HYPERLINK("http://141.218.60.56/~jnz1568/getInfo.php?workbook=12_04.xlsx&amp;sheet=U0&amp;row=3577&amp;col=7&amp;number=0.00128&amp;sourceID=14","0.00128")</f>
        <v>0.00128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HYPERLINK("http://141.218.60.56/~jnz1568/getInfo.php?workbook=12_04.xlsx&amp;sheet=U0&amp;row=3578&amp;col=6&amp;number=4.4&amp;sourceID=14","4.4")</f>
        <v>4.4</v>
      </c>
      <c r="G3578" s="4" t="str">
        <f>HYPERLINK("http://141.218.60.56/~jnz1568/getInfo.php?workbook=12_04.xlsx&amp;sheet=U0&amp;row=3578&amp;col=7&amp;number=0.00127&amp;sourceID=14","0.00127")</f>
        <v>0.00127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HYPERLINK("http://141.218.60.56/~jnz1568/getInfo.php?workbook=12_04.xlsx&amp;sheet=U0&amp;row=3579&amp;col=6&amp;number=4.5&amp;sourceID=14","4.5")</f>
        <v>4.5</v>
      </c>
      <c r="G3579" s="4" t="str">
        <f>HYPERLINK("http://141.218.60.56/~jnz1568/getInfo.php?workbook=12_04.xlsx&amp;sheet=U0&amp;row=3579&amp;col=7&amp;number=0.00127&amp;sourceID=14","0.00127")</f>
        <v>0.00127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HYPERLINK("http://141.218.60.56/~jnz1568/getInfo.php?workbook=12_04.xlsx&amp;sheet=U0&amp;row=3580&amp;col=6&amp;number=4.6&amp;sourceID=14","4.6")</f>
        <v>4.6</v>
      </c>
      <c r="G3580" s="4" t="str">
        <f>HYPERLINK("http://141.218.60.56/~jnz1568/getInfo.php?workbook=12_04.xlsx&amp;sheet=U0&amp;row=3580&amp;col=7&amp;number=0.00126&amp;sourceID=14","0.00126")</f>
        <v>0.00126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HYPERLINK("http://141.218.60.56/~jnz1568/getInfo.php?workbook=12_04.xlsx&amp;sheet=U0&amp;row=3581&amp;col=6&amp;number=4.7&amp;sourceID=14","4.7")</f>
        <v>4.7</v>
      </c>
      <c r="G3581" s="4" t="str">
        <f>HYPERLINK("http://141.218.60.56/~jnz1568/getInfo.php?workbook=12_04.xlsx&amp;sheet=U0&amp;row=3581&amp;col=7&amp;number=0.00125&amp;sourceID=14","0.00125")</f>
        <v>0.00125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HYPERLINK("http://141.218.60.56/~jnz1568/getInfo.php?workbook=12_04.xlsx&amp;sheet=U0&amp;row=3582&amp;col=6&amp;number=4.8&amp;sourceID=14","4.8")</f>
        <v>4.8</v>
      </c>
      <c r="G3582" s="4" t="str">
        <f>HYPERLINK("http://141.218.60.56/~jnz1568/getInfo.php?workbook=12_04.xlsx&amp;sheet=U0&amp;row=3582&amp;col=7&amp;number=0.00125&amp;sourceID=14","0.00125")</f>
        <v>0.00125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HYPERLINK("http://141.218.60.56/~jnz1568/getInfo.php?workbook=12_04.xlsx&amp;sheet=U0&amp;row=3583&amp;col=6&amp;number=4.9&amp;sourceID=14","4.9")</f>
        <v>4.9</v>
      </c>
      <c r="G3583" s="4" t="str">
        <f>HYPERLINK("http://141.218.60.56/~jnz1568/getInfo.php?workbook=12_04.xlsx&amp;sheet=U0&amp;row=3583&amp;col=7&amp;number=0.00123&amp;sourceID=14","0.00123")</f>
        <v>0.00123</v>
      </c>
    </row>
    <row r="3584" spans="1:7">
      <c r="A3584" s="3">
        <v>12</v>
      </c>
      <c r="B3584" s="3">
        <v>4</v>
      </c>
      <c r="C3584" s="3">
        <v>2</v>
      </c>
      <c r="D3584" s="3">
        <v>85</v>
      </c>
      <c r="E3584" s="3">
        <v>1</v>
      </c>
      <c r="F3584" s="4" t="str">
        <f>HYPERLINK("http://141.218.60.56/~jnz1568/getInfo.php?workbook=12_04.xlsx&amp;sheet=U0&amp;row=3584&amp;col=6&amp;number=3&amp;sourceID=14","3")</f>
        <v>3</v>
      </c>
      <c r="G3584" s="4" t="str">
        <f>HYPERLINK("http://141.218.60.56/~jnz1568/getInfo.php?workbook=12_04.xlsx&amp;sheet=U0&amp;row=3584&amp;col=7&amp;number=0.000507&amp;sourceID=14","0.000507")</f>
        <v>0.000507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HYPERLINK("http://141.218.60.56/~jnz1568/getInfo.php?workbook=12_04.xlsx&amp;sheet=U0&amp;row=3585&amp;col=6&amp;number=3.1&amp;sourceID=14","3.1")</f>
        <v>3.1</v>
      </c>
      <c r="G3585" s="4" t="str">
        <f>HYPERLINK("http://141.218.60.56/~jnz1568/getInfo.php?workbook=12_04.xlsx&amp;sheet=U0&amp;row=3585&amp;col=7&amp;number=0.000507&amp;sourceID=14","0.000507")</f>
        <v>0.000507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HYPERLINK("http://141.218.60.56/~jnz1568/getInfo.php?workbook=12_04.xlsx&amp;sheet=U0&amp;row=3586&amp;col=6&amp;number=3.2&amp;sourceID=14","3.2")</f>
        <v>3.2</v>
      </c>
      <c r="G3586" s="4" t="str">
        <f>HYPERLINK("http://141.218.60.56/~jnz1568/getInfo.php?workbook=12_04.xlsx&amp;sheet=U0&amp;row=3586&amp;col=7&amp;number=0.000507&amp;sourceID=14","0.000507")</f>
        <v>0.000507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HYPERLINK("http://141.218.60.56/~jnz1568/getInfo.php?workbook=12_04.xlsx&amp;sheet=U0&amp;row=3587&amp;col=6&amp;number=3.3&amp;sourceID=14","3.3")</f>
        <v>3.3</v>
      </c>
      <c r="G3587" s="4" t="str">
        <f>HYPERLINK("http://141.218.60.56/~jnz1568/getInfo.php?workbook=12_04.xlsx&amp;sheet=U0&amp;row=3587&amp;col=7&amp;number=0.000507&amp;sourceID=14","0.000507")</f>
        <v>0.000507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HYPERLINK("http://141.218.60.56/~jnz1568/getInfo.php?workbook=12_04.xlsx&amp;sheet=U0&amp;row=3588&amp;col=6&amp;number=3.4&amp;sourceID=14","3.4")</f>
        <v>3.4</v>
      </c>
      <c r="G3588" s="4" t="str">
        <f>HYPERLINK("http://141.218.60.56/~jnz1568/getInfo.php?workbook=12_04.xlsx&amp;sheet=U0&amp;row=3588&amp;col=7&amp;number=0.000507&amp;sourceID=14","0.000507")</f>
        <v>0.000507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HYPERLINK("http://141.218.60.56/~jnz1568/getInfo.php?workbook=12_04.xlsx&amp;sheet=U0&amp;row=3589&amp;col=6&amp;number=3.5&amp;sourceID=14","3.5")</f>
        <v>3.5</v>
      </c>
      <c r="G3589" s="4" t="str">
        <f>HYPERLINK("http://141.218.60.56/~jnz1568/getInfo.php?workbook=12_04.xlsx&amp;sheet=U0&amp;row=3589&amp;col=7&amp;number=0.000507&amp;sourceID=14","0.000507")</f>
        <v>0.000507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HYPERLINK("http://141.218.60.56/~jnz1568/getInfo.php?workbook=12_04.xlsx&amp;sheet=U0&amp;row=3590&amp;col=6&amp;number=3.6&amp;sourceID=14","3.6")</f>
        <v>3.6</v>
      </c>
      <c r="G3590" s="4" t="str">
        <f>HYPERLINK("http://141.218.60.56/~jnz1568/getInfo.php?workbook=12_04.xlsx&amp;sheet=U0&amp;row=3590&amp;col=7&amp;number=0.000506&amp;sourceID=14","0.000506")</f>
        <v>0.000506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HYPERLINK("http://141.218.60.56/~jnz1568/getInfo.php?workbook=12_04.xlsx&amp;sheet=U0&amp;row=3591&amp;col=6&amp;number=3.7&amp;sourceID=14","3.7")</f>
        <v>3.7</v>
      </c>
      <c r="G3591" s="4" t="str">
        <f>HYPERLINK("http://141.218.60.56/~jnz1568/getInfo.php?workbook=12_04.xlsx&amp;sheet=U0&amp;row=3591&amp;col=7&amp;number=0.000506&amp;sourceID=14","0.000506")</f>
        <v>0.000506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HYPERLINK("http://141.218.60.56/~jnz1568/getInfo.php?workbook=12_04.xlsx&amp;sheet=U0&amp;row=3592&amp;col=6&amp;number=3.8&amp;sourceID=14","3.8")</f>
        <v>3.8</v>
      </c>
      <c r="G3592" s="4" t="str">
        <f>HYPERLINK("http://141.218.60.56/~jnz1568/getInfo.php?workbook=12_04.xlsx&amp;sheet=U0&amp;row=3592&amp;col=7&amp;number=0.000505&amp;sourceID=14","0.000505")</f>
        <v>0.000505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HYPERLINK("http://141.218.60.56/~jnz1568/getInfo.php?workbook=12_04.xlsx&amp;sheet=U0&amp;row=3593&amp;col=6&amp;number=3.9&amp;sourceID=14","3.9")</f>
        <v>3.9</v>
      </c>
      <c r="G3593" s="4" t="str">
        <f>HYPERLINK("http://141.218.60.56/~jnz1568/getInfo.php?workbook=12_04.xlsx&amp;sheet=U0&amp;row=3593&amp;col=7&amp;number=0.000505&amp;sourceID=14","0.000505")</f>
        <v>0.000505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HYPERLINK("http://141.218.60.56/~jnz1568/getInfo.php?workbook=12_04.xlsx&amp;sheet=U0&amp;row=3594&amp;col=6&amp;number=4&amp;sourceID=14","4")</f>
        <v>4</v>
      </c>
      <c r="G3594" s="4" t="str">
        <f>HYPERLINK("http://141.218.60.56/~jnz1568/getInfo.php?workbook=12_04.xlsx&amp;sheet=U0&amp;row=3594&amp;col=7&amp;number=0.000504&amp;sourceID=14","0.000504")</f>
        <v>0.000504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HYPERLINK("http://141.218.60.56/~jnz1568/getInfo.php?workbook=12_04.xlsx&amp;sheet=U0&amp;row=3595&amp;col=6&amp;number=4.1&amp;sourceID=14","4.1")</f>
        <v>4.1</v>
      </c>
      <c r="G3595" s="4" t="str">
        <f>HYPERLINK("http://141.218.60.56/~jnz1568/getInfo.php?workbook=12_04.xlsx&amp;sheet=U0&amp;row=3595&amp;col=7&amp;number=0.000503&amp;sourceID=14","0.000503")</f>
        <v>0.000503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HYPERLINK("http://141.218.60.56/~jnz1568/getInfo.php?workbook=12_04.xlsx&amp;sheet=U0&amp;row=3596&amp;col=6&amp;number=4.2&amp;sourceID=14","4.2")</f>
        <v>4.2</v>
      </c>
      <c r="G3596" s="4" t="str">
        <f>HYPERLINK("http://141.218.60.56/~jnz1568/getInfo.php?workbook=12_04.xlsx&amp;sheet=U0&amp;row=3596&amp;col=7&amp;number=0.000502&amp;sourceID=14","0.000502")</f>
        <v>0.000502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HYPERLINK("http://141.218.60.56/~jnz1568/getInfo.php?workbook=12_04.xlsx&amp;sheet=U0&amp;row=3597&amp;col=6&amp;number=4.3&amp;sourceID=14","4.3")</f>
        <v>4.3</v>
      </c>
      <c r="G3597" s="4" t="str">
        <f>HYPERLINK("http://141.218.60.56/~jnz1568/getInfo.php?workbook=12_04.xlsx&amp;sheet=U0&amp;row=3597&amp;col=7&amp;number=0.0005&amp;sourceID=14","0.0005")</f>
        <v>0.0005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HYPERLINK("http://141.218.60.56/~jnz1568/getInfo.php?workbook=12_04.xlsx&amp;sheet=U0&amp;row=3598&amp;col=6&amp;number=4.4&amp;sourceID=14","4.4")</f>
        <v>4.4</v>
      </c>
      <c r="G3598" s="4" t="str">
        <f>HYPERLINK("http://141.218.60.56/~jnz1568/getInfo.php?workbook=12_04.xlsx&amp;sheet=U0&amp;row=3598&amp;col=7&amp;number=0.000498&amp;sourceID=14","0.000498")</f>
        <v>0.000498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HYPERLINK("http://141.218.60.56/~jnz1568/getInfo.php?workbook=12_04.xlsx&amp;sheet=U0&amp;row=3599&amp;col=6&amp;number=4.5&amp;sourceID=14","4.5")</f>
        <v>4.5</v>
      </c>
      <c r="G3599" s="4" t="str">
        <f>HYPERLINK("http://141.218.60.56/~jnz1568/getInfo.php?workbook=12_04.xlsx&amp;sheet=U0&amp;row=3599&amp;col=7&amp;number=0.000496&amp;sourceID=14","0.000496")</f>
        <v>0.000496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HYPERLINK("http://141.218.60.56/~jnz1568/getInfo.php?workbook=12_04.xlsx&amp;sheet=U0&amp;row=3600&amp;col=6&amp;number=4.6&amp;sourceID=14","4.6")</f>
        <v>4.6</v>
      </c>
      <c r="G3600" s="4" t="str">
        <f>HYPERLINK("http://141.218.60.56/~jnz1568/getInfo.php?workbook=12_04.xlsx&amp;sheet=U0&amp;row=3600&amp;col=7&amp;number=0.000493&amp;sourceID=14","0.000493")</f>
        <v>0.000493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HYPERLINK("http://141.218.60.56/~jnz1568/getInfo.php?workbook=12_04.xlsx&amp;sheet=U0&amp;row=3601&amp;col=6&amp;number=4.7&amp;sourceID=14","4.7")</f>
        <v>4.7</v>
      </c>
      <c r="G3601" s="4" t="str">
        <f>HYPERLINK("http://141.218.60.56/~jnz1568/getInfo.php?workbook=12_04.xlsx&amp;sheet=U0&amp;row=3601&amp;col=7&amp;number=0.000489&amp;sourceID=14","0.000489")</f>
        <v>0.000489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HYPERLINK("http://141.218.60.56/~jnz1568/getInfo.php?workbook=12_04.xlsx&amp;sheet=U0&amp;row=3602&amp;col=6&amp;number=4.8&amp;sourceID=14","4.8")</f>
        <v>4.8</v>
      </c>
      <c r="G3602" s="4" t="str">
        <f>HYPERLINK("http://141.218.60.56/~jnz1568/getInfo.php?workbook=12_04.xlsx&amp;sheet=U0&amp;row=3602&amp;col=7&amp;number=0.000485&amp;sourceID=14","0.000485")</f>
        <v>0.000485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HYPERLINK("http://141.218.60.56/~jnz1568/getInfo.php?workbook=12_04.xlsx&amp;sheet=U0&amp;row=3603&amp;col=6&amp;number=4.9&amp;sourceID=14","4.9")</f>
        <v>4.9</v>
      </c>
      <c r="G3603" s="4" t="str">
        <f>HYPERLINK("http://141.218.60.56/~jnz1568/getInfo.php?workbook=12_04.xlsx&amp;sheet=U0&amp;row=3603&amp;col=7&amp;number=0.000479&amp;sourceID=14","0.000479")</f>
        <v>0.000479</v>
      </c>
    </row>
    <row r="3604" spans="1:7">
      <c r="A3604" s="3">
        <v>12</v>
      </c>
      <c r="B3604" s="3">
        <v>4</v>
      </c>
      <c r="C3604" s="3">
        <v>2</v>
      </c>
      <c r="D3604" s="3">
        <v>86</v>
      </c>
      <c r="E3604" s="3">
        <v>1</v>
      </c>
      <c r="F3604" s="4" t="str">
        <f>HYPERLINK("http://141.218.60.56/~jnz1568/getInfo.php?workbook=12_04.xlsx&amp;sheet=U0&amp;row=3604&amp;col=6&amp;number=3&amp;sourceID=14","3")</f>
        <v>3</v>
      </c>
      <c r="G3604" s="4" t="str">
        <f>HYPERLINK("http://141.218.60.56/~jnz1568/getInfo.php?workbook=12_04.xlsx&amp;sheet=U0&amp;row=3604&amp;col=7&amp;number=0.000136&amp;sourceID=14","0.000136")</f>
        <v>0.000136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HYPERLINK("http://141.218.60.56/~jnz1568/getInfo.php?workbook=12_04.xlsx&amp;sheet=U0&amp;row=3605&amp;col=6&amp;number=3.1&amp;sourceID=14","3.1")</f>
        <v>3.1</v>
      </c>
      <c r="G3605" s="4" t="str">
        <f>HYPERLINK("http://141.218.60.56/~jnz1568/getInfo.php?workbook=12_04.xlsx&amp;sheet=U0&amp;row=3605&amp;col=7&amp;number=0.000136&amp;sourceID=14","0.000136")</f>
        <v>0.000136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HYPERLINK("http://141.218.60.56/~jnz1568/getInfo.php?workbook=12_04.xlsx&amp;sheet=U0&amp;row=3606&amp;col=6&amp;number=3.2&amp;sourceID=14","3.2")</f>
        <v>3.2</v>
      </c>
      <c r="G3606" s="4" t="str">
        <f>HYPERLINK("http://141.218.60.56/~jnz1568/getInfo.php?workbook=12_04.xlsx&amp;sheet=U0&amp;row=3606&amp;col=7&amp;number=0.000136&amp;sourceID=14","0.000136")</f>
        <v>0.000136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HYPERLINK("http://141.218.60.56/~jnz1568/getInfo.php?workbook=12_04.xlsx&amp;sheet=U0&amp;row=3607&amp;col=6&amp;number=3.3&amp;sourceID=14","3.3")</f>
        <v>3.3</v>
      </c>
      <c r="G3607" s="4" t="str">
        <f>HYPERLINK("http://141.218.60.56/~jnz1568/getInfo.php?workbook=12_04.xlsx&amp;sheet=U0&amp;row=3607&amp;col=7&amp;number=0.000136&amp;sourceID=14","0.000136")</f>
        <v>0.000136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HYPERLINK("http://141.218.60.56/~jnz1568/getInfo.php?workbook=12_04.xlsx&amp;sheet=U0&amp;row=3608&amp;col=6&amp;number=3.4&amp;sourceID=14","3.4")</f>
        <v>3.4</v>
      </c>
      <c r="G3608" s="4" t="str">
        <f>HYPERLINK("http://141.218.60.56/~jnz1568/getInfo.php?workbook=12_04.xlsx&amp;sheet=U0&amp;row=3608&amp;col=7&amp;number=0.000136&amp;sourceID=14","0.000136")</f>
        <v>0.000136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HYPERLINK("http://141.218.60.56/~jnz1568/getInfo.php?workbook=12_04.xlsx&amp;sheet=U0&amp;row=3609&amp;col=6&amp;number=3.5&amp;sourceID=14","3.5")</f>
        <v>3.5</v>
      </c>
      <c r="G3609" s="4" t="str">
        <f>HYPERLINK("http://141.218.60.56/~jnz1568/getInfo.php?workbook=12_04.xlsx&amp;sheet=U0&amp;row=3609&amp;col=7&amp;number=0.000136&amp;sourceID=14","0.000136")</f>
        <v>0.000136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HYPERLINK("http://141.218.60.56/~jnz1568/getInfo.php?workbook=12_04.xlsx&amp;sheet=U0&amp;row=3610&amp;col=6&amp;number=3.6&amp;sourceID=14","3.6")</f>
        <v>3.6</v>
      </c>
      <c r="G3610" s="4" t="str">
        <f>HYPERLINK("http://141.218.60.56/~jnz1568/getInfo.php?workbook=12_04.xlsx&amp;sheet=U0&amp;row=3610&amp;col=7&amp;number=0.000135&amp;sourceID=14","0.000135")</f>
        <v>0.000135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HYPERLINK("http://141.218.60.56/~jnz1568/getInfo.php?workbook=12_04.xlsx&amp;sheet=U0&amp;row=3611&amp;col=6&amp;number=3.7&amp;sourceID=14","3.7")</f>
        <v>3.7</v>
      </c>
      <c r="G3611" s="4" t="str">
        <f>HYPERLINK("http://141.218.60.56/~jnz1568/getInfo.php?workbook=12_04.xlsx&amp;sheet=U0&amp;row=3611&amp;col=7&amp;number=0.000135&amp;sourceID=14","0.000135")</f>
        <v>0.000135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HYPERLINK("http://141.218.60.56/~jnz1568/getInfo.php?workbook=12_04.xlsx&amp;sheet=U0&amp;row=3612&amp;col=6&amp;number=3.8&amp;sourceID=14","3.8")</f>
        <v>3.8</v>
      </c>
      <c r="G3612" s="4" t="str">
        <f>HYPERLINK("http://141.218.60.56/~jnz1568/getInfo.php?workbook=12_04.xlsx&amp;sheet=U0&amp;row=3612&amp;col=7&amp;number=0.000135&amp;sourceID=14","0.000135")</f>
        <v>0.000135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HYPERLINK("http://141.218.60.56/~jnz1568/getInfo.php?workbook=12_04.xlsx&amp;sheet=U0&amp;row=3613&amp;col=6&amp;number=3.9&amp;sourceID=14","3.9")</f>
        <v>3.9</v>
      </c>
      <c r="G3613" s="4" t="str">
        <f>HYPERLINK("http://141.218.60.56/~jnz1568/getInfo.php?workbook=12_04.xlsx&amp;sheet=U0&amp;row=3613&amp;col=7&amp;number=0.000134&amp;sourceID=14","0.000134")</f>
        <v>0.000134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HYPERLINK("http://141.218.60.56/~jnz1568/getInfo.php?workbook=12_04.xlsx&amp;sheet=U0&amp;row=3614&amp;col=6&amp;number=4&amp;sourceID=14","4")</f>
        <v>4</v>
      </c>
      <c r="G3614" s="4" t="str">
        <f>HYPERLINK("http://141.218.60.56/~jnz1568/getInfo.php?workbook=12_04.xlsx&amp;sheet=U0&amp;row=3614&amp;col=7&amp;number=0.000133&amp;sourceID=14","0.000133")</f>
        <v>0.000133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HYPERLINK("http://141.218.60.56/~jnz1568/getInfo.php?workbook=12_04.xlsx&amp;sheet=U0&amp;row=3615&amp;col=6&amp;number=4.1&amp;sourceID=14","4.1")</f>
        <v>4.1</v>
      </c>
      <c r="G3615" s="4" t="str">
        <f>HYPERLINK("http://141.218.60.56/~jnz1568/getInfo.php?workbook=12_04.xlsx&amp;sheet=U0&amp;row=3615&amp;col=7&amp;number=0.000132&amp;sourceID=14","0.000132")</f>
        <v>0.000132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HYPERLINK("http://141.218.60.56/~jnz1568/getInfo.php?workbook=12_04.xlsx&amp;sheet=U0&amp;row=3616&amp;col=6&amp;number=4.2&amp;sourceID=14","4.2")</f>
        <v>4.2</v>
      </c>
      <c r="G3616" s="4" t="str">
        <f>HYPERLINK("http://141.218.60.56/~jnz1568/getInfo.php?workbook=12_04.xlsx&amp;sheet=U0&amp;row=3616&amp;col=7&amp;number=0.000131&amp;sourceID=14","0.000131")</f>
        <v>0.000131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HYPERLINK("http://141.218.60.56/~jnz1568/getInfo.php?workbook=12_04.xlsx&amp;sheet=U0&amp;row=3617&amp;col=6&amp;number=4.3&amp;sourceID=14","4.3")</f>
        <v>4.3</v>
      </c>
      <c r="G3617" s="4" t="str">
        <f>HYPERLINK("http://141.218.60.56/~jnz1568/getInfo.php?workbook=12_04.xlsx&amp;sheet=U0&amp;row=3617&amp;col=7&amp;number=0.00013&amp;sourceID=14","0.00013")</f>
        <v>0.00013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HYPERLINK("http://141.218.60.56/~jnz1568/getInfo.php?workbook=12_04.xlsx&amp;sheet=U0&amp;row=3618&amp;col=6&amp;number=4.4&amp;sourceID=14","4.4")</f>
        <v>4.4</v>
      </c>
      <c r="G3618" s="4" t="str">
        <f>HYPERLINK("http://141.218.60.56/~jnz1568/getInfo.php?workbook=12_04.xlsx&amp;sheet=U0&amp;row=3618&amp;col=7&amp;number=0.000128&amp;sourceID=14","0.000128")</f>
        <v>0.000128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HYPERLINK("http://141.218.60.56/~jnz1568/getInfo.php?workbook=12_04.xlsx&amp;sheet=U0&amp;row=3619&amp;col=6&amp;number=4.5&amp;sourceID=14","4.5")</f>
        <v>4.5</v>
      </c>
      <c r="G3619" s="4" t="str">
        <f>HYPERLINK("http://141.218.60.56/~jnz1568/getInfo.php?workbook=12_04.xlsx&amp;sheet=U0&amp;row=3619&amp;col=7&amp;number=0.000126&amp;sourceID=14","0.000126")</f>
        <v>0.000126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HYPERLINK("http://141.218.60.56/~jnz1568/getInfo.php?workbook=12_04.xlsx&amp;sheet=U0&amp;row=3620&amp;col=6&amp;number=4.6&amp;sourceID=14","4.6")</f>
        <v>4.6</v>
      </c>
      <c r="G3620" s="4" t="str">
        <f>HYPERLINK("http://141.218.60.56/~jnz1568/getInfo.php?workbook=12_04.xlsx&amp;sheet=U0&amp;row=3620&amp;col=7&amp;number=0.000124&amp;sourceID=14","0.000124")</f>
        <v>0.000124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HYPERLINK("http://141.218.60.56/~jnz1568/getInfo.php?workbook=12_04.xlsx&amp;sheet=U0&amp;row=3621&amp;col=6&amp;number=4.7&amp;sourceID=14","4.7")</f>
        <v>4.7</v>
      </c>
      <c r="G3621" s="4" t="str">
        <f>HYPERLINK("http://141.218.60.56/~jnz1568/getInfo.php?workbook=12_04.xlsx&amp;sheet=U0&amp;row=3621&amp;col=7&amp;number=0.00012&amp;sourceID=14","0.00012")</f>
        <v>0.00012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HYPERLINK("http://141.218.60.56/~jnz1568/getInfo.php?workbook=12_04.xlsx&amp;sheet=U0&amp;row=3622&amp;col=6&amp;number=4.8&amp;sourceID=14","4.8")</f>
        <v>4.8</v>
      </c>
      <c r="G3622" s="4" t="str">
        <f>HYPERLINK("http://141.218.60.56/~jnz1568/getInfo.php?workbook=12_04.xlsx&amp;sheet=U0&amp;row=3622&amp;col=7&amp;number=0.000117&amp;sourceID=14","0.000117")</f>
        <v>0.000117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HYPERLINK("http://141.218.60.56/~jnz1568/getInfo.php?workbook=12_04.xlsx&amp;sheet=U0&amp;row=3623&amp;col=6&amp;number=4.9&amp;sourceID=14","4.9")</f>
        <v>4.9</v>
      </c>
      <c r="G3623" s="4" t="str">
        <f>HYPERLINK("http://141.218.60.56/~jnz1568/getInfo.php?workbook=12_04.xlsx&amp;sheet=U0&amp;row=3623&amp;col=7&amp;number=0.000112&amp;sourceID=14","0.000112")</f>
        <v>0.000112</v>
      </c>
    </row>
    <row r="3624" spans="1:7">
      <c r="A3624" s="3">
        <v>12</v>
      </c>
      <c r="B3624" s="3">
        <v>4</v>
      </c>
      <c r="C3624" s="3">
        <v>2</v>
      </c>
      <c r="D3624" s="3">
        <v>87</v>
      </c>
      <c r="E3624" s="3">
        <v>1</v>
      </c>
      <c r="F3624" s="4" t="str">
        <f>HYPERLINK("http://141.218.60.56/~jnz1568/getInfo.php?workbook=12_04.xlsx&amp;sheet=U0&amp;row=3624&amp;col=6&amp;number=3&amp;sourceID=14","3")</f>
        <v>3</v>
      </c>
      <c r="G3624" s="4" t="str">
        <f>HYPERLINK("http://141.218.60.56/~jnz1568/getInfo.php?workbook=12_04.xlsx&amp;sheet=U0&amp;row=3624&amp;col=7&amp;number=4.83e-05&amp;sourceID=14","4.83e-05")</f>
        <v>4.83e-05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HYPERLINK("http://141.218.60.56/~jnz1568/getInfo.php?workbook=12_04.xlsx&amp;sheet=U0&amp;row=3625&amp;col=6&amp;number=3.1&amp;sourceID=14","3.1")</f>
        <v>3.1</v>
      </c>
      <c r="G3625" s="4" t="str">
        <f>HYPERLINK("http://141.218.60.56/~jnz1568/getInfo.php?workbook=12_04.xlsx&amp;sheet=U0&amp;row=3625&amp;col=7&amp;number=4.83e-05&amp;sourceID=14","4.83e-05")</f>
        <v>4.83e-05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HYPERLINK("http://141.218.60.56/~jnz1568/getInfo.php?workbook=12_04.xlsx&amp;sheet=U0&amp;row=3626&amp;col=6&amp;number=3.2&amp;sourceID=14","3.2")</f>
        <v>3.2</v>
      </c>
      <c r="G3626" s="4" t="str">
        <f>HYPERLINK("http://141.218.60.56/~jnz1568/getInfo.php?workbook=12_04.xlsx&amp;sheet=U0&amp;row=3626&amp;col=7&amp;number=4.83e-05&amp;sourceID=14","4.83e-05")</f>
        <v>4.83e-05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HYPERLINK("http://141.218.60.56/~jnz1568/getInfo.php?workbook=12_04.xlsx&amp;sheet=U0&amp;row=3627&amp;col=6&amp;number=3.3&amp;sourceID=14","3.3")</f>
        <v>3.3</v>
      </c>
      <c r="G3627" s="4" t="str">
        <f>HYPERLINK("http://141.218.60.56/~jnz1568/getInfo.php?workbook=12_04.xlsx&amp;sheet=U0&amp;row=3627&amp;col=7&amp;number=4.83e-05&amp;sourceID=14","4.83e-05")</f>
        <v>4.83e-05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HYPERLINK("http://141.218.60.56/~jnz1568/getInfo.php?workbook=12_04.xlsx&amp;sheet=U0&amp;row=3628&amp;col=6&amp;number=3.4&amp;sourceID=14","3.4")</f>
        <v>3.4</v>
      </c>
      <c r="G3628" s="4" t="str">
        <f>HYPERLINK("http://141.218.60.56/~jnz1568/getInfo.php?workbook=12_04.xlsx&amp;sheet=U0&amp;row=3628&amp;col=7&amp;number=4.83e-05&amp;sourceID=14","4.83e-05")</f>
        <v>4.83e-05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HYPERLINK("http://141.218.60.56/~jnz1568/getInfo.php?workbook=12_04.xlsx&amp;sheet=U0&amp;row=3629&amp;col=6&amp;number=3.5&amp;sourceID=14","3.5")</f>
        <v>3.5</v>
      </c>
      <c r="G3629" s="4" t="str">
        <f>HYPERLINK("http://141.218.60.56/~jnz1568/getInfo.php?workbook=12_04.xlsx&amp;sheet=U0&amp;row=3629&amp;col=7&amp;number=4.82e-05&amp;sourceID=14","4.82e-05")</f>
        <v>4.82e-05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HYPERLINK("http://141.218.60.56/~jnz1568/getInfo.php?workbook=12_04.xlsx&amp;sheet=U0&amp;row=3630&amp;col=6&amp;number=3.6&amp;sourceID=14","3.6")</f>
        <v>3.6</v>
      </c>
      <c r="G3630" s="4" t="str">
        <f>HYPERLINK("http://141.218.60.56/~jnz1568/getInfo.php?workbook=12_04.xlsx&amp;sheet=U0&amp;row=3630&amp;col=7&amp;number=4.82e-05&amp;sourceID=14","4.82e-05")</f>
        <v>4.82e-05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HYPERLINK("http://141.218.60.56/~jnz1568/getInfo.php?workbook=12_04.xlsx&amp;sheet=U0&amp;row=3631&amp;col=6&amp;number=3.7&amp;sourceID=14","3.7")</f>
        <v>3.7</v>
      </c>
      <c r="G3631" s="4" t="str">
        <f>HYPERLINK("http://141.218.60.56/~jnz1568/getInfo.php?workbook=12_04.xlsx&amp;sheet=U0&amp;row=3631&amp;col=7&amp;number=4.82e-05&amp;sourceID=14","4.82e-05")</f>
        <v>4.82e-05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HYPERLINK("http://141.218.60.56/~jnz1568/getInfo.php?workbook=12_04.xlsx&amp;sheet=U0&amp;row=3632&amp;col=6&amp;number=3.8&amp;sourceID=14","3.8")</f>
        <v>3.8</v>
      </c>
      <c r="G3632" s="4" t="str">
        <f>HYPERLINK("http://141.218.60.56/~jnz1568/getInfo.php?workbook=12_04.xlsx&amp;sheet=U0&amp;row=3632&amp;col=7&amp;number=4.82e-05&amp;sourceID=14","4.82e-05")</f>
        <v>4.82e-05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HYPERLINK("http://141.218.60.56/~jnz1568/getInfo.php?workbook=12_04.xlsx&amp;sheet=U0&amp;row=3633&amp;col=6&amp;number=3.9&amp;sourceID=14","3.9")</f>
        <v>3.9</v>
      </c>
      <c r="G3633" s="4" t="str">
        <f>HYPERLINK("http://141.218.60.56/~jnz1568/getInfo.php?workbook=12_04.xlsx&amp;sheet=U0&amp;row=3633&amp;col=7&amp;number=4.81e-05&amp;sourceID=14","4.81e-05")</f>
        <v>4.81e-05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HYPERLINK("http://141.218.60.56/~jnz1568/getInfo.php?workbook=12_04.xlsx&amp;sheet=U0&amp;row=3634&amp;col=6&amp;number=4&amp;sourceID=14","4")</f>
        <v>4</v>
      </c>
      <c r="G3634" s="4" t="str">
        <f>HYPERLINK("http://141.218.60.56/~jnz1568/getInfo.php?workbook=12_04.xlsx&amp;sheet=U0&amp;row=3634&amp;col=7&amp;number=4.81e-05&amp;sourceID=14","4.81e-05")</f>
        <v>4.81e-05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HYPERLINK("http://141.218.60.56/~jnz1568/getInfo.php?workbook=12_04.xlsx&amp;sheet=U0&amp;row=3635&amp;col=6&amp;number=4.1&amp;sourceID=14","4.1")</f>
        <v>4.1</v>
      </c>
      <c r="G3635" s="4" t="str">
        <f>HYPERLINK("http://141.218.60.56/~jnz1568/getInfo.php?workbook=12_04.xlsx&amp;sheet=U0&amp;row=3635&amp;col=7&amp;number=4.8e-05&amp;sourceID=14","4.8e-05")</f>
        <v>4.8e-05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HYPERLINK("http://141.218.60.56/~jnz1568/getInfo.php?workbook=12_04.xlsx&amp;sheet=U0&amp;row=3636&amp;col=6&amp;number=4.2&amp;sourceID=14","4.2")</f>
        <v>4.2</v>
      </c>
      <c r="G3636" s="4" t="str">
        <f>HYPERLINK("http://141.218.60.56/~jnz1568/getInfo.php?workbook=12_04.xlsx&amp;sheet=U0&amp;row=3636&amp;col=7&amp;number=4.79e-05&amp;sourceID=14","4.79e-05")</f>
        <v>4.79e-05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HYPERLINK("http://141.218.60.56/~jnz1568/getInfo.php?workbook=12_04.xlsx&amp;sheet=U0&amp;row=3637&amp;col=6&amp;number=4.3&amp;sourceID=14","4.3")</f>
        <v>4.3</v>
      </c>
      <c r="G3637" s="4" t="str">
        <f>HYPERLINK("http://141.218.60.56/~jnz1568/getInfo.php?workbook=12_04.xlsx&amp;sheet=U0&amp;row=3637&amp;col=7&amp;number=4.78e-05&amp;sourceID=14","4.78e-05")</f>
        <v>4.78e-05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HYPERLINK("http://141.218.60.56/~jnz1568/getInfo.php?workbook=12_04.xlsx&amp;sheet=U0&amp;row=3638&amp;col=6&amp;number=4.4&amp;sourceID=14","4.4")</f>
        <v>4.4</v>
      </c>
      <c r="G3638" s="4" t="str">
        <f>HYPERLINK("http://141.218.60.56/~jnz1568/getInfo.php?workbook=12_04.xlsx&amp;sheet=U0&amp;row=3638&amp;col=7&amp;number=4.76e-05&amp;sourceID=14","4.76e-05")</f>
        <v>4.76e-05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HYPERLINK("http://141.218.60.56/~jnz1568/getInfo.php?workbook=12_04.xlsx&amp;sheet=U0&amp;row=3639&amp;col=6&amp;number=4.5&amp;sourceID=14","4.5")</f>
        <v>4.5</v>
      </c>
      <c r="G3639" s="4" t="str">
        <f>HYPERLINK("http://141.218.60.56/~jnz1568/getInfo.php?workbook=12_04.xlsx&amp;sheet=U0&amp;row=3639&amp;col=7&amp;number=4.74e-05&amp;sourceID=14","4.74e-05")</f>
        <v>4.74e-05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HYPERLINK("http://141.218.60.56/~jnz1568/getInfo.php?workbook=12_04.xlsx&amp;sheet=U0&amp;row=3640&amp;col=6&amp;number=4.6&amp;sourceID=14","4.6")</f>
        <v>4.6</v>
      </c>
      <c r="G3640" s="4" t="str">
        <f>HYPERLINK("http://141.218.60.56/~jnz1568/getInfo.php?workbook=12_04.xlsx&amp;sheet=U0&amp;row=3640&amp;col=7&amp;number=4.72e-05&amp;sourceID=14","4.72e-05")</f>
        <v>4.72e-05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HYPERLINK("http://141.218.60.56/~jnz1568/getInfo.php?workbook=12_04.xlsx&amp;sheet=U0&amp;row=3641&amp;col=6&amp;number=4.7&amp;sourceID=14","4.7")</f>
        <v>4.7</v>
      </c>
      <c r="G3641" s="4" t="str">
        <f>HYPERLINK("http://141.218.60.56/~jnz1568/getInfo.php?workbook=12_04.xlsx&amp;sheet=U0&amp;row=3641&amp;col=7&amp;number=4.7e-05&amp;sourceID=14","4.7e-05")</f>
        <v>4.7e-05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HYPERLINK("http://141.218.60.56/~jnz1568/getInfo.php?workbook=12_04.xlsx&amp;sheet=U0&amp;row=3642&amp;col=6&amp;number=4.8&amp;sourceID=14","4.8")</f>
        <v>4.8</v>
      </c>
      <c r="G3642" s="4" t="str">
        <f>HYPERLINK("http://141.218.60.56/~jnz1568/getInfo.php?workbook=12_04.xlsx&amp;sheet=U0&amp;row=3642&amp;col=7&amp;number=4.67e-05&amp;sourceID=14","4.67e-05")</f>
        <v>4.67e-05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HYPERLINK("http://141.218.60.56/~jnz1568/getInfo.php?workbook=12_04.xlsx&amp;sheet=U0&amp;row=3643&amp;col=6&amp;number=4.9&amp;sourceID=14","4.9")</f>
        <v>4.9</v>
      </c>
      <c r="G3643" s="4" t="str">
        <f>HYPERLINK("http://141.218.60.56/~jnz1568/getInfo.php?workbook=12_04.xlsx&amp;sheet=U0&amp;row=3643&amp;col=7&amp;number=4.63e-05&amp;sourceID=14","4.63e-05")</f>
        <v>4.63e-05</v>
      </c>
    </row>
    <row r="3644" spans="1:7">
      <c r="A3644" s="3">
        <v>12</v>
      </c>
      <c r="B3644" s="3">
        <v>4</v>
      </c>
      <c r="C3644" s="3">
        <v>2</v>
      </c>
      <c r="D3644" s="3">
        <v>88</v>
      </c>
      <c r="E3644" s="3">
        <v>1</v>
      </c>
      <c r="F3644" s="4" t="str">
        <f>HYPERLINK("http://141.218.60.56/~jnz1568/getInfo.php?workbook=12_04.xlsx&amp;sheet=U0&amp;row=3644&amp;col=6&amp;number=3&amp;sourceID=14","3")</f>
        <v>3</v>
      </c>
      <c r="G3644" s="4" t="str">
        <f>HYPERLINK("http://141.218.60.56/~jnz1568/getInfo.php?workbook=12_04.xlsx&amp;sheet=U0&amp;row=3644&amp;col=7&amp;number=0.000347&amp;sourceID=14","0.000347")</f>
        <v>0.000347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HYPERLINK("http://141.218.60.56/~jnz1568/getInfo.php?workbook=12_04.xlsx&amp;sheet=U0&amp;row=3645&amp;col=6&amp;number=3.1&amp;sourceID=14","3.1")</f>
        <v>3.1</v>
      </c>
      <c r="G3645" s="4" t="str">
        <f>HYPERLINK("http://141.218.60.56/~jnz1568/getInfo.php?workbook=12_04.xlsx&amp;sheet=U0&amp;row=3645&amp;col=7&amp;number=0.000347&amp;sourceID=14","0.000347")</f>
        <v>0.000347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HYPERLINK("http://141.218.60.56/~jnz1568/getInfo.php?workbook=12_04.xlsx&amp;sheet=U0&amp;row=3646&amp;col=6&amp;number=3.2&amp;sourceID=14","3.2")</f>
        <v>3.2</v>
      </c>
      <c r="G3646" s="4" t="str">
        <f>HYPERLINK("http://141.218.60.56/~jnz1568/getInfo.php?workbook=12_04.xlsx&amp;sheet=U0&amp;row=3646&amp;col=7&amp;number=0.000347&amp;sourceID=14","0.000347")</f>
        <v>0.000347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HYPERLINK("http://141.218.60.56/~jnz1568/getInfo.php?workbook=12_04.xlsx&amp;sheet=U0&amp;row=3647&amp;col=6&amp;number=3.3&amp;sourceID=14","3.3")</f>
        <v>3.3</v>
      </c>
      <c r="G3647" s="4" t="str">
        <f>HYPERLINK("http://141.218.60.56/~jnz1568/getInfo.php?workbook=12_04.xlsx&amp;sheet=U0&amp;row=3647&amp;col=7&amp;number=0.000347&amp;sourceID=14","0.000347")</f>
        <v>0.000347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HYPERLINK("http://141.218.60.56/~jnz1568/getInfo.php?workbook=12_04.xlsx&amp;sheet=U0&amp;row=3648&amp;col=6&amp;number=3.4&amp;sourceID=14","3.4")</f>
        <v>3.4</v>
      </c>
      <c r="G3648" s="4" t="str">
        <f>HYPERLINK("http://141.218.60.56/~jnz1568/getInfo.php?workbook=12_04.xlsx&amp;sheet=U0&amp;row=3648&amp;col=7&amp;number=0.000347&amp;sourceID=14","0.000347")</f>
        <v>0.000347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HYPERLINK("http://141.218.60.56/~jnz1568/getInfo.php?workbook=12_04.xlsx&amp;sheet=U0&amp;row=3649&amp;col=6&amp;number=3.5&amp;sourceID=14","3.5")</f>
        <v>3.5</v>
      </c>
      <c r="G3649" s="4" t="str">
        <f>HYPERLINK("http://141.218.60.56/~jnz1568/getInfo.php?workbook=12_04.xlsx&amp;sheet=U0&amp;row=3649&amp;col=7&amp;number=0.000347&amp;sourceID=14","0.000347")</f>
        <v>0.000347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HYPERLINK("http://141.218.60.56/~jnz1568/getInfo.php?workbook=12_04.xlsx&amp;sheet=U0&amp;row=3650&amp;col=6&amp;number=3.6&amp;sourceID=14","3.6")</f>
        <v>3.6</v>
      </c>
      <c r="G3650" s="4" t="str">
        <f>HYPERLINK("http://141.218.60.56/~jnz1568/getInfo.php?workbook=12_04.xlsx&amp;sheet=U0&amp;row=3650&amp;col=7&amp;number=0.000347&amp;sourceID=14","0.000347")</f>
        <v>0.000347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HYPERLINK("http://141.218.60.56/~jnz1568/getInfo.php?workbook=12_04.xlsx&amp;sheet=U0&amp;row=3651&amp;col=6&amp;number=3.7&amp;sourceID=14","3.7")</f>
        <v>3.7</v>
      </c>
      <c r="G3651" s="4" t="str">
        <f>HYPERLINK("http://141.218.60.56/~jnz1568/getInfo.php?workbook=12_04.xlsx&amp;sheet=U0&amp;row=3651&amp;col=7&amp;number=0.000347&amp;sourceID=14","0.000347")</f>
        <v>0.000347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HYPERLINK("http://141.218.60.56/~jnz1568/getInfo.php?workbook=12_04.xlsx&amp;sheet=U0&amp;row=3652&amp;col=6&amp;number=3.8&amp;sourceID=14","3.8")</f>
        <v>3.8</v>
      </c>
      <c r="G3652" s="4" t="str">
        <f>HYPERLINK("http://141.218.60.56/~jnz1568/getInfo.php?workbook=12_04.xlsx&amp;sheet=U0&amp;row=3652&amp;col=7&amp;number=0.000347&amp;sourceID=14","0.000347")</f>
        <v>0.000347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HYPERLINK("http://141.218.60.56/~jnz1568/getInfo.php?workbook=12_04.xlsx&amp;sheet=U0&amp;row=3653&amp;col=6&amp;number=3.9&amp;sourceID=14","3.9")</f>
        <v>3.9</v>
      </c>
      <c r="G3653" s="4" t="str">
        <f>HYPERLINK("http://141.218.60.56/~jnz1568/getInfo.php?workbook=12_04.xlsx&amp;sheet=U0&amp;row=3653&amp;col=7&amp;number=0.000347&amp;sourceID=14","0.000347")</f>
        <v>0.000347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HYPERLINK("http://141.218.60.56/~jnz1568/getInfo.php?workbook=12_04.xlsx&amp;sheet=U0&amp;row=3654&amp;col=6&amp;number=4&amp;sourceID=14","4")</f>
        <v>4</v>
      </c>
      <c r="G3654" s="4" t="str">
        <f>HYPERLINK("http://141.218.60.56/~jnz1568/getInfo.php?workbook=12_04.xlsx&amp;sheet=U0&amp;row=3654&amp;col=7&amp;number=0.000346&amp;sourceID=14","0.000346")</f>
        <v>0.000346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HYPERLINK("http://141.218.60.56/~jnz1568/getInfo.php?workbook=12_04.xlsx&amp;sheet=U0&amp;row=3655&amp;col=6&amp;number=4.1&amp;sourceID=14","4.1")</f>
        <v>4.1</v>
      </c>
      <c r="G3655" s="4" t="str">
        <f>HYPERLINK("http://141.218.60.56/~jnz1568/getInfo.php?workbook=12_04.xlsx&amp;sheet=U0&amp;row=3655&amp;col=7&amp;number=0.000346&amp;sourceID=14","0.000346")</f>
        <v>0.000346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HYPERLINK("http://141.218.60.56/~jnz1568/getInfo.php?workbook=12_04.xlsx&amp;sheet=U0&amp;row=3656&amp;col=6&amp;number=4.2&amp;sourceID=14","4.2")</f>
        <v>4.2</v>
      </c>
      <c r="G3656" s="4" t="str">
        <f>HYPERLINK("http://141.218.60.56/~jnz1568/getInfo.php?workbook=12_04.xlsx&amp;sheet=U0&amp;row=3656&amp;col=7&amp;number=0.000345&amp;sourceID=14","0.000345")</f>
        <v>0.000345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HYPERLINK("http://141.218.60.56/~jnz1568/getInfo.php?workbook=12_04.xlsx&amp;sheet=U0&amp;row=3657&amp;col=6&amp;number=4.3&amp;sourceID=14","4.3")</f>
        <v>4.3</v>
      </c>
      <c r="G3657" s="4" t="str">
        <f>HYPERLINK("http://141.218.60.56/~jnz1568/getInfo.php?workbook=12_04.xlsx&amp;sheet=U0&amp;row=3657&amp;col=7&amp;number=0.000345&amp;sourceID=14","0.000345")</f>
        <v>0.000345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HYPERLINK("http://141.218.60.56/~jnz1568/getInfo.php?workbook=12_04.xlsx&amp;sheet=U0&amp;row=3658&amp;col=6&amp;number=4.4&amp;sourceID=14","4.4")</f>
        <v>4.4</v>
      </c>
      <c r="G3658" s="4" t="str">
        <f>HYPERLINK("http://141.218.60.56/~jnz1568/getInfo.php?workbook=12_04.xlsx&amp;sheet=U0&amp;row=3658&amp;col=7&amp;number=0.000344&amp;sourceID=14","0.000344")</f>
        <v>0.000344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HYPERLINK("http://141.218.60.56/~jnz1568/getInfo.php?workbook=12_04.xlsx&amp;sheet=U0&amp;row=3659&amp;col=6&amp;number=4.5&amp;sourceID=14","4.5")</f>
        <v>4.5</v>
      </c>
      <c r="G3659" s="4" t="str">
        <f>HYPERLINK("http://141.218.60.56/~jnz1568/getInfo.php?workbook=12_04.xlsx&amp;sheet=U0&amp;row=3659&amp;col=7&amp;number=0.000343&amp;sourceID=14","0.000343")</f>
        <v>0.000343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HYPERLINK("http://141.218.60.56/~jnz1568/getInfo.php?workbook=12_04.xlsx&amp;sheet=U0&amp;row=3660&amp;col=6&amp;number=4.6&amp;sourceID=14","4.6")</f>
        <v>4.6</v>
      </c>
      <c r="G3660" s="4" t="str">
        <f>HYPERLINK("http://141.218.60.56/~jnz1568/getInfo.php?workbook=12_04.xlsx&amp;sheet=U0&amp;row=3660&amp;col=7&amp;number=0.000342&amp;sourceID=14","0.000342")</f>
        <v>0.000342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HYPERLINK("http://141.218.60.56/~jnz1568/getInfo.php?workbook=12_04.xlsx&amp;sheet=U0&amp;row=3661&amp;col=6&amp;number=4.7&amp;sourceID=14","4.7")</f>
        <v>4.7</v>
      </c>
      <c r="G3661" s="4" t="str">
        <f>HYPERLINK("http://141.218.60.56/~jnz1568/getInfo.php?workbook=12_04.xlsx&amp;sheet=U0&amp;row=3661&amp;col=7&amp;number=0.000341&amp;sourceID=14","0.000341")</f>
        <v>0.000341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HYPERLINK("http://141.218.60.56/~jnz1568/getInfo.php?workbook=12_04.xlsx&amp;sheet=U0&amp;row=3662&amp;col=6&amp;number=4.8&amp;sourceID=14","4.8")</f>
        <v>4.8</v>
      </c>
      <c r="G3662" s="4" t="str">
        <f>HYPERLINK("http://141.218.60.56/~jnz1568/getInfo.php?workbook=12_04.xlsx&amp;sheet=U0&amp;row=3662&amp;col=7&amp;number=0.00034&amp;sourceID=14","0.00034")</f>
        <v>0.00034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HYPERLINK("http://141.218.60.56/~jnz1568/getInfo.php?workbook=12_04.xlsx&amp;sheet=U0&amp;row=3663&amp;col=6&amp;number=4.9&amp;sourceID=14","4.9")</f>
        <v>4.9</v>
      </c>
      <c r="G3663" s="4" t="str">
        <f>HYPERLINK("http://141.218.60.56/~jnz1568/getInfo.php?workbook=12_04.xlsx&amp;sheet=U0&amp;row=3663&amp;col=7&amp;number=0.000338&amp;sourceID=14","0.000338")</f>
        <v>0.000338</v>
      </c>
    </row>
    <row r="3664" spans="1:7">
      <c r="A3664" s="3">
        <v>12</v>
      </c>
      <c r="B3664" s="3">
        <v>4</v>
      </c>
      <c r="C3664" s="3">
        <v>2</v>
      </c>
      <c r="D3664" s="3">
        <v>89</v>
      </c>
      <c r="E3664" s="3">
        <v>1</v>
      </c>
      <c r="F3664" s="4" t="str">
        <f>HYPERLINK("http://141.218.60.56/~jnz1568/getInfo.php?workbook=12_04.xlsx&amp;sheet=U0&amp;row=3664&amp;col=6&amp;number=3&amp;sourceID=14","3")</f>
        <v>3</v>
      </c>
      <c r="G3664" s="4" t="str">
        <f>HYPERLINK("http://141.218.60.56/~jnz1568/getInfo.php?workbook=12_04.xlsx&amp;sheet=U0&amp;row=3664&amp;col=7&amp;number=0.000343&amp;sourceID=14","0.000343")</f>
        <v>0.000343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HYPERLINK("http://141.218.60.56/~jnz1568/getInfo.php?workbook=12_04.xlsx&amp;sheet=U0&amp;row=3665&amp;col=6&amp;number=3.1&amp;sourceID=14","3.1")</f>
        <v>3.1</v>
      </c>
      <c r="G3665" s="4" t="str">
        <f>HYPERLINK("http://141.218.60.56/~jnz1568/getInfo.php?workbook=12_04.xlsx&amp;sheet=U0&amp;row=3665&amp;col=7&amp;number=0.000343&amp;sourceID=14","0.000343")</f>
        <v>0.000343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HYPERLINK("http://141.218.60.56/~jnz1568/getInfo.php?workbook=12_04.xlsx&amp;sheet=U0&amp;row=3666&amp;col=6&amp;number=3.2&amp;sourceID=14","3.2")</f>
        <v>3.2</v>
      </c>
      <c r="G3666" s="4" t="str">
        <f>HYPERLINK("http://141.218.60.56/~jnz1568/getInfo.php?workbook=12_04.xlsx&amp;sheet=U0&amp;row=3666&amp;col=7&amp;number=0.000342&amp;sourceID=14","0.000342")</f>
        <v>0.000342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HYPERLINK("http://141.218.60.56/~jnz1568/getInfo.php?workbook=12_04.xlsx&amp;sheet=U0&amp;row=3667&amp;col=6&amp;number=3.3&amp;sourceID=14","3.3")</f>
        <v>3.3</v>
      </c>
      <c r="G3667" s="4" t="str">
        <f>HYPERLINK("http://141.218.60.56/~jnz1568/getInfo.php?workbook=12_04.xlsx&amp;sheet=U0&amp;row=3667&amp;col=7&amp;number=0.000342&amp;sourceID=14","0.000342")</f>
        <v>0.000342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HYPERLINK("http://141.218.60.56/~jnz1568/getInfo.php?workbook=12_04.xlsx&amp;sheet=U0&amp;row=3668&amp;col=6&amp;number=3.4&amp;sourceID=14","3.4")</f>
        <v>3.4</v>
      </c>
      <c r="G3668" s="4" t="str">
        <f>HYPERLINK("http://141.218.60.56/~jnz1568/getInfo.php?workbook=12_04.xlsx&amp;sheet=U0&amp;row=3668&amp;col=7&amp;number=0.000342&amp;sourceID=14","0.000342")</f>
        <v>0.000342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HYPERLINK("http://141.218.60.56/~jnz1568/getInfo.php?workbook=12_04.xlsx&amp;sheet=U0&amp;row=3669&amp;col=6&amp;number=3.5&amp;sourceID=14","3.5")</f>
        <v>3.5</v>
      </c>
      <c r="G3669" s="4" t="str">
        <f>HYPERLINK("http://141.218.60.56/~jnz1568/getInfo.php?workbook=12_04.xlsx&amp;sheet=U0&amp;row=3669&amp;col=7&amp;number=0.000342&amp;sourceID=14","0.000342")</f>
        <v>0.000342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HYPERLINK("http://141.218.60.56/~jnz1568/getInfo.php?workbook=12_04.xlsx&amp;sheet=U0&amp;row=3670&amp;col=6&amp;number=3.6&amp;sourceID=14","3.6")</f>
        <v>3.6</v>
      </c>
      <c r="G3670" s="4" t="str">
        <f>HYPERLINK("http://141.218.60.56/~jnz1568/getInfo.php?workbook=12_04.xlsx&amp;sheet=U0&amp;row=3670&amp;col=7&amp;number=0.000341&amp;sourceID=14","0.000341")</f>
        <v>0.000341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HYPERLINK("http://141.218.60.56/~jnz1568/getInfo.php?workbook=12_04.xlsx&amp;sheet=U0&amp;row=3671&amp;col=6&amp;number=3.7&amp;sourceID=14","3.7")</f>
        <v>3.7</v>
      </c>
      <c r="G3671" s="4" t="str">
        <f>HYPERLINK("http://141.218.60.56/~jnz1568/getInfo.php?workbook=12_04.xlsx&amp;sheet=U0&amp;row=3671&amp;col=7&amp;number=0.000341&amp;sourceID=14","0.000341")</f>
        <v>0.000341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HYPERLINK("http://141.218.60.56/~jnz1568/getInfo.php?workbook=12_04.xlsx&amp;sheet=U0&amp;row=3672&amp;col=6&amp;number=3.8&amp;sourceID=14","3.8")</f>
        <v>3.8</v>
      </c>
      <c r="G3672" s="4" t="str">
        <f>HYPERLINK("http://141.218.60.56/~jnz1568/getInfo.php?workbook=12_04.xlsx&amp;sheet=U0&amp;row=3672&amp;col=7&amp;number=0.00034&amp;sourceID=14","0.00034")</f>
        <v>0.00034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HYPERLINK("http://141.218.60.56/~jnz1568/getInfo.php?workbook=12_04.xlsx&amp;sheet=U0&amp;row=3673&amp;col=6&amp;number=3.9&amp;sourceID=14","3.9")</f>
        <v>3.9</v>
      </c>
      <c r="G3673" s="4" t="str">
        <f>HYPERLINK("http://141.218.60.56/~jnz1568/getInfo.php?workbook=12_04.xlsx&amp;sheet=U0&amp;row=3673&amp;col=7&amp;number=0.00034&amp;sourceID=14","0.00034")</f>
        <v>0.00034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HYPERLINK("http://141.218.60.56/~jnz1568/getInfo.php?workbook=12_04.xlsx&amp;sheet=U0&amp;row=3674&amp;col=6&amp;number=4&amp;sourceID=14","4")</f>
        <v>4</v>
      </c>
      <c r="G3674" s="4" t="str">
        <f>HYPERLINK("http://141.218.60.56/~jnz1568/getInfo.php?workbook=12_04.xlsx&amp;sheet=U0&amp;row=3674&amp;col=7&amp;number=0.000339&amp;sourceID=14","0.000339")</f>
        <v>0.000339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HYPERLINK("http://141.218.60.56/~jnz1568/getInfo.php?workbook=12_04.xlsx&amp;sheet=U0&amp;row=3675&amp;col=6&amp;number=4.1&amp;sourceID=14","4.1")</f>
        <v>4.1</v>
      </c>
      <c r="G3675" s="4" t="str">
        <f>HYPERLINK("http://141.218.60.56/~jnz1568/getInfo.php?workbook=12_04.xlsx&amp;sheet=U0&amp;row=3675&amp;col=7&amp;number=0.000337&amp;sourceID=14","0.000337")</f>
        <v>0.000337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HYPERLINK("http://141.218.60.56/~jnz1568/getInfo.php?workbook=12_04.xlsx&amp;sheet=U0&amp;row=3676&amp;col=6&amp;number=4.2&amp;sourceID=14","4.2")</f>
        <v>4.2</v>
      </c>
      <c r="G3676" s="4" t="str">
        <f>HYPERLINK("http://141.218.60.56/~jnz1568/getInfo.php?workbook=12_04.xlsx&amp;sheet=U0&amp;row=3676&amp;col=7&amp;number=0.000336&amp;sourceID=14","0.000336")</f>
        <v>0.000336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HYPERLINK("http://141.218.60.56/~jnz1568/getInfo.php?workbook=12_04.xlsx&amp;sheet=U0&amp;row=3677&amp;col=6&amp;number=4.3&amp;sourceID=14","4.3")</f>
        <v>4.3</v>
      </c>
      <c r="G3677" s="4" t="str">
        <f>HYPERLINK("http://141.218.60.56/~jnz1568/getInfo.php?workbook=12_04.xlsx&amp;sheet=U0&amp;row=3677&amp;col=7&amp;number=0.000334&amp;sourceID=14","0.000334")</f>
        <v>0.000334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HYPERLINK("http://141.218.60.56/~jnz1568/getInfo.php?workbook=12_04.xlsx&amp;sheet=U0&amp;row=3678&amp;col=6&amp;number=4.4&amp;sourceID=14","4.4")</f>
        <v>4.4</v>
      </c>
      <c r="G3678" s="4" t="str">
        <f>HYPERLINK("http://141.218.60.56/~jnz1568/getInfo.php?workbook=12_04.xlsx&amp;sheet=U0&amp;row=3678&amp;col=7&amp;number=0.000332&amp;sourceID=14","0.000332")</f>
        <v>0.000332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HYPERLINK("http://141.218.60.56/~jnz1568/getInfo.php?workbook=12_04.xlsx&amp;sheet=U0&amp;row=3679&amp;col=6&amp;number=4.5&amp;sourceID=14","4.5")</f>
        <v>4.5</v>
      </c>
      <c r="G3679" s="4" t="str">
        <f>HYPERLINK("http://141.218.60.56/~jnz1568/getInfo.php?workbook=12_04.xlsx&amp;sheet=U0&amp;row=3679&amp;col=7&amp;number=0.000329&amp;sourceID=14","0.000329")</f>
        <v>0.000329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HYPERLINK("http://141.218.60.56/~jnz1568/getInfo.php?workbook=12_04.xlsx&amp;sheet=U0&amp;row=3680&amp;col=6&amp;number=4.6&amp;sourceID=14","4.6")</f>
        <v>4.6</v>
      </c>
      <c r="G3680" s="4" t="str">
        <f>HYPERLINK("http://141.218.60.56/~jnz1568/getInfo.php?workbook=12_04.xlsx&amp;sheet=U0&amp;row=3680&amp;col=7&amp;number=0.000326&amp;sourceID=14","0.000326")</f>
        <v>0.000326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HYPERLINK("http://141.218.60.56/~jnz1568/getInfo.php?workbook=12_04.xlsx&amp;sheet=U0&amp;row=3681&amp;col=6&amp;number=4.7&amp;sourceID=14","4.7")</f>
        <v>4.7</v>
      </c>
      <c r="G3681" s="4" t="str">
        <f>HYPERLINK("http://141.218.60.56/~jnz1568/getInfo.php?workbook=12_04.xlsx&amp;sheet=U0&amp;row=3681&amp;col=7&amp;number=0.000321&amp;sourceID=14","0.000321")</f>
        <v>0.000321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HYPERLINK("http://141.218.60.56/~jnz1568/getInfo.php?workbook=12_04.xlsx&amp;sheet=U0&amp;row=3682&amp;col=6&amp;number=4.8&amp;sourceID=14","4.8")</f>
        <v>4.8</v>
      </c>
      <c r="G3682" s="4" t="str">
        <f>HYPERLINK("http://141.218.60.56/~jnz1568/getInfo.php?workbook=12_04.xlsx&amp;sheet=U0&amp;row=3682&amp;col=7&amp;number=0.000316&amp;sourceID=14","0.000316")</f>
        <v>0.000316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HYPERLINK("http://141.218.60.56/~jnz1568/getInfo.php?workbook=12_04.xlsx&amp;sheet=U0&amp;row=3683&amp;col=6&amp;number=4.9&amp;sourceID=14","4.9")</f>
        <v>4.9</v>
      </c>
      <c r="G3683" s="4" t="str">
        <f>HYPERLINK("http://141.218.60.56/~jnz1568/getInfo.php?workbook=12_04.xlsx&amp;sheet=U0&amp;row=3683&amp;col=7&amp;number=0.00031&amp;sourceID=14","0.00031")</f>
        <v>0.00031</v>
      </c>
    </row>
    <row r="3684" spans="1:7">
      <c r="A3684" s="3">
        <v>12</v>
      </c>
      <c r="B3684" s="3">
        <v>4</v>
      </c>
      <c r="C3684" s="3">
        <v>2</v>
      </c>
      <c r="D3684" s="3">
        <v>90</v>
      </c>
      <c r="E3684" s="3">
        <v>1</v>
      </c>
      <c r="F3684" s="4" t="str">
        <f>HYPERLINK("http://141.218.60.56/~jnz1568/getInfo.php?workbook=12_04.xlsx&amp;sheet=U0&amp;row=3684&amp;col=6&amp;number=3&amp;sourceID=14","3")</f>
        <v>3</v>
      </c>
      <c r="G3684" s="4" t="str">
        <f>HYPERLINK("http://141.218.60.56/~jnz1568/getInfo.php?workbook=12_04.xlsx&amp;sheet=U0&amp;row=3684&amp;col=7&amp;number=1.87e-05&amp;sourceID=14","1.87e-05")</f>
        <v>1.87e-05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HYPERLINK("http://141.218.60.56/~jnz1568/getInfo.php?workbook=12_04.xlsx&amp;sheet=U0&amp;row=3685&amp;col=6&amp;number=3.1&amp;sourceID=14","3.1")</f>
        <v>3.1</v>
      </c>
      <c r="G3685" s="4" t="str">
        <f>HYPERLINK("http://141.218.60.56/~jnz1568/getInfo.php?workbook=12_04.xlsx&amp;sheet=U0&amp;row=3685&amp;col=7&amp;number=1.87e-05&amp;sourceID=14","1.87e-05")</f>
        <v>1.87e-05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HYPERLINK("http://141.218.60.56/~jnz1568/getInfo.php?workbook=12_04.xlsx&amp;sheet=U0&amp;row=3686&amp;col=6&amp;number=3.2&amp;sourceID=14","3.2")</f>
        <v>3.2</v>
      </c>
      <c r="G3686" s="4" t="str">
        <f>HYPERLINK("http://141.218.60.56/~jnz1568/getInfo.php?workbook=12_04.xlsx&amp;sheet=U0&amp;row=3686&amp;col=7&amp;number=1.86e-05&amp;sourceID=14","1.86e-05")</f>
        <v>1.86e-05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HYPERLINK("http://141.218.60.56/~jnz1568/getInfo.php?workbook=12_04.xlsx&amp;sheet=U0&amp;row=3687&amp;col=6&amp;number=3.3&amp;sourceID=14","3.3")</f>
        <v>3.3</v>
      </c>
      <c r="G3687" s="4" t="str">
        <f>HYPERLINK("http://141.218.60.56/~jnz1568/getInfo.php?workbook=12_04.xlsx&amp;sheet=U0&amp;row=3687&amp;col=7&amp;number=1.86e-05&amp;sourceID=14","1.86e-05")</f>
        <v>1.86e-05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HYPERLINK("http://141.218.60.56/~jnz1568/getInfo.php?workbook=12_04.xlsx&amp;sheet=U0&amp;row=3688&amp;col=6&amp;number=3.4&amp;sourceID=14","3.4")</f>
        <v>3.4</v>
      </c>
      <c r="G3688" s="4" t="str">
        <f>HYPERLINK("http://141.218.60.56/~jnz1568/getInfo.php?workbook=12_04.xlsx&amp;sheet=U0&amp;row=3688&amp;col=7&amp;number=1.85e-05&amp;sourceID=14","1.85e-05")</f>
        <v>1.85e-05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HYPERLINK("http://141.218.60.56/~jnz1568/getInfo.php?workbook=12_04.xlsx&amp;sheet=U0&amp;row=3689&amp;col=6&amp;number=3.5&amp;sourceID=14","3.5")</f>
        <v>3.5</v>
      </c>
      <c r="G3689" s="4" t="str">
        <f>HYPERLINK("http://141.218.60.56/~jnz1568/getInfo.php?workbook=12_04.xlsx&amp;sheet=U0&amp;row=3689&amp;col=7&amp;number=1.84e-05&amp;sourceID=14","1.84e-05")</f>
        <v>1.84e-05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HYPERLINK("http://141.218.60.56/~jnz1568/getInfo.php?workbook=12_04.xlsx&amp;sheet=U0&amp;row=3690&amp;col=6&amp;number=3.6&amp;sourceID=14","3.6")</f>
        <v>3.6</v>
      </c>
      <c r="G3690" s="4" t="str">
        <f>HYPERLINK("http://141.218.60.56/~jnz1568/getInfo.php?workbook=12_04.xlsx&amp;sheet=U0&amp;row=3690&amp;col=7&amp;number=1.83e-05&amp;sourceID=14","1.83e-05")</f>
        <v>1.83e-05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HYPERLINK("http://141.218.60.56/~jnz1568/getInfo.php?workbook=12_04.xlsx&amp;sheet=U0&amp;row=3691&amp;col=6&amp;number=3.7&amp;sourceID=14","3.7")</f>
        <v>3.7</v>
      </c>
      <c r="G3691" s="4" t="str">
        <f>HYPERLINK("http://141.218.60.56/~jnz1568/getInfo.php?workbook=12_04.xlsx&amp;sheet=U0&amp;row=3691&amp;col=7&amp;number=1.82e-05&amp;sourceID=14","1.82e-05")</f>
        <v>1.82e-05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HYPERLINK("http://141.218.60.56/~jnz1568/getInfo.php?workbook=12_04.xlsx&amp;sheet=U0&amp;row=3692&amp;col=6&amp;number=3.8&amp;sourceID=14","3.8")</f>
        <v>3.8</v>
      </c>
      <c r="G3692" s="4" t="str">
        <f>HYPERLINK("http://141.218.60.56/~jnz1568/getInfo.php?workbook=12_04.xlsx&amp;sheet=U0&amp;row=3692&amp;col=7&amp;number=1.81e-05&amp;sourceID=14","1.81e-05")</f>
        <v>1.81e-05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HYPERLINK("http://141.218.60.56/~jnz1568/getInfo.php?workbook=12_04.xlsx&amp;sheet=U0&amp;row=3693&amp;col=6&amp;number=3.9&amp;sourceID=14","3.9")</f>
        <v>3.9</v>
      </c>
      <c r="G3693" s="4" t="str">
        <f>HYPERLINK("http://141.218.60.56/~jnz1568/getInfo.php?workbook=12_04.xlsx&amp;sheet=U0&amp;row=3693&amp;col=7&amp;number=1.79e-05&amp;sourceID=14","1.79e-05")</f>
        <v>1.79e-05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HYPERLINK("http://141.218.60.56/~jnz1568/getInfo.php?workbook=12_04.xlsx&amp;sheet=U0&amp;row=3694&amp;col=6&amp;number=4&amp;sourceID=14","4")</f>
        <v>4</v>
      </c>
      <c r="G3694" s="4" t="str">
        <f>HYPERLINK("http://141.218.60.56/~jnz1568/getInfo.php?workbook=12_04.xlsx&amp;sheet=U0&amp;row=3694&amp;col=7&amp;number=1.76e-05&amp;sourceID=14","1.76e-05")</f>
        <v>1.76e-05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HYPERLINK("http://141.218.60.56/~jnz1568/getInfo.php?workbook=12_04.xlsx&amp;sheet=U0&amp;row=3695&amp;col=6&amp;number=4.1&amp;sourceID=14","4.1")</f>
        <v>4.1</v>
      </c>
      <c r="G3695" s="4" t="str">
        <f>HYPERLINK("http://141.218.60.56/~jnz1568/getInfo.php?workbook=12_04.xlsx&amp;sheet=U0&amp;row=3695&amp;col=7&amp;number=1.73e-05&amp;sourceID=14","1.73e-05")</f>
        <v>1.73e-05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HYPERLINK("http://141.218.60.56/~jnz1568/getInfo.php?workbook=12_04.xlsx&amp;sheet=U0&amp;row=3696&amp;col=6&amp;number=4.2&amp;sourceID=14","4.2")</f>
        <v>4.2</v>
      </c>
      <c r="G3696" s="4" t="str">
        <f>HYPERLINK("http://141.218.60.56/~jnz1568/getInfo.php?workbook=12_04.xlsx&amp;sheet=U0&amp;row=3696&amp;col=7&amp;number=1.69e-05&amp;sourceID=14","1.69e-05")</f>
        <v>1.69e-05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HYPERLINK("http://141.218.60.56/~jnz1568/getInfo.php?workbook=12_04.xlsx&amp;sheet=U0&amp;row=3697&amp;col=6&amp;number=4.3&amp;sourceID=14","4.3")</f>
        <v>4.3</v>
      </c>
      <c r="G3697" s="4" t="str">
        <f>HYPERLINK("http://141.218.60.56/~jnz1568/getInfo.php?workbook=12_04.xlsx&amp;sheet=U0&amp;row=3697&amp;col=7&amp;number=1.64e-05&amp;sourceID=14","1.64e-05")</f>
        <v>1.64e-05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HYPERLINK("http://141.218.60.56/~jnz1568/getInfo.php?workbook=12_04.xlsx&amp;sheet=U0&amp;row=3698&amp;col=6&amp;number=4.4&amp;sourceID=14","4.4")</f>
        <v>4.4</v>
      </c>
      <c r="G3698" s="4" t="str">
        <f>HYPERLINK("http://141.218.60.56/~jnz1568/getInfo.php?workbook=12_04.xlsx&amp;sheet=U0&amp;row=3698&amp;col=7&amp;number=1.58e-05&amp;sourceID=14","1.58e-05")</f>
        <v>1.58e-05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HYPERLINK("http://141.218.60.56/~jnz1568/getInfo.php?workbook=12_04.xlsx&amp;sheet=U0&amp;row=3699&amp;col=6&amp;number=4.5&amp;sourceID=14","4.5")</f>
        <v>4.5</v>
      </c>
      <c r="G3699" s="4" t="str">
        <f>HYPERLINK("http://141.218.60.56/~jnz1568/getInfo.php?workbook=12_04.xlsx&amp;sheet=U0&amp;row=3699&amp;col=7&amp;number=1.51e-05&amp;sourceID=14","1.51e-05")</f>
        <v>1.51e-05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HYPERLINK("http://141.218.60.56/~jnz1568/getInfo.php?workbook=12_04.xlsx&amp;sheet=U0&amp;row=3700&amp;col=6&amp;number=4.6&amp;sourceID=14","4.6")</f>
        <v>4.6</v>
      </c>
      <c r="G3700" s="4" t="str">
        <f>HYPERLINK("http://141.218.60.56/~jnz1568/getInfo.php?workbook=12_04.xlsx&amp;sheet=U0&amp;row=3700&amp;col=7&amp;number=1.43e-05&amp;sourceID=14","1.43e-05")</f>
        <v>1.43e-05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HYPERLINK("http://141.218.60.56/~jnz1568/getInfo.php?workbook=12_04.xlsx&amp;sheet=U0&amp;row=3701&amp;col=6&amp;number=4.7&amp;sourceID=14","4.7")</f>
        <v>4.7</v>
      </c>
      <c r="G3701" s="4" t="str">
        <f>HYPERLINK("http://141.218.60.56/~jnz1568/getInfo.php?workbook=12_04.xlsx&amp;sheet=U0&amp;row=3701&amp;col=7&amp;number=1.33e-05&amp;sourceID=14","1.33e-05")</f>
        <v>1.33e-05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HYPERLINK("http://141.218.60.56/~jnz1568/getInfo.php?workbook=12_04.xlsx&amp;sheet=U0&amp;row=3702&amp;col=6&amp;number=4.8&amp;sourceID=14","4.8")</f>
        <v>4.8</v>
      </c>
      <c r="G3702" s="4" t="str">
        <f>HYPERLINK("http://141.218.60.56/~jnz1568/getInfo.php?workbook=12_04.xlsx&amp;sheet=U0&amp;row=3702&amp;col=7&amp;number=1.22e-05&amp;sourceID=14","1.22e-05")</f>
        <v>1.22e-05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HYPERLINK("http://141.218.60.56/~jnz1568/getInfo.php?workbook=12_04.xlsx&amp;sheet=U0&amp;row=3703&amp;col=6&amp;number=4.9&amp;sourceID=14","4.9")</f>
        <v>4.9</v>
      </c>
      <c r="G3703" s="4" t="str">
        <f>HYPERLINK("http://141.218.60.56/~jnz1568/getInfo.php?workbook=12_04.xlsx&amp;sheet=U0&amp;row=3703&amp;col=7&amp;number=1.11e-05&amp;sourceID=14","1.11e-05")</f>
        <v>1.11e-05</v>
      </c>
    </row>
    <row r="3704" spans="1:7">
      <c r="A3704" s="3">
        <v>12</v>
      </c>
      <c r="B3704" s="3">
        <v>4</v>
      </c>
      <c r="C3704" s="3">
        <v>2</v>
      </c>
      <c r="D3704" s="3">
        <v>91</v>
      </c>
      <c r="E3704" s="3">
        <v>1</v>
      </c>
      <c r="F3704" s="4" t="str">
        <f>HYPERLINK("http://141.218.60.56/~jnz1568/getInfo.php?workbook=12_04.xlsx&amp;sheet=U0&amp;row=3704&amp;col=6&amp;number=3&amp;sourceID=14","3")</f>
        <v>3</v>
      </c>
      <c r="G3704" s="4" t="str">
        <f>HYPERLINK("http://141.218.60.56/~jnz1568/getInfo.php?workbook=12_04.xlsx&amp;sheet=U0&amp;row=3704&amp;col=7&amp;number=0.000444&amp;sourceID=14","0.000444")</f>
        <v>0.000444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HYPERLINK("http://141.218.60.56/~jnz1568/getInfo.php?workbook=12_04.xlsx&amp;sheet=U0&amp;row=3705&amp;col=6&amp;number=3.1&amp;sourceID=14","3.1")</f>
        <v>3.1</v>
      </c>
      <c r="G3705" s="4" t="str">
        <f>HYPERLINK("http://141.218.60.56/~jnz1568/getInfo.php?workbook=12_04.xlsx&amp;sheet=U0&amp;row=3705&amp;col=7&amp;number=0.000444&amp;sourceID=14","0.000444")</f>
        <v>0.000444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HYPERLINK("http://141.218.60.56/~jnz1568/getInfo.php?workbook=12_04.xlsx&amp;sheet=U0&amp;row=3706&amp;col=6&amp;number=3.2&amp;sourceID=14","3.2")</f>
        <v>3.2</v>
      </c>
      <c r="G3706" s="4" t="str">
        <f>HYPERLINK("http://141.218.60.56/~jnz1568/getInfo.php?workbook=12_04.xlsx&amp;sheet=U0&amp;row=3706&amp;col=7&amp;number=0.000444&amp;sourceID=14","0.000444")</f>
        <v>0.000444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HYPERLINK("http://141.218.60.56/~jnz1568/getInfo.php?workbook=12_04.xlsx&amp;sheet=U0&amp;row=3707&amp;col=6&amp;number=3.3&amp;sourceID=14","3.3")</f>
        <v>3.3</v>
      </c>
      <c r="G3707" s="4" t="str">
        <f>HYPERLINK("http://141.218.60.56/~jnz1568/getInfo.php?workbook=12_04.xlsx&amp;sheet=U0&amp;row=3707&amp;col=7&amp;number=0.000444&amp;sourceID=14","0.000444")</f>
        <v>0.000444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HYPERLINK("http://141.218.60.56/~jnz1568/getInfo.php?workbook=12_04.xlsx&amp;sheet=U0&amp;row=3708&amp;col=6&amp;number=3.4&amp;sourceID=14","3.4")</f>
        <v>3.4</v>
      </c>
      <c r="G3708" s="4" t="str">
        <f>HYPERLINK("http://141.218.60.56/~jnz1568/getInfo.php?workbook=12_04.xlsx&amp;sheet=U0&amp;row=3708&amp;col=7&amp;number=0.000444&amp;sourceID=14","0.000444")</f>
        <v>0.000444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HYPERLINK("http://141.218.60.56/~jnz1568/getInfo.php?workbook=12_04.xlsx&amp;sheet=U0&amp;row=3709&amp;col=6&amp;number=3.5&amp;sourceID=14","3.5")</f>
        <v>3.5</v>
      </c>
      <c r="G3709" s="4" t="str">
        <f>HYPERLINK("http://141.218.60.56/~jnz1568/getInfo.php?workbook=12_04.xlsx&amp;sheet=U0&amp;row=3709&amp;col=7&amp;number=0.000444&amp;sourceID=14","0.000444")</f>
        <v>0.000444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HYPERLINK("http://141.218.60.56/~jnz1568/getInfo.php?workbook=12_04.xlsx&amp;sheet=U0&amp;row=3710&amp;col=6&amp;number=3.6&amp;sourceID=14","3.6")</f>
        <v>3.6</v>
      </c>
      <c r="G3710" s="4" t="str">
        <f>HYPERLINK("http://141.218.60.56/~jnz1568/getInfo.php?workbook=12_04.xlsx&amp;sheet=U0&amp;row=3710&amp;col=7&amp;number=0.000443&amp;sourceID=14","0.000443")</f>
        <v>0.000443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HYPERLINK("http://141.218.60.56/~jnz1568/getInfo.php?workbook=12_04.xlsx&amp;sheet=U0&amp;row=3711&amp;col=6&amp;number=3.7&amp;sourceID=14","3.7")</f>
        <v>3.7</v>
      </c>
      <c r="G3711" s="4" t="str">
        <f>HYPERLINK("http://141.218.60.56/~jnz1568/getInfo.php?workbook=12_04.xlsx&amp;sheet=U0&amp;row=3711&amp;col=7&amp;number=0.000443&amp;sourceID=14","0.000443")</f>
        <v>0.000443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HYPERLINK("http://141.218.60.56/~jnz1568/getInfo.php?workbook=12_04.xlsx&amp;sheet=U0&amp;row=3712&amp;col=6&amp;number=3.8&amp;sourceID=14","3.8")</f>
        <v>3.8</v>
      </c>
      <c r="G3712" s="4" t="str">
        <f>HYPERLINK("http://141.218.60.56/~jnz1568/getInfo.php?workbook=12_04.xlsx&amp;sheet=U0&amp;row=3712&amp;col=7&amp;number=0.000443&amp;sourceID=14","0.000443")</f>
        <v>0.000443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HYPERLINK("http://141.218.60.56/~jnz1568/getInfo.php?workbook=12_04.xlsx&amp;sheet=U0&amp;row=3713&amp;col=6&amp;number=3.9&amp;sourceID=14","3.9")</f>
        <v>3.9</v>
      </c>
      <c r="G3713" s="4" t="str">
        <f>HYPERLINK("http://141.218.60.56/~jnz1568/getInfo.php?workbook=12_04.xlsx&amp;sheet=U0&amp;row=3713&amp;col=7&amp;number=0.000443&amp;sourceID=14","0.000443")</f>
        <v>0.000443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HYPERLINK("http://141.218.60.56/~jnz1568/getInfo.php?workbook=12_04.xlsx&amp;sheet=U0&amp;row=3714&amp;col=6&amp;number=4&amp;sourceID=14","4")</f>
        <v>4</v>
      </c>
      <c r="G3714" s="4" t="str">
        <f>HYPERLINK("http://141.218.60.56/~jnz1568/getInfo.php?workbook=12_04.xlsx&amp;sheet=U0&amp;row=3714&amp;col=7&amp;number=0.000443&amp;sourceID=14","0.000443")</f>
        <v>0.000443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HYPERLINK("http://141.218.60.56/~jnz1568/getInfo.php?workbook=12_04.xlsx&amp;sheet=U0&amp;row=3715&amp;col=6&amp;number=4.1&amp;sourceID=14","4.1")</f>
        <v>4.1</v>
      </c>
      <c r="G3715" s="4" t="str">
        <f>HYPERLINK("http://141.218.60.56/~jnz1568/getInfo.php?workbook=12_04.xlsx&amp;sheet=U0&amp;row=3715&amp;col=7&amp;number=0.000443&amp;sourceID=14","0.000443")</f>
        <v>0.000443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HYPERLINK("http://141.218.60.56/~jnz1568/getInfo.php?workbook=12_04.xlsx&amp;sheet=U0&amp;row=3716&amp;col=6&amp;number=4.2&amp;sourceID=14","4.2")</f>
        <v>4.2</v>
      </c>
      <c r="G3716" s="4" t="str">
        <f>HYPERLINK("http://141.218.60.56/~jnz1568/getInfo.php?workbook=12_04.xlsx&amp;sheet=U0&amp;row=3716&amp;col=7&amp;number=0.000442&amp;sourceID=14","0.000442")</f>
        <v>0.000442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HYPERLINK("http://141.218.60.56/~jnz1568/getInfo.php?workbook=12_04.xlsx&amp;sheet=U0&amp;row=3717&amp;col=6&amp;number=4.3&amp;sourceID=14","4.3")</f>
        <v>4.3</v>
      </c>
      <c r="G3717" s="4" t="str">
        <f>HYPERLINK("http://141.218.60.56/~jnz1568/getInfo.php?workbook=12_04.xlsx&amp;sheet=U0&amp;row=3717&amp;col=7&amp;number=0.000442&amp;sourceID=14","0.000442")</f>
        <v>0.000442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HYPERLINK("http://141.218.60.56/~jnz1568/getInfo.php?workbook=12_04.xlsx&amp;sheet=U0&amp;row=3718&amp;col=6&amp;number=4.4&amp;sourceID=14","4.4")</f>
        <v>4.4</v>
      </c>
      <c r="G3718" s="4" t="str">
        <f>HYPERLINK("http://141.218.60.56/~jnz1568/getInfo.php?workbook=12_04.xlsx&amp;sheet=U0&amp;row=3718&amp;col=7&amp;number=0.000442&amp;sourceID=14","0.000442")</f>
        <v>0.000442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HYPERLINK("http://141.218.60.56/~jnz1568/getInfo.php?workbook=12_04.xlsx&amp;sheet=U0&amp;row=3719&amp;col=6&amp;number=4.5&amp;sourceID=14","4.5")</f>
        <v>4.5</v>
      </c>
      <c r="G3719" s="4" t="str">
        <f>HYPERLINK("http://141.218.60.56/~jnz1568/getInfo.php?workbook=12_04.xlsx&amp;sheet=U0&amp;row=3719&amp;col=7&amp;number=0.000441&amp;sourceID=14","0.000441")</f>
        <v>0.000441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HYPERLINK("http://141.218.60.56/~jnz1568/getInfo.php?workbook=12_04.xlsx&amp;sheet=U0&amp;row=3720&amp;col=6&amp;number=4.6&amp;sourceID=14","4.6")</f>
        <v>4.6</v>
      </c>
      <c r="G3720" s="4" t="str">
        <f>HYPERLINK("http://141.218.60.56/~jnz1568/getInfo.php?workbook=12_04.xlsx&amp;sheet=U0&amp;row=3720&amp;col=7&amp;number=0.000441&amp;sourceID=14","0.000441")</f>
        <v>0.000441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HYPERLINK("http://141.218.60.56/~jnz1568/getInfo.php?workbook=12_04.xlsx&amp;sheet=U0&amp;row=3721&amp;col=6&amp;number=4.7&amp;sourceID=14","4.7")</f>
        <v>4.7</v>
      </c>
      <c r="G3721" s="4" t="str">
        <f>HYPERLINK("http://141.218.60.56/~jnz1568/getInfo.php?workbook=12_04.xlsx&amp;sheet=U0&amp;row=3721&amp;col=7&amp;number=0.00044&amp;sourceID=14","0.00044")</f>
        <v>0.00044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HYPERLINK("http://141.218.60.56/~jnz1568/getInfo.php?workbook=12_04.xlsx&amp;sheet=U0&amp;row=3722&amp;col=6&amp;number=4.8&amp;sourceID=14","4.8")</f>
        <v>4.8</v>
      </c>
      <c r="G3722" s="4" t="str">
        <f>HYPERLINK("http://141.218.60.56/~jnz1568/getInfo.php?workbook=12_04.xlsx&amp;sheet=U0&amp;row=3722&amp;col=7&amp;number=0.000439&amp;sourceID=14","0.000439")</f>
        <v>0.000439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HYPERLINK("http://141.218.60.56/~jnz1568/getInfo.php?workbook=12_04.xlsx&amp;sheet=U0&amp;row=3723&amp;col=6&amp;number=4.9&amp;sourceID=14","4.9")</f>
        <v>4.9</v>
      </c>
      <c r="G3723" s="4" t="str">
        <f>HYPERLINK("http://141.218.60.56/~jnz1568/getInfo.php?workbook=12_04.xlsx&amp;sheet=U0&amp;row=3723&amp;col=7&amp;number=0.000438&amp;sourceID=14","0.000438")</f>
        <v>0.000438</v>
      </c>
    </row>
    <row r="3724" spans="1:7">
      <c r="A3724" s="3">
        <v>12</v>
      </c>
      <c r="B3724" s="3">
        <v>4</v>
      </c>
      <c r="C3724" s="3">
        <v>2</v>
      </c>
      <c r="D3724" s="3">
        <v>92</v>
      </c>
      <c r="E3724" s="3">
        <v>1</v>
      </c>
      <c r="F3724" s="4" t="str">
        <f>HYPERLINK("http://141.218.60.56/~jnz1568/getInfo.php?workbook=12_04.xlsx&amp;sheet=U0&amp;row=3724&amp;col=6&amp;number=3&amp;sourceID=14","3")</f>
        <v>3</v>
      </c>
      <c r="G3724" s="4" t="str">
        <f>HYPERLINK("http://141.218.60.56/~jnz1568/getInfo.php?workbook=12_04.xlsx&amp;sheet=U0&amp;row=3724&amp;col=7&amp;number=0.00038&amp;sourceID=14","0.00038")</f>
        <v>0.00038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HYPERLINK("http://141.218.60.56/~jnz1568/getInfo.php?workbook=12_04.xlsx&amp;sheet=U0&amp;row=3725&amp;col=6&amp;number=3.1&amp;sourceID=14","3.1")</f>
        <v>3.1</v>
      </c>
      <c r="G3725" s="4" t="str">
        <f>HYPERLINK("http://141.218.60.56/~jnz1568/getInfo.php?workbook=12_04.xlsx&amp;sheet=U0&amp;row=3725&amp;col=7&amp;number=0.000379&amp;sourceID=14","0.000379")</f>
        <v>0.000379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HYPERLINK("http://141.218.60.56/~jnz1568/getInfo.php?workbook=12_04.xlsx&amp;sheet=U0&amp;row=3726&amp;col=6&amp;number=3.2&amp;sourceID=14","3.2")</f>
        <v>3.2</v>
      </c>
      <c r="G3726" s="4" t="str">
        <f>HYPERLINK("http://141.218.60.56/~jnz1568/getInfo.php?workbook=12_04.xlsx&amp;sheet=U0&amp;row=3726&amp;col=7&amp;number=0.000377&amp;sourceID=14","0.000377")</f>
        <v>0.000377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HYPERLINK("http://141.218.60.56/~jnz1568/getInfo.php?workbook=12_04.xlsx&amp;sheet=U0&amp;row=3727&amp;col=6&amp;number=3.3&amp;sourceID=14","3.3")</f>
        <v>3.3</v>
      </c>
      <c r="G3727" s="4" t="str">
        <f>HYPERLINK("http://141.218.60.56/~jnz1568/getInfo.php?workbook=12_04.xlsx&amp;sheet=U0&amp;row=3727&amp;col=7&amp;number=0.000376&amp;sourceID=14","0.000376")</f>
        <v>0.000376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HYPERLINK("http://141.218.60.56/~jnz1568/getInfo.php?workbook=12_04.xlsx&amp;sheet=U0&amp;row=3728&amp;col=6&amp;number=3.4&amp;sourceID=14","3.4")</f>
        <v>3.4</v>
      </c>
      <c r="G3728" s="4" t="str">
        <f>HYPERLINK("http://141.218.60.56/~jnz1568/getInfo.php?workbook=12_04.xlsx&amp;sheet=U0&amp;row=3728&amp;col=7&amp;number=0.000374&amp;sourceID=14","0.000374")</f>
        <v>0.000374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HYPERLINK("http://141.218.60.56/~jnz1568/getInfo.php?workbook=12_04.xlsx&amp;sheet=U0&amp;row=3729&amp;col=6&amp;number=3.5&amp;sourceID=14","3.5")</f>
        <v>3.5</v>
      </c>
      <c r="G3729" s="4" t="str">
        <f>HYPERLINK("http://141.218.60.56/~jnz1568/getInfo.php?workbook=12_04.xlsx&amp;sheet=U0&amp;row=3729&amp;col=7&amp;number=0.000372&amp;sourceID=14","0.000372")</f>
        <v>0.000372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HYPERLINK("http://141.218.60.56/~jnz1568/getInfo.php?workbook=12_04.xlsx&amp;sheet=U0&amp;row=3730&amp;col=6&amp;number=3.6&amp;sourceID=14","3.6")</f>
        <v>3.6</v>
      </c>
      <c r="G3730" s="4" t="str">
        <f>HYPERLINK("http://141.218.60.56/~jnz1568/getInfo.php?workbook=12_04.xlsx&amp;sheet=U0&amp;row=3730&amp;col=7&amp;number=0.000369&amp;sourceID=14","0.000369")</f>
        <v>0.000369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HYPERLINK("http://141.218.60.56/~jnz1568/getInfo.php?workbook=12_04.xlsx&amp;sheet=U0&amp;row=3731&amp;col=6&amp;number=3.7&amp;sourceID=14","3.7")</f>
        <v>3.7</v>
      </c>
      <c r="G3731" s="4" t="str">
        <f>HYPERLINK("http://141.218.60.56/~jnz1568/getInfo.php?workbook=12_04.xlsx&amp;sheet=U0&amp;row=3731&amp;col=7&amp;number=0.000365&amp;sourceID=14","0.000365")</f>
        <v>0.000365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HYPERLINK("http://141.218.60.56/~jnz1568/getInfo.php?workbook=12_04.xlsx&amp;sheet=U0&amp;row=3732&amp;col=6&amp;number=3.8&amp;sourceID=14","3.8")</f>
        <v>3.8</v>
      </c>
      <c r="G3732" s="4" t="str">
        <f>HYPERLINK("http://141.218.60.56/~jnz1568/getInfo.php?workbook=12_04.xlsx&amp;sheet=U0&amp;row=3732&amp;col=7&amp;number=0.00036&amp;sourceID=14","0.00036")</f>
        <v>0.00036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HYPERLINK("http://141.218.60.56/~jnz1568/getInfo.php?workbook=12_04.xlsx&amp;sheet=U0&amp;row=3733&amp;col=6&amp;number=3.9&amp;sourceID=14","3.9")</f>
        <v>3.9</v>
      </c>
      <c r="G3733" s="4" t="str">
        <f>HYPERLINK("http://141.218.60.56/~jnz1568/getInfo.php?workbook=12_04.xlsx&amp;sheet=U0&amp;row=3733&amp;col=7&amp;number=0.000354&amp;sourceID=14","0.000354")</f>
        <v>0.000354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HYPERLINK("http://141.218.60.56/~jnz1568/getInfo.php?workbook=12_04.xlsx&amp;sheet=U0&amp;row=3734&amp;col=6&amp;number=4&amp;sourceID=14","4")</f>
        <v>4</v>
      </c>
      <c r="G3734" s="4" t="str">
        <f>HYPERLINK("http://141.218.60.56/~jnz1568/getInfo.php?workbook=12_04.xlsx&amp;sheet=U0&amp;row=3734&amp;col=7&amp;number=0.000347&amp;sourceID=14","0.000347")</f>
        <v>0.000347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HYPERLINK("http://141.218.60.56/~jnz1568/getInfo.php?workbook=12_04.xlsx&amp;sheet=U0&amp;row=3735&amp;col=6&amp;number=4.1&amp;sourceID=14","4.1")</f>
        <v>4.1</v>
      </c>
      <c r="G3735" s="4" t="str">
        <f>HYPERLINK("http://141.218.60.56/~jnz1568/getInfo.php?workbook=12_04.xlsx&amp;sheet=U0&amp;row=3735&amp;col=7&amp;number=0.000338&amp;sourceID=14","0.000338")</f>
        <v>0.000338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HYPERLINK("http://141.218.60.56/~jnz1568/getInfo.php?workbook=12_04.xlsx&amp;sheet=U0&amp;row=3736&amp;col=6&amp;number=4.2&amp;sourceID=14","4.2")</f>
        <v>4.2</v>
      </c>
      <c r="G3736" s="4" t="str">
        <f>HYPERLINK("http://141.218.60.56/~jnz1568/getInfo.php?workbook=12_04.xlsx&amp;sheet=U0&amp;row=3736&amp;col=7&amp;number=0.000327&amp;sourceID=14","0.000327")</f>
        <v>0.000327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HYPERLINK("http://141.218.60.56/~jnz1568/getInfo.php?workbook=12_04.xlsx&amp;sheet=U0&amp;row=3737&amp;col=6&amp;number=4.3&amp;sourceID=14","4.3")</f>
        <v>4.3</v>
      </c>
      <c r="G3737" s="4" t="str">
        <f>HYPERLINK("http://141.218.60.56/~jnz1568/getInfo.php?workbook=12_04.xlsx&amp;sheet=U0&amp;row=3737&amp;col=7&amp;number=0.000313&amp;sourceID=14","0.000313")</f>
        <v>0.000313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HYPERLINK("http://141.218.60.56/~jnz1568/getInfo.php?workbook=12_04.xlsx&amp;sheet=U0&amp;row=3738&amp;col=6&amp;number=4.4&amp;sourceID=14","4.4")</f>
        <v>4.4</v>
      </c>
      <c r="G3738" s="4" t="str">
        <f>HYPERLINK("http://141.218.60.56/~jnz1568/getInfo.php?workbook=12_04.xlsx&amp;sheet=U0&amp;row=3738&amp;col=7&amp;number=0.000295&amp;sourceID=14","0.000295")</f>
        <v>0.000295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HYPERLINK("http://141.218.60.56/~jnz1568/getInfo.php?workbook=12_04.xlsx&amp;sheet=U0&amp;row=3739&amp;col=6&amp;number=4.5&amp;sourceID=14","4.5")</f>
        <v>4.5</v>
      </c>
      <c r="G3739" s="4" t="str">
        <f>HYPERLINK("http://141.218.60.56/~jnz1568/getInfo.php?workbook=12_04.xlsx&amp;sheet=U0&amp;row=3739&amp;col=7&amp;number=0.000275&amp;sourceID=14","0.000275")</f>
        <v>0.000275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HYPERLINK("http://141.218.60.56/~jnz1568/getInfo.php?workbook=12_04.xlsx&amp;sheet=U0&amp;row=3740&amp;col=6&amp;number=4.6&amp;sourceID=14","4.6")</f>
        <v>4.6</v>
      </c>
      <c r="G3740" s="4" t="str">
        <f>HYPERLINK("http://141.218.60.56/~jnz1568/getInfo.php?workbook=12_04.xlsx&amp;sheet=U0&amp;row=3740&amp;col=7&amp;number=0.00025&amp;sourceID=14","0.00025")</f>
        <v>0.00025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HYPERLINK("http://141.218.60.56/~jnz1568/getInfo.php?workbook=12_04.xlsx&amp;sheet=U0&amp;row=3741&amp;col=6&amp;number=4.7&amp;sourceID=14","4.7")</f>
        <v>4.7</v>
      </c>
      <c r="G3741" s="4" t="str">
        <f>HYPERLINK("http://141.218.60.56/~jnz1568/getInfo.php?workbook=12_04.xlsx&amp;sheet=U0&amp;row=3741&amp;col=7&amp;number=0.000222&amp;sourceID=14","0.000222")</f>
        <v>0.000222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HYPERLINK("http://141.218.60.56/~jnz1568/getInfo.php?workbook=12_04.xlsx&amp;sheet=U0&amp;row=3742&amp;col=6&amp;number=4.8&amp;sourceID=14","4.8")</f>
        <v>4.8</v>
      </c>
      <c r="G3742" s="4" t="str">
        <f>HYPERLINK("http://141.218.60.56/~jnz1568/getInfo.php?workbook=12_04.xlsx&amp;sheet=U0&amp;row=3742&amp;col=7&amp;number=0.000192&amp;sourceID=14","0.000192")</f>
        <v>0.000192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HYPERLINK("http://141.218.60.56/~jnz1568/getInfo.php?workbook=12_04.xlsx&amp;sheet=U0&amp;row=3743&amp;col=6&amp;number=4.9&amp;sourceID=14","4.9")</f>
        <v>4.9</v>
      </c>
      <c r="G3743" s="4" t="str">
        <f>HYPERLINK("http://141.218.60.56/~jnz1568/getInfo.php?workbook=12_04.xlsx&amp;sheet=U0&amp;row=3743&amp;col=7&amp;number=0.00016&amp;sourceID=14","0.00016")</f>
        <v>0.00016</v>
      </c>
    </row>
    <row r="3744" spans="1:7">
      <c r="A3744" s="3">
        <v>12</v>
      </c>
      <c r="B3744" s="3">
        <v>4</v>
      </c>
      <c r="C3744" s="3">
        <v>2</v>
      </c>
      <c r="D3744" s="3">
        <v>93</v>
      </c>
      <c r="E3744" s="3">
        <v>1</v>
      </c>
      <c r="F3744" s="4" t="str">
        <f>HYPERLINK("http://141.218.60.56/~jnz1568/getInfo.php?workbook=12_04.xlsx&amp;sheet=U0&amp;row=3744&amp;col=6&amp;number=3&amp;sourceID=14","3")</f>
        <v>3</v>
      </c>
      <c r="G3744" s="4" t="str">
        <f>HYPERLINK("http://141.218.60.56/~jnz1568/getInfo.php?workbook=12_04.xlsx&amp;sheet=U0&amp;row=3744&amp;col=7&amp;number=0.000233&amp;sourceID=14","0.000233")</f>
        <v>0.000233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HYPERLINK("http://141.218.60.56/~jnz1568/getInfo.php?workbook=12_04.xlsx&amp;sheet=U0&amp;row=3745&amp;col=6&amp;number=3.1&amp;sourceID=14","3.1")</f>
        <v>3.1</v>
      </c>
      <c r="G3745" s="4" t="str">
        <f>HYPERLINK("http://141.218.60.56/~jnz1568/getInfo.php?workbook=12_04.xlsx&amp;sheet=U0&amp;row=3745&amp;col=7&amp;number=0.000233&amp;sourceID=14","0.000233")</f>
        <v>0.000233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HYPERLINK("http://141.218.60.56/~jnz1568/getInfo.php?workbook=12_04.xlsx&amp;sheet=U0&amp;row=3746&amp;col=6&amp;number=3.2&amp;sourceID=14","3.2")</f>
        <v>3.2</v>
      </c>
      <c r="G3746" s="4" t="str">
        <f>HYPERLINK("http://141.218.60.56/~jnz1568/getInfo.php?workbook=12_04.xlsx&amp;sheet=U0&amp;row=3746&amp;col=7&amp;number=0.000233&amp;sourceID=14","0.000233")</f>
        <v>0.000233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HYPERLINK("http://141.218.60.56/~jnz1568/getInfo.php?workbook=12_04.xlsx&amp;sheet=U0&amp;row=3747&amp;col=6&amp;number=3.3&amp;sourceID=14","3.3")</f>
        <v>3.3</v>
      </c>
      <c r="G3747" s="4" t="str">
        <f>HYPERLINK("http://141.218.60.56/~jnz1568/getInfo.php?workbook=12_04.xlsx&amp;sheet=U0&amp;row=3747&amp;col=7&amp;number=0.000232&amp;sourceID=14","0.000232")</f>
        <v>0.000232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HYPERLINK("http://141.218.60.56/~jnz1568/getInfo.php?workbook=12_04.xlsx&amp;sheet=U0&amp;row=3748&amp;col=6&amp;number=3.4&amp;sourceID=14","3.4")</f>
        <v>3.4</v>
      </c>
      <c r="G3748" s="4" t="str">
        <f>HYPERLINK("http://141.218.60.56/~jnz1568/getInfo.php?workbook=12_04.xlsx&amp;sheet=U0&amp;row=3748&amp;col=7&amp;number=0.000232&amp;sourceID=14","0.000232")</f>
        <v>0.000232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HYPERLINK("http://141.218.60.56/~jnz1568/getInfo.php?workbook=12_04.xlsx&amp;sheet=U0&amp;row=3749&amp;col=6&amp;number=3.5&amp;sourceID=14","3.5")</f>
        <v>3.5</v>
      </c>
      <c r="G3749" s="4" t="str">
        <f>HYPERLINK("http://141.218.60.56/~jnz1568/getInfo.php?workbook=12_04.xlsx&amp;sheet=U0&amp;row=3749&amp;col=7&amp;number=0.000232&amp;sourceID=14","0.000232")</f>
        <v>0.000232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HYPERLINK("http://141.218.60.56/~jnz1568/getInfo.php?workbook=12_04.xlsx&amp;sheet=U0&amp;row=3750&amp;col=6&amp;number=3.6&amp;sourceID=14","3.6")</f>
        <v>3.6</v>
      </c>
      <c r="G3750" s="4" t="str">
        <f>HYPERLINK("http://141.218.60.56/~jnz1568/getInfo.php?workbook=12_04.xlsx&amp;sheet=U0&amp;row=3750&amp;col=7&amp;number=0.000231&amp;sourceID=14","0.000231")</f>
        <v>0.000231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HYPERLINK("http://141.218.60.56/~jnz1568/getInfo.php?workbook=12_04.xlsx&amp;sheet=U0&amp;row=3751&amp;col=6&amp;number=3.7&amp;sourceID=14","3.7")</f>
        <v>3.7</v>
      </c>
      <c r="G3751" s="4" t="str">
        <f>HYPERLINK("http://141.218.60.56/~jnz1568/getInfo.php?workbook=12_04.xlsx&amp;sheet=U0&amp;row=3751&amp;col=7&amp;number=0.000231&amp;sourceID=14","0.000231")</f>
        <v>0.000231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HYPERLINK("http://141.218.60.56/~jnz1568/getInfo.php?workbook=12_04.xlsx&amp;sheet=U0&amp;row=3752&amp;col=6&amp;number=3.8&amp;sourceID=14","3.8")</f>
        <v>3.8</v>
      </c>
      <c r="G3752" s="4" t="str">
        <f>HYPERLINK("http://141.218.60.56/~jnz1568/getInfo.php?workbook=12_04.xlsx&amp;sheet=U0&amp;row=3752&amp;col=7&amp;number=0.00023&amp;sourceID=14","0.00023")</f>
        <v>0.00023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HYPERLINK("http://141.218.60.56/~jnz1568/getInfo.php?workbook=12_04.xlsx&amp;sheet=U0&amp;row=3753&amp;col=6&amp;number=3.9&amp;sourceID=14","3.9")</f>
        <v>3.9</v>
      </c>
      <c r="G3753" s="4" t="str">
        <f>HYPERLINK("http://141.218.60.56/~jnz1568/getInfo.php?workbook=12_04.xlsx&amp;sheet=U0&amp;row=3753&amp;col=7&amp;number=0.00023&amp;sourceID=14","0.00023")</f>
        <v>0.00023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HYPERLINK("http://141.218.60.56/~jnz1568/getInfo.php?workbook=12_04.xlsx&amp;sheet=U0&amp;row=3754&amp;col=6&amp;number=4&amp;sourceID=14","4")</f>
        <v>4</v>
      </c>
      <c r="G3754" s="4" t="str">
        <f>HYPERLINK("http://141.218.60.56/~jnz1568/getInfo.php?workbook=12_04.xlsx&amp;sheet=U0&amp;row=3754&amp;col=7&amp;number=0.000229&amp;sourceID=14","0.000229")</f>
        <v>0.000229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HYPERLINK("http://141.218.60.56/~jnz1568/getInfo.php?workbook=12_04.xlsx&amp;sheet=U0&amp;row=3755&amp;col=6&amp;number=4.1&amp;sourceID=14","4.1")</f>
        <v>4.1</v>
      </c>
      <c r="G3755" s="4" t="str">
        <f>HYPERLINK("http://141.218.60.56/~jnz1568/getInfo.php?workbook=12_04.xlsx&amp;sheet=U0&amp;row=3755&amp;col=7&amp;number=0.000227&amp;sourceID=14","0.000227")</f>
        <v>0.000227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HYPERLINK("http://141.218.60.56/~jnz1568/getInfo.php?workbook=12_04.xlsx&amp;sheet=U0&amp;row=3756&amp;col=6&amp;number=4.2&amp;sourceID=14","4.2")</f>
        <v>4.2</v>
      </c>
      <c r="G3756" s="4" t="str">
        <f>HYPERLINK("http://141.218.60.56/~jnz1568/getInfo.php?workbook=12_04.xlsx&amp;sheet=U0&amp;row=3756&amp;col=7&amp;number=0.000226&amp;sourceID=14","0.000226")</f>
        <v>0.000226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HYPERLINK("http://141.218.60.56/~jnz1568/getInfo.php?workbook=12_04.xlsx&amp;sheet=U0&amp;row=3757&amp;col=6&amp;number=4.3&amp;sourceID=14","4.3")</f>
        <v>4.3</v>
      </c>
      <c r="G3757" s="4" t="str">
        <f>HYPERLINK("http://141.218.60.56/~jnz1568/getInfo.php?workbook=12_04.xlsx&amp;sheet=U0&amp;row=3757&amp;col=7&amp;number=0.000224&amp;sourceID=14","0.000224")</f>
        <v>0.000224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HYPERLINK("http://141.218.60.56/~jnz1568/getInfo.php?workbook=12_04.xlsx&amp;sheet=U0&amp;row=3758&amp;col=6&amp;number=4.4&amp;sourceID=14","4.4")</f>
        <v>4.4</v>
      </c>
      <c r="G3758" s="4" t="str">
        <f>HYPERLINK("http://141.218.60.56/~jnz1568/getInfo.php?workbook=12_04.xlsx&amp;sheet=U0&amp;row=3758&amp;col=7&amp;number=0.000222&amp;sourceID=14","0.000222")</f>
        <v>0.000222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HYPERLINK("http://141.218.60.56/~jnz1568/getInfo.php?workbook=12_04.xlsx&amp;sheet=U0&amp;row=3759&amp;col=6&amp;number=4.5&amp;sourceID=14","4.5")</f>
        <v>4.5</v>
      </c>
      <c r="G3759" s="4" t="str">
        <f>HYPERLINK("http://141.218.60.56/~jnz1568/getInfo.php?workbook=12_04.xlsx&amp;sheet=U0&amp;row=3759&amp;col=7&amp;number=0.000219&amp;sourceID=14","0.000219")</f>
        <v>0.000219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HYPERLINK("http://141.218.60.56/~jnz1568/getInfo.php?workbook=12_04.xlsx&amp;sheet=U0&amp;row=3760&amp;col=6&amp;number=4.6&amp;sourceID=14","4.6")</f>
        <v>4.6</v>
      </c>
      <c r="G3760" s="4" t="str">
        <f>HYPERLINK("http://141.218.60.56/~jnz1568/getInfo.php?workbook=12_04.xlsx&amp;sheet=U0&amp;row=3760&amp;col=7&amp;number=0.000215&amp;sourceID=14","0.000215")</f>
        <v>0.000215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HYPERLINK("http://141.218.60.56/~jnz1568/getInfo.php?workbook=12_04.xlsx&amp;sheet=U0&amp;row=3761&amp;col=6&amp;number=4.7&amp;sourceID=14","4.7")</f>
        <v>4.7</v>
      </c>
      <c r="G3761" s="4" t="str">
        <f>HYPERLINK("http://141.218.60.56/~jnz1568/getInfo.php?workbook=12_04.xlsx&amp;sheet=U0&amp;row=3761&amp;col=7&amp;number=0.000211&amp;sourceID=14","0.000211")</f>
        <v>0.000211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HYPERLINK("http://141.218.60.56/~jnz1568/getInfo.php?workbook=12_04.xlsx&amp;sheet=U0&amp;row=3762&amp;col=6&amp;number=4.8&amp;sourceID=14","4.8")</f>
        <v>4.8</v>
      </c>
      <c r="G3762" s="4" t="str">
        <f>HYPERLINK("http://141.218.60.56/~jnz1568/getInfo.php?workbook=12_04.xlsx&amp;sheet=U0&amp;row=3762&amp;col=7&amp;number=0.000205&amp;sourceID=14","0.000205")</f>
        <v>0.000205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HYPERLINK("http://141.218.60.56/~jnz1568/getInfo.php?workbook=12_04.xlsx&amp;sheet=U0&amp;row=3763&amp;col=6&amp;number=4.9&amp;sourceID=14","4.9")</f>
        <v>4.9</v>
      </c>
      <c r="G3763" s="4" t="str">
        <f>HYPERLINK("http://141.218.60.56/~jnz1568/getInfo.php?workbook=12_04.xlsx&amp;sheet=U0&amp;row=3763&amp;col=7&amp;number=0.000199&amp;sourceID=14","0.000199")</f>
        <v>0.000199</v>
      </c>
    </row>
    <row r="3764" spans="1:7">
      <c r="A3764" s="3">
        <v>12</v>
      </c>
      <c r="B3764" s="3">
        <v>4</v>
      </c>
      <c r="C3764" s="3">
        <v>2</v>
      </c>
      <c r="D3764" s="3">
        <v>94</v>
      </c>
      <c r="E3764" s="3">
        <v>1</v>
      </c>
      <c r="F3764" s="4" t="str">
        <f>HYPERLINK("http://141.218.60.56/~jnz1568/getInfo.php?workbook=12_04.xlsx&amp;sheet=U0&amp;row=3764&amp;col=6&amp;number=3&amp;sourceID=14","3")</f>
        <v>3</v>
      </c>
      <c r="G3764" s="4" t="str">
        <f>HYPERLINK("http://141.218.60.56/~jnz1568/getInfo.php?workbook=12_04.xlsx&amp;sheet=U0&amp;row=3764&amp;col=7&amp;number=1.47e-05&amp;sourceID=14","1.47e-05")</f>
        <v>1.47e-05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HYPERLINK("http://141.218.60.56/~jnz1568/getInfo.php?workbook=12_04.xlsx&amp;sheet=U0&amp;row=3765&amp;col=6&amp;number=3.1&amp;sourceID=14","3.1")</f>
        <v>3.1</v>
      </c>
      <c r="G3765" s="4" t="str">
        <f>HYPERLINK("http://141.218.60.56/~jnz1568/getInfo.php?workbook=12_04.xlsx&amp;sheet=U0&amp;row=3765&amp;col=7&amp;number=1.47e-05&amp;sourceID=14","1.47e-05")</f>
        <v>1.47e-05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HYPERLINK("http://141.218.60.56/~jnz1568/getInfo.php?workbook=12_04.xlsx&amp;sheet=U0&amp;row=3766&amp;col=6&amp;number=3.2&amp;sourceID=14","3.2")</f>
        <v>3.2</v>
      </c>
      <c r="G3766" s="4" t="str">
        <f>HYPERLINK("http://141.218.60.56/~jnz1568/getInfo.php?workbook=12_04.xlsx&amp;sheet=U0&amp;row=3766&amp;col=7&amp;number=1.47e-05&amp;sourceID=14","1.47e-05")</f>
        <v>1.47e-05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HYPERLINK("http://141.218.60.56/~jnz1568/getInfo.php?workbook=12_04.xlsx&amp;sheet=U0&amp;row=3767&amp;col=6&amp;number=3.3&amp;sourceID=14","3.3")</f>
        <v>3.3</v>
      </c>
      <c r="G3767" s="4" t="str">
        <f>HYPERLINK("http://141.218.60.56/~jnz1568/getInfo.php?workbook=12_04.xlsx&amp;sheet=U0&amp;row=3767&amp;col=7&amp;number=1.47e-05&amp;sourceID=14","1.47e-05")</f>
        <v>1.47e-05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HYPERLINK("http://141.218.60.56/~jnz1568/getInfo.php?workbook=12_04.xlsx&amp;sheet=U0&amp;row=3768&amp;col=6&amp;number=3.4&amp;sourceID=14","3.4")</f>
        <v>3.4</v>
      </c>
      <c r="G3768" s="4" t="str">
        <f>HYPERLINK("http://141.218.60.56/~jnz1568/getInfo.php?workbook=12_04.xlsx&amp;sheet=U0&amp;row=3768&amp;col=7&amp;number=1.47e-05&amp;sourceID=14","1.47e-05")</f>
        <v>1.47e-05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HYPERLINK("http://141.218.60.56/~jnz1568/getInfo.php?workbook=12_04.xlsx&amp;sheet=U0&amp;row=3769&amp;col=6&amp;number=3.5&amp;sourceID=14","3.5")</f>
        <v>3.5</v>
      </c>
      <c r="G3769" s="4" t="str">
        <f>HYPERLINK("http://141.218.60.56/~jnz1568/getInfo.php?workbook=12_04.xlsx&amp;sheet=U0&amp;row=3769&amp;col=7&amp;number=1.47e-05&amp;sourceID=14","1.47e-05")</f>
        <v>1.47e-05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HYPERLINK("http://141.218.60.56/~jnz1568/getInfo.php?workbook=12_04.xlsx&amp;sheet=U0&amp;row=3770&amp;col=6&amp;number=3.6&amp;sourceID=14","3.6")</f>
        <v>3.6</v>
      </c>
      <c r="G3770" s="4" t="str">
        <f>HYPERLINK("http://141.218.60.56/~jnz1568/getInfo.php?workbook=12_04.xlsx&amp;sheet=U0&amp;row=3770&amp;col=7&amp;number=1.47e-05&amp;sourceID=14","1.47e-05")</f>
        <v>1.47e-05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HYPERLINK("http://141.218.60.56/~jnz1568/getInfo.php?workbook=12_04.xlsx&amp;sheet=U0&amp;row=3771&amp;col=6&amp;number=3.7&amp;sourceID=14","3.7")</f>
        <v>3.7</v>
      </c>
      <c r="G3771" s="4" t="str">
        <f>HYPERLINK("http://141.218.60.56/~jnz1568/getInfo.php?workbook=12_04.xlsx&amp;sheet=U0&amp;row=3771&amp;col=7&amp;number=1.47e-05&amp;sourceID=14","1.47e-05")</f>
        <v>1.47e-05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HYPERLINK("http://141.218.60.56/~jnz1568/getInfo.php?workbook=12_04.xlsx&amp;sheet=U0&amp;row=3772&amp;col=6&amp;number=3.8&amp;sourceID=14","3.8")</f>
        <v>3.8</v>
      </c>
      <c r="G3772" s="4" t="str">
        <f>HYPERLINK("http://141.218.60.56/~jnz1568/getInfo.php?workbook=12_04.xlsx&amp;sheet=U0&amp;row=3772&amp;col=7&amp;number=1.47e-05&amp;sourceID=14","1.47e-05")</f>
        <v>1.47e-05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HYPERLINK("http://141.218.60.56/~jnz1568/getInfo.php?workbook=12_04.xlsx&amp;sheet=U0&amp;row=3773&amp;col=6&amp;number=3.9&amp;sourceID=14","3.9")</f>
        <v>3.9</v>
      </c>
      <c r="G3773" s="4" t="str">
        <f>HYPERLINK("http://141.218.60.56/~jnz1568/getInfo.php?workbook=12_04.xlsx&amp;sheet=U0&amp;row=3773&amp;col=7&amp;number=1.47e-05&amp;sourceID=14","1.47e-05")</f>
        <v>1.47e-05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HYPERLINK("http://141.218.60.56/~jnz1568/getInfo.php?workbook=12_04.xlsx&amp;sheet=U0&amp;row=3774&amp;col=6&amp;number=4&amp;sourceID=14","4")</f>
        <v>4</v>
      </c>
      <c r="G3774" s="4" t="str">
        <f>HYPERLINK("http://141.218.60.56/~jnz1568/getInfo.php?workbook=12_04.xlsx&amp;sheet=U0&amp;row=3774&amp;col=7&amp;number=1.47e-05&amp;sourceID=14","1.47e-05")</f>
        <v>1.47e-05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HYPERLINK("http://141.218.60.56/~jnz1568/getInfo.php?workbook=12_04.xlsx&amp;sheet=U0&amp;row=3775&amp;col=6&amp;number=4.1&amp;sourceID=14","4.1")</f>
        <v>4.1</v>
      </c>
      <c r="G3775" s="4" t="str">
        <f>HYPERLINK("http://141.218.60.56/~jnz1568/getInfo.php?workbook=12_04.xlsx&amp;sheet=U0&amp;row=3775&amp;col=7&amp;number=1.47e-05&amp;sourceID=14","1.47e-05")</f>
        <v>1.47e-05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HYPERLINK("http://141.218.60.56/~jnz1568/getInfo.php?workbook=12_04.xlsx&amp;sheet=U0&amp;row=3776&amp;col=6&amp;number=4.2&amp;sourceID=14","4.2")</f>
        <v>4.2</v>
      </c>
      <c r="G3776" s="4" t="str">
        <f>HYPERLINK("http://141.218.60.56/~jnz1568/getInfo.php?workbook=12_04.xlsx&amp;sheet=U0&amp;row=3776&amp;col=7&amp;number=1.47e-05&amp;sourceID=14","1.47e-05")</f>
        <v>1.47e-05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HYPERLINK("http://141.218.60.56/~jnz1568/getInfo.php?workbook=12_04.xlsx&amp;sheet=U0&amp;row=3777&amp;col=6&amp;number=4.3&amp;sourceID=14","4.3")</f>
        <v>4.3</v>
      </c>
      <c r="G3777" s="4" t="str">
        <f>HYPERLINK("http://141.218.60.56/~jnz1568/getInfo.php?workbook=12_04.xlsx&amp;sheet=U0&amp;row=3777&amp;col=7&amp;number=1.47e-05&amp;sourceID=14","1.47e-05")</f>
        <v>1.47e-05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HYPERLINK("http://141.218.60.56/~jnz1568/getInfo.php?workbook=12_04.xlsx&amp;sheet=U0&amp;row=3778&amp;col=6&amp;number=4.4&amp;sourceID=14","4.4")</f>
        <v>4.4</v>
      </c>
      <c r="G3778" s="4" t="str">
        <f>HYPERLINK("http://141.218.60.56/~jnz1568/getInfo.php?workbook=12_04.xlsx&amp;sheet=U0&amp;row=3778&amp;col=7&amp;number=1.46e-05&amp;sourceID=14","1.46e-05")</f>
        <v>1.46e-05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HYPERLINK("http://141.218.60.56/~jnz1568/getInfo.php?workbook=12_04.xlsx&amp;sheet=U0&amp;row=3779&amp;col=6&amp;number=4.5&amp;sourceID=14","4.5")</f>
        <v>4.5</v>
      </c>
      <c r="G3779" s="4" t="str">
        <f>HYPERLINK("http://141.218.60.56/~jnz1568/getInfo.php?workbook=12_04.xlsx&amp;sheet=U0&amp;row=3779&amp;col=7&amp;number=1.46e-05&amp;sourceID=14","1.46e-05")</f>
        <v>1.46e-05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HYPERLINK("http://141.218.60.56/~jnz1568/getInfo.php?workbook=12_04.xlsx&amp;sheet=U0&amp;row=3780&amp;col=6&amp;number=4.6&amp;sourceID=14","4.6")</f>
        <v>4.6</v>
      </c>
      <c r="G3780" s="4" t="str">
        <f>HYPERLINK("http://141.218.60.56/~jnz1568/getInfo.php?workbook=12_04.xlsx&amp;sheet=U0&amp;row=3780&amp;col=7&amp;number=1.46e-05&amp;sourceID=14","1.46e-05")</f>
        <v>1.46e-05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HYPERLINK("http://141.218.60.56/~jnz1568/getInfo.php?workbook=12_04.xlsx&amp;sheet=U0&amp;row=3781&amp;col=6&amp;number=4.7&amp;sourceID=14","4.7")</f>
        <v>4.7</v>
      </c>
      <c r="G3781" s="4" t="str">
        <f>HYPERLINK("http://141.218.60.56/~jnz1568/getInfo.php?workbook=12_04.xlsx&amp;sheet=U0&amp;row=3781&amp;col=7&amp;number=1.45e-05&amp;sourceID=14","1.45e-05")</f>
        <v>1.45e-05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HYPERLINK("http://141.218.60.56/~jnz1568/getInfo.php?workbook=12_04.xlsx&amp;sheet=U0&amp;row=3782&amp;col=6&amp;number=4.8&amp;sourceID=14","4.8")</f>
        <v>4.8</v>
      </c>
      <c r="G3782" s="4" t="str">
        <f>HYPERLINK("http://141.218.60.56/~jnz1568/getInfo.php?workbook=12_04.xlsx&amp;sheet=U0&amp;row=3782&amp;col=7&amp;number=1.45e-05&amp;sourceID=14","1.45e-05")</f>
        <v>1.45e-05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HYPERLINK("http://141.218.60.56/~jnz1568/getInfo.php?workbook=12_04.xlsx&amp;sheet=U0&amp;row=3783&amp;col=6&amp;number=4.9&amp;sourceID=14","4.9")</f>
        <v>4.9</v>
      </c>
      <c r="G3783" s="4" t="str">
        <f>HYPERLINK("http://141.218.60.56/~jnz1568/getInfo.php?workbook=12_04.xlsx&amp;sheet=U0&amp;row=3783&amp;col=7&amp;number=1.44e-05&amp;sourceID=14","1.44e-05")</f>
        <v>1.44e-05</v>
      </c>
    </row>
    <row r="3784" spans="1:7">
      <c r="A3784" s="3">
        <v>12</v>
      </c>
      <c r="B3784" s="3">
        <v>4</v>
      </c>
      <c r="C3784" s="3">
        <v>2</v>
      </c>
      <c r="D3784" s="3">
        <v>95</v>
      </c>
      <c r="E3784" s="3">
        <v>1</v>
      </c>
      <c r="F3784" s="4" t="str">
        <f>HYPERLINK("http://141.218.60.56/~jnz1568/getInfo.php?workbook=12_04.xlsx&amp;sheet=U0&amp;row=3784&amp;col=6&amp;number=3&amp;sourceID=14","3")</f>
        <v>3</v>
      </c>
      <c r="G3784" s="4" t="str">
        <f>HYPERLINK("http://141.218.60.56/~jnz1568/getInfo.php?workbook=12_04.xlsx&amp;sheet=U0&amp;row=3784&amp;col=7&amp;number=0.000177&amp;sourceID=14","0.000177")</f>
        <v>0.000177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HYPERLINK("http://141.218.60.56/~jnz1568/getInfo.php?workbook=12_04.xlsx&amp;sheet=U0&amp;row=3785&amp;col=6&amp;number=3.1&amp;sourceID=14","3.1")</f>
        <v>3.1</v>
      </c>
      <c r="G3785" s="4" t="str">
        <f>HYPERLINK("http://141.218.60.56/~jnz1568/getInfo.php?workbook=12_04.xlsx&amp;sheet=U0&amp;row=3785&amp;col=7&amp;number=0.000177&amp;sourceID=14","0.000177")</f>
        <v>0.000177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HYPERLINK("http://141.218.60.56/~jnz1568/getInfo.php?workbook=12_04.xlsx&amp;sheet=U0&amp;row=3786&amp;col=6&amp;number=3.2&amp;sourceID=14","3.2")</f>
        <v>3.2</v>
      </c>
      <c r="G3786" s="4" t="str">
        <f>HYPERLINK("http://141.218.60.56/~jnz1568/getInfo.php?workbook=12_04.xlsx&amp;sheet=U0&amp;row=3786&amp;col=7&amp;number=0.000177&amp;sourceID=14","0.000177")</f>
        <v>0.000177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HYPERLINK("http://141.218.60.56/~jnz1568/getInfo.php?workbook=12_04.xlsx&amp;sheet=U0&amp;row=3787&amp;col=6&amp;number=3.3&amp;sourceID=14","3.3")</f>
        <v>3.3</v>
      </c>
      <c r="G3787" s="4" t="str">
        <f>HYPERLINK("http://141.218.60.56/~jnz1568/getInfo.php?workbook=12_04.xlsx&amp;sheet=U0&amp;row=3787&amp;col=7&amp;number=0.000177&amp;sourceID=14","0.000177")</f>
        <v>0.000177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HYPERLINK("http://141.218.60.56/~jnz1568/getInfo.php?workbook=12_04.xlsx&amp;sheet=U0&amp;row=3788&amp;col=6&amp;number=3.4&amp;sourceID=14","3.4")</f>
        <v>3.4</v>
      </c>
      <c r="G3788" s="4" t="str">
        <f>HYPERLINK("http://141.218.60.56/~jnz1568/getInfo.php?workbook=12_04.xlsx&amp;sheet=U0&amp;row=3788&amp;col=7&amp;number=0.000176&amp;sourceID=14","0.000176")</f>
        <v>0.000176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HYPERLINK("http://141.218.60.56/~jnz1568/getInfo.php?workbook=12_04.xlsx&amp;sheet=U0&amp;row=3789&amp;col=6&amp;number=3.5&amp;sourceID=14","3.5")</f>
        <v>3.5</v>
      </c>
      <c r="G3789" s="4" t="str">
        <f>HYPERLINK("http://141.218.60.56/~jnz1568/getInfo.php?workbook=12_04.xlsx&amp;sheet=U0&amp;row=3789&amp;col=7&amp;number=0.000176&amp;sourceID=14","0.000176")</f>
        <v>0.000176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HYPERLINK("http://141.218.60.56/~jnz1568/getInfo.php?workbook=12_04.xlsx&amp;sheet=U0&amp;row=3790&amp;col=6&amp;number=3.6&amp;sourceID=14","3.6")</f>
        <v>3.6</v>
      </c>
      <c r="G3790" s="4" t="str">
        <f>HYPERLINK("http://141.218.60.56/~jnz1568/getInfo.php?workbook=12_04.xlsx&amp;sheet=U0&amp;row=3790&amp;col=7&amp;number=0.000176&amp;sourceID=14","0.000176")</f>
        <v>0.000176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HYPERLINK("http://141.218.60.56/~jnz1568/getInfo.php?workbook=12_04.xlsx&amp;sheet=U0&amp;row=3791&amp;col=6&amp;number=3.7&amp;sourceID=14","3.7")</f>
        <v>3.7</v>
      </c>
      <c r="G3791" s="4" t="str">
        <f>HYPERLINK("http://141.218.60.56/~jnz1568/getInfo.php?workbook=12_04.xlsx&amp;sheet=U0&amp;row=3791&amp;col=7&amp;number=0.000175&amp;sourceID=14","0.000175")</f>
        <v>0.000175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HYPERLINK("http://141.218.60.56/~jnz1568/getInfo.php?workbook=12_04.xlsx&amp;sheet=U0&amp;row=3792&amp;col=6&amp;number=3.8&amp;sourceID=14","3.8")</f>
        <v>3.8</v>
      </c>
      <c r="G3792" s="4" t="str">
        <f>HYPERLINK("http://141.218.60.56/~jnz1568/getInfo.php?workbook=12_04.xlsx&amp;sheet=U0&amp;row=3792&amp;col=7&amp;number=0.000175&amp;sourceID=14","0.000175")</f>
        <v>0.000175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HYPERLINK("http://141.218.60.56/~jnz1568/getInfo.php?workbook=12_04.xlsx&amp;sheet=U0&amp;row=3793&amp;col=6&amp;number=3.9&amp;sourceID=14","3.9")</f>
        <v>3.9</v>
      </c>
      <c r="G3793" s="4" t="str">
        <f>HYPERLINK("http://141.218.60.56/~jnz1568/getInfo.php?workbook=12_04.xlsx&amp;sheet=U0&amp;row=3793&amp;col=7&amp;number=0.000174&amp;sourceID=14","0.000174")</f>
        <v>0.000174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HYPERLINK("http://141.218.60.56/~jnz1568/getInfo.php?workbook=12_04.xlsx&amp;sheet=U0&amp;row=3794&amp;col=6&amp;number=4&amp;sourceID=14","4")</f>
        <v>4</v>
      </c>
      <c r="G3794" s="4" t="str">
        <f>HYPERLINK("http://141.218.60.56/~jnz1568/getInfo.php?workbook=12_04.xlsx&amp;sheet=U0&amp;row=3794&amp;col=7&amp;number=0.000173&amp;sourceID=14","0.000173")</f>
        <v>0.000173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HYPERLINK("http://141.218.60.56/~jnz1568/getInfo.php?workbook=12_04.xlsx&amp;sheet=U0&amp;row=3795&amp;col=6&amp;number=4.1&amp;sourceID=14","4.1")</f>
        <v>4.1</v>
      </c>
      <c r="G3795" s="4" t="str">
        <f>HYPERLINK("http://141.218.60.56/~jnz1568/getInfo.php?workbook=12_04.xlsx&amp;sheet=U0&amp;row=3795&amp;col=7&amp;number=0.000172&amp;sourceID=14","0.000172")</f>
        <v>0.000172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HYPERLINK("http://141.218.60.56/~jnz1568/getInfo.php?workbook=12_04.xlsx&amp;sheet=U0&amp;row=3796&amp;col=6&amp;number=4.2&amp;sourceID=14","4.2")</f>
        <v>4.2</v>
      </c>
      <c r="G3796" s="4" t="str">
        <f>HYPERLINK("http://141.218.60.56/~jnz1568/getInfo.php?workbook=12_04.xlsx&amp;sheet=U0&amp;row=3796&amp;col=7&amp;number=0.000171&amp;sourceID=14","0.000171")</f>
        <v>0.000171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HYPERLINK("http://141.218.60.56/~jnz1568/getInfo.php?workbook=12_04.xlsx&amp;sheet=U0&amp;row=3797&amp;col=6&amp;number=4.3&amp;sourceID=14","4.3")</f>
        <v>4.3</v>
      </c>
      <c r="G3797" s="4" t="str">
        <f>HYPERLINK("http://141.218.60.56/~jnz1568/getInfo.php?workbook=12_04.xlsx&amp;sheet=U0&amp;row=3797&amp;col=7&amp;number=0.000169&amp;sourceID=14","0.000169")</f>
        <v>0.000169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HYPERLINK("http://141.218.60.56/~jnz1568/getInfo.php?workbook=12_04.xlsx&amp;sheet=U0&amp;row=3798&amp;col=6&amp;number=4.4&amp;sourceID=14","4.4")</f>
        <v>4.4</v>
      </c>
      <c r="G3798" s="4" t="str">
        <f>HYPERLINK("http://141.218.60.56/~jnz1568/getInfo.php?workbook=12_04.xlsx&amp;sheet=U0&amp;row=3798&amp;col=7&amp;number=0.000167&amp;sourceID=14","0.000167")</f>
        <v>0.000167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HYPERLINK("http://141.218.60.56/~jnz1568/getInfo.php?workbook=12_04.xlsx&amp;sheet=U0&amp;row=3799&amp;col=6&amp;number=4.5&amp;sourceID=14","4.5")</f>
        <v>4.5</v>
      </c>
      <c r="G3799" s="4" t="str">
        <f>HYPERLINK("http://141.218.60.56/~jnz1568/getInfo.php?workbook=12_04.xlsx&amp;sheet=U0&amp;row=3799&amp;col=7&amp;number=0.000164&amp;sourceID=14","0.000164")</f>
        <v>0.000164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HYPERLINK("http://141.218.60.56/~jnz1568/getInfo.php?workbook=12_04.xlsx&amp;sheet=U0&amp;row=3800&amp;col=6&amp;number=4.6&amp;sourceID=14","4.6")</f>
        <v>4.6</v>
      </c>
      <c r="G3800" s="4" t="str">
        <f>HYPERLINK("http://141.218.60.56/~jnz1568/getInfo.php?workbook=12_04.xlsx&amp;sheet=U0&amp;row=3800&amp;col=7&amp;number=0.000161&amp;sourceID=14","0.000161")</f>
        <v>0.000161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HYPERLINK("http://141.218.60.56/~jnz1568/getInfo.php?workbook=12_04.xlsx&amp;sheet=U0&amp;row=3801&amp;col=6&amp;number=4.7&amp;sourceID=14","4.7")</f>
        <v>4.7</v>
      </c>
      <c r="G3801" s="4" t="str">
        <f>HYPERLINK("http://141.218.60.56/~jnz1568/getInfo.php?workbook=12_04.xlsx&amp;sheet=U0&amp;row=3801&amp;col=7&amp;number=0.000156&amp;sourceID=14","0.000156")</f>
        <v>0.000156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HYPERLINK("http://141.218.60.56/~jnz1568/getInfo.php?workbook=12_04.xlsx&amp;sheet=U0&amp;row=3802&amp;col=6&amp;number=4.8&amp;sourceID=14","4.8")</f>
        <v>4.8</v>
      </c>
      <c r="G3802" s="4" t="str">
        <f>HYPERLINK("http://141.218.60.56/~jnz1568/getInfo.php?workbook=12_04.xlsx&amp;sheet=U0&amp;row=3802&amp;col=7&amp;number=0.000152&amp;sourceID=14","0.000152")</f>
        <v>0.000152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HYPERLINK("http://141.218.60.56/~jnz1568/getInfo.php?workbook=12_04.xlsx&amp;sheet=U0&amp;row=3803&amp;col=6&amp;number=4.9&amp;sourceID=14","4.9")</f>
        <v>4.9</v>
      </c>
      <c r="G3803" s="4" t="str">
        <f>HYPERLINK("http://141.218.60.56/~jnz1568/getInfo.php?workbook=12_04.xlsx&amp;sheet=U0&amp;row=3803&amp;col=7&amp;number=0.000146&amp;sourceID=14","0.000146")</f>
        <v>0.000146</v>
      </c>
    </row>
    <row r="3804" spans="1:7">
      <c r="A3804" s="3">
        <v>12</v>
      </c>
      <c r="B3804" s="3">
        <v>4</v>
      </c>
      <c r="C3804" s="3">
        <v>2</v>
      </c>
      <c r="D3804" s="3">
        <v>96</v>
      </c>
      <c r="E3804" s="3">
        <v>1</v>
      </c>
      <c r="F3804" s="4" t="str">
        <f>HYPERLINK("http://141.218.60.56/~jnz1568/getInfo.php?workbook=12_04.xlsx&amp;sheet=U0&amp;row=3804&amp;col=6&amp;number=3&amp;sourceID=14","3")</f>
        <v>3</v>
      </c>
      <c r="G3804" s="4" t="str">
        <f>HYPERLINK("http://141.218.60.56/~jnz1568/getInfo.php?workbook=12_04.xlsx&amp;sheet=U0&amp;row=3804&amp;col=7&amp;number=0.000113&amp;sourceID=14","0.000113")</f>
        <v>0.000113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HYPERLINK("http://141.218.60.56/~jnz1568/getInfo.php?workbook=12_04.xlsx&amp;sheet=U0&amp;row=3805&amp;col=6&amp;number=3.1&amp;sourceID=14","3.1")</f>
        <v>3.1</v>
      </c>
      <c r="G3805" s="4" t="str">
        <f>HYPERLINK("http://141.218.60.56/~jnz1568/getInfo.php?workbook=12_04.xlsx&amp;sheet=U0&amp;row=3805&amp;col=7&amp;number=0.000113&amp;sourceID=14","0.000113")</f>
        <v>0.000113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HYPERLINK("http://141.218.60.56/~jnz1568/getInfo.php?workbook=12_04.xlsx&amp;sheet=U0&amp;row=3806&amp;col=6&amp;number=3.2&amp;sourceID=14","3.2")</f>
        <v>3.2</v>
      </c>
      <c r="G3806" s="4" t="str">
        <f>HYPERLINK("http://141.218.60.56/~jnz1568/getInfo.php?workbook=12_04.xlsx&amp;sheet=U0&amp;row=3806&amp;col=7&amp;number=0.000113&amp;sourceID=14","0.000113")</f>
        <v>0.000113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HYPERLINK("http://141.218.60.56/~jnz1568/getInfo.php?workbook=12_04.xlsx&amp;sheet=U0&amp;row=3807&amp;col=6&amp;number=3.3&amp;sourceID=14","3.3")</f>
        <v>3.3</v>
      </c>
      <c r="G3807" s="4" t="str">
        <f>HYPERLINK("http://141.218.60.56/~jnz1568/getInfo.php?workbook=12_04.xlsx&amp;sheet=U0&amp;row=3807&amp;col=7&amp;number=0.000113&amp;sourceID=14","0.000113")</f>
        <v>0.000113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HYPERLINK("http://141.218.60.56/~jnz1568/getInfo.php?workbook=12_04.xlsx&amp;sheet=U0&amp;row=3808&amp;col=6&amp;number=3.4&amp;sourceID=14","3.4")</f>
        <v>3.4</v>
      </c>
      <c r="G3808" s="4" t="str">
        <f>HYPERLINK("http://141.218.60.56/~jnz1568/getInfo.php?workbook=12_04.xlsx&amp;sheet=U0&amp;row=3808&amp;col=7&amp;number=0.000113&amp;sourceID=14","0.000113")</f>
        <v>0.000113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HYPERLINK("http://141.218.60.56/~jnz1568/getInfo.php?workbook=12_04.xlsx&amp;sheet=U0&amp;row=3809&amp;col=6&amp;number=3.5&amp;sourceID=14","3.5")</f>
        <v>3.5</v>
      </c>
      <c r="G3809" s="4" t="str">
        <f>HYPERLINK("http://141.218.60.56/~jnz1568/getInfo.php?workbook=12_04.xlsx&amp;sheet=U0&amp;row=3809&amp;col=7&amp;number=0.000113&amp;sourceID=14","0.000113")</f>
        <v>0.000113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HYPERLINK("http://141.218.60.56/~jnz1568/getInfo.php?workbook=12_04.xlsx&amp;sheet=U0&amp;row=3810&amp;col=6&amp;number=3.6&amp;sourceID=14","3.6")</f>
        <v>3.6</v>
      </c>
      <c r="G3810" s="4" t="str">
        <f>HYPERLINK("http://141.218.60.56/~jnz1568/getInfo.php?workbook=12_04.xlsx&amp;sheet=U0&amp;row=3810&amp;col=7&amp;number=0.000112&amp;sourceID=14","0.000112")</f>
        <v>0.000112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HYPERLINK("http://141.218.60.56/~jnz1568/getInfo.php?workbook=12_04.xlsx&amp;sheet=U0&amp;row=3811&amp;col=6&amp;number=3.7&amp;sourceID=14","3.7")</f>
        <v>3.7</v>
      </c>
      <c r="G3811" s="4" t="str">
        <f>HYPERLINK("http://141.218.60.56/~jnz1568/getInfo.php?workbook=12_04.xlsx&amp;sheet=U0&amp;row=3811&amp;col=7&amp;number=0.000112&amp;sourceID=14","0.000112")</f>
        <v>0.000112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HYPERLINK("http://141.218.60.56/~jnz1568/getInfo.php?workbook=12_04.xlsx&amp;sheet=U0&amp;row=3812&amp;col=6&amp;number=3.8&amp;sourceID=14","3.8")</f>
        <v>3.8</v>
      </c>
      <c r="G3812" s="4" t="str">
        <f>HYPERLINK("http://141.218.60.56/~jnz1568/getInfo.php?workbook=12_04.xlsx&amp;sheet=U0&amp;row=3812&amp;col=7&amp;number=0.000111&amp;sourceID=14","0.000111")</f>
        <v>0.000111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HYPERLINK("http://141.218.60.56/~jnz1568/getInfo.php?workbook=12_04.xlsx&amp;sheet=U0&amp;row=3813&amp;col=6&amp;number=3.9&amp;sourceID=14","3.9")</f>
        <v>3.9</v>
      </c>
      <c r="G3813" s="4" t="str">
        <f>HYPERLINK("http://141.218.60.56/~jnz1568/getInfo.php?workbook=12_04.xlsx&amp;sheet=U0&amp;row=3813&amp;col=7&amp;number=0.000111&amp;sourceID=14","0.000111")</f>
        <v>0.000111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HYPERLINK("http://141.218.60.56/~jnz1568/getInfo.php?workbook=12_04.xlsx&amp;sheet=U0&amp;row=3814&amp;col=6&amp;number=4&amp;sourceID=14","4")</f>
        <v>4</v>
      </c>
      <c r="G3814" s="4" t="str">
        <f>HYPERLINK("http://141.218.60.56/~jnz1568/getInfo.php?workbook=12_04.xlsx&amp;sheet=U0&amp;row=3814&amp;col=7&amp;number=0.00011&amp;sourceID=14","0.00011")</f>
        <v>0.00011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HYPERLINK("http://141.218.60.56/~jnz1568/getInfo.php?workbook=12_04.xlsx&amp;sheet=U0&amp;row=3815&amp;col=6&amp;number=4.1&amp;sourceID=14","4.1")</f>
        <v>4.1</v>
      </c>
      <c r="G3815" s="4" t="str">
        <f>HYPERLINK("http://141.218.60.56/~jnz1568/getInfo.php?workbook=12_04.xlsx&amp;sheet=U0&amp;row=3815&amp;col=7&amp;number=0.000109&amp;sourceID=14","0.000109")</f>
        <v>0.000109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HYPERLINK("http://141.218.60.56/~jnz1568/getInfo.php?workbook=12_04.xlsx&amp;sheet=U0&amp;row=3816&amp;col=6&amp;number=4.2&amp;sourceID=14","4.2")</f>
        <v>4.2</v>
      </c>
      <c r="G3816" s="4" t="str">
        <f>HYPERLINK("http://141.218.60.56/~jnz1568/getInfo.php?workbook=12_04.xlsx&amp;sheet=U0&amp;row=3816&amp;col=7&amp;number=0.000108&amp;sourceID=14","0.000108")</f>
        <v>0.000108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HYPERLINK("http://141.218.60.56/~jnz1568/getInfo.php?workbook=12_04.xlsx&amp;sheet=U0&amp;row=3817&amp;col=6&amp;number=4.3&amp;sourceID=14","4.3")</f>
        <v>4.3</v>
      </c>
      <c r="G3817" s="4" t="str">
        <f>HYPERLINK("http://141.218.60.56/~jnz1568/getInfo.php?workbook=12_04.xlsx&amp;sheet=U0&amp;row=3817&amp;col=7&amp;number=0.000106&amp;sourceID=14","0.000106")</f>
        <v>0.000106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HYPERLINK("http://141.218.60.56/~jnz1568/getInfo.php?workbook=12_04.xlsx&amp;sheet=U0&amp;row=3818&amp;col=6&amp;number=4.4&amp;sourceID=14","4.4")</f>
        <v>4.4</v>
      </c>
      <c r="G3818" s="4" t="str">
        <f>HYPERLINK("http://141.218.60.56/~jnz1568/getInfo.php?workbook=12_04.xlsx&amp;sheet=U0&amp;row=3818&amp;col=7&amp;number=0.000104&amp;sourceID=14","0.000104")</f>
        <v>0.000104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HYPERLINK("http://141.218.60.56/~jnz1568/getInfo.php?workbook=12_04.xlsx&amp;sheet=U0&amp;row=3819&amp;col=6&amp;number=4.5&amp;sourceID=14","4.5")</f>
        <v>4.5</v>
      </c>
      <c r="G3819" s="4" t="str">
        <f>HYPERLINK("http://141.218.60.56/~jnz1568/getInfo.php?workbook=12_04.xlsx&amp;sheet=U0&amp;row=3819&amp;col=7&amp;number=0.000102&amp;sourceID=14","0.000102")</f>
        <v>0.000102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HYPERLINK("http://141.218.60.56/~jnz1568/getInfo.php?workbook=12_04.xlsx&amp;sheet=U0&amp;row=3820&amp;col=6&amp;number=4.6&amp;sourceID=14","4.6")</f>
        <v>4.6</v>
      </c>
      <c r="G3820" s="4" t="str">
        <f>HYPERLINK("http://141.218.60.56/~jnz1568/getInfo.php?workbook=12_04.xlsx&amp;sheet=U0&amp;row=3820&amp;col=7&amp;number=9.9e-05&amp;sourceID=14","9.9e-05")</f>
        <v>9.9e-05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HYPERLINK("http://141.218.60.56/~jnz1568/getInfo.php?workbook=12_04.xlsx&amp;sheet=U0&amp;row=3821&amp;col=6&amp;number=4.7&amp;sourceID=14","4.7")</f>
        <v>4.7</v>
      </c>
      <c r="G3821" s="4" t="str">
        <f>HYPERLINK("http://141.218.60.56/~jnz1568/getInfo.php?workbook=12_04.xlsx&amp;sheet=U0&amp;row=3821&amp;col=7&amp;number=9.55e-05&amp;sourceID=14","9.55e-05")</f>
        <v>9.55e-05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HYPERLINK("http://141.218.60.56/~jnz1568/getInfo.php?workbook=12_04.xlsx&amp;sheet=U0&amp;row=3822&amp;col=6&amp;number=4.8&amp;sourceID=14","4.8")</f>
        <v>4.8</v>
      </c>
      <c r="G3822" s="4" t="str">
        <f>HYPERLINK("http://141.218.60.56/~jnz1568/getInfo.php?workbook=12_04.xlsx&amp;sheet=U0&amp;row=3822&amp;col=7&amp;number=9.12e-05&amp;sourceID=14","9.12e-05")</f>
        <v>9.12e-05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HYPERLINK("http://141.218.60.56/~jnz1568/getInfo.php?workbook=12_04.xlsx&amp;sheet=U0&amp;row=3823&amp;col=6&amp;number=4.9&amp;sourceID=14","4.9")</f>
        <v>4.9</v>
      </c>
      <c r="G3823" s="4" t="str">
        <f>HYPERLINK("http://141.218.60.56/~jnz1568/getInfo.php?workbook=12_04.xlsx&amp;sheet=U0&amp;row=3823&amp;col=7&amp;number=8.62e-05&amp;sourceID=14","8.62e-05")</f>
        <v>8.62e-05</v>
      </c>
    </row>
    <row r="3824" spans="1:7">
      <c r="A3824" s="3">
        <v>12</v>
      </c>
      <c r="B3824" s="3">
        <v>4</v>
      </c>
      <c r="C3824" s="3">
        <v>2</v>
      </c>
      <c r="D3824" s="3">
        <v>97</v>
      </c>
      <c r="E3824" s="3">
        <v>1</v>
      </c>
      <c r="F3824" s="4" t="str">
        <f>HYPERLINK("http://141.218.60.56/~jnz1568/getInfo.php?workbook=12_04.xlsx&amp;sheet=U0&amp;row=3824&amp;col=6&amp;number=3&amp;sourceID=14","3")</f>
        <v>3</v>
      </c>
      <c r="G3824" s="4" t="str">
        <f>HYPERLINK("http://141.218.60.56/~jnz1568/getInfo.php?workbook=12_04.xlsx&amp;sheet=U0&amp;row=3824&amp;col=7&amp;number=0.000955&amp;sourceID=14","0.000955")</f>
        <v>0.000955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HYPERLINK("http://141.218.60.56/~jnz1568/getInfo.php?workbook=12_04.xlsx&amp;sheet=U0&amp;row=3825&amp;col=6&amp;number=3.1&amp;sourceID=14","3.1")</f>
        <v>3.1</v>
      </c>
      <c r="G3825" s="4" t="str">
        <f>HYPERLINK("http://141.218.60.56/~jnz1568/getInfo.php?workbook=12_04.xlsx&amp;sheet=U0&amp;row=3825&amp;col=7&amp;number=0.000955&amp;sourceID=14","0.000955")</f>
        <v>0.000955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HYPERLINK("http://141.218.60.56/~jnz1568/getInfo.php?workbook=12_04.xlsx&amp;sheet=U0&amp;row=3826&amp;col=6&amp;number=3.2&amp;sourceID=14","3.2")</f>
        <v>3.2</v>
      </c>
      <c r="G3826" s="4" t="str">
        <f>HYPERLINK("http://141.218.60.56/~jnz1568/getInfo.php?workbook=12_04.xlsx&amp;sheet=U0&amp;row=3826&amp;col=7&amp;number=0.000955&amp;sourceID=14","0.000955")</f>
        <v>0.000955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HYPERLINK("http://141.218.60.56/~jnz1568/getInfo.php?workbook=12_04.xlsx&amp;sheet=U0&amp;row=3827&amp;col=6&amp;number=3.3&amp;sourceID=14","3.3")</f>
        <v>3.3</v>
      </c>
      <c r="G3827" s="4" t="str">
        <f>HYPERLINK("http://141.218.60.56/~jnz1568/getInfo.php?workbook=12_04.xlsx&amp;sheet=U0&amp;row=3827&amp;col=7&amp;number=0.000955&amp;sourceID=14","0.000955")</f>
        <v>0.000955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HYPERLINK("http://141.218.60.56/~jnz1568/getInfo.php?workbook=12_04.xlsx&amp;sheet=U0&amp;row=3828&amp;col=6&amp;number=3.4&amp;sourceID=14","3.4")</f>
        <v>3.4</v>
      </c>
      <c r="G3828" s="4" t="str">
        <f>HYPERLINK("http://141.218.60.56/~jnz1568/getInfo.php?workbook=12_04.xlsx&amp;sheet=U0&amp;row=3828&amp;col=7&amp;number=0.000955&amp;sourceID=14","0.000955")</f>
        <v>0.000955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HYPERLINK("http://141.218.60.56/~jnz1568/getInfo.php?workbook=12_04.xlsx&amp;sheet=U0&amp;row=3829&amp;col=6&amp;number=3.5&amp;sourceID=14","3.5")</f>
        <v>3.5</v>
      </c>
      <c r="G3829" s="4" t="str">
        <f>HYPERLINK("http://141.218.60.56/~jnz1568/getInfo.php?workbook=12_04.xlsx&amp;sheet=U0&amp;row=3829&amp;col=7&amp;number=0.000954&amp;sourceID=14","0.000954")</f>
        <v>0.000954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HYPERLINK("http://141.218.60.56/~jnz1568/getInfo.php?workbook=12_04.xlsx&amp;sheet=U0&amp;row=3830&amp;col=6&amp;number=3.6&amp;sourceID=14","3.6")</f>
        <v>3.6</v>
      </c>
      <c r="G3830" s="4" t="str">
        <f>HYPERLINK("http://141.218.60.56/~jnz1568/getInfo.php?workbook=12_04.xlsx&amp;sheet=U0&amp;row=3830&amp;col=7&amp;number=0.000954&amp;sourceID=14","0.000954")</f>
        <v>0.000954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HYPERLINK("http://141.218.60.56/~jnz1568/getInfo.php?workbook=12_04.xlsx&amp;sheet=U0&amp;row=3831&amp;col=6&amp;number=3.7&amp;sourceID=14","3.7")</f>
        <v>3.7</v>
      </c>
      <c r="G3831" s="4" t="str">
        <f>HYPERLINK("http://141.218.60.56/~jnz1568/getInfo.php?workbook=12_04.xlsx&amp;sheet=U0&amp;row=3831&amp;col=7&amp;number=0.000954&amp;sourceID=14","0.000954")</f>
        <v>0.000954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HYPERLINK("http://141.218.60.56/~jnz1568/getInfo.php?workbook=12_04.xlsx&amp;sheet=U0&amp;row=3832&amp;col=6&amp;number=3.8&amp;sourceID=14","3.8")</f>
        <v>3.8</v>
      </c>
      <c r="G3832" s="4" t="str">
        <f>HYPERLINK("http://141.218.60.56/~jnz1568/getInfo.php?workbook=12_04.xlsx&amp;sheet=U0&amp;row=3832&amp;col=7&amp;number=0.000954&amp;sourceID=14","0.000954")</f>
        <v>0.000954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HYPERLINK("http://141.218.60.56/~jnz1568/getInfo.php?workbook=12_04.xlsx&amp;sheet=U0&amp;row=3833&amp;col=6&amp;number=3.9&amp;sourceID=14","3.9")</f>
        <v>3.9</v>
      </c>
      <c r="G3833" s="4" t="str">
        <f>HYPERLINK("http://141.218.60.56/~jnz1568/getInfo.php?workbook=12_04.xlsx&amp;sheet=U0&amp;row=3833&amp;col=7&amp;number=0.000953&amp;sourceID=14","0.000953")</f>
        <v>0.000953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HYPERLINK("http://141.218.60.56/~jnz1568/getInfo.php?workbook=12_04.xlsx&amp;sheet=U0&amp;row=3834&amp;col=6&amp;number=4&amp;sourceID=14","4")</f>
        <v>4</v>
      </c>
      <c r="G3834" s="4" t="str">
        <f>HYPERLINK("http://141.218.60.56/~jnz1568/getInfo.php?workbook=12_04.xlsx&amp;sheet=U0&amp;row=3834&amp;col=7&amp;number=0.000953&amp;sourceID=14","0.000953")</f>
        <v>0.000953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HYPERLINK("http://141.218.60.56/~jnz1568/getInfo.php?workbook=12_04.xlsx&amp;sheet=U0&amp;row=3835&amp;col=6&amp;number=4.1&amp;sourceID=14","4.1")</f>
        <v>4.1</v>
      </c>
      <c r="G3835" s="4" t="str">
        <f>HYPERLINK("http://141.218.60.56/~jnz1568/getInfo.php?workbook=12_04.xlsx&amp;sheet=U0&amp;row=3835&amp;col=7&amp;number=0.000953&amp;sourceID=14","0.000953")</f>
        <v>0.000953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HYPERLINK("http://141.218.60.56/~jnz1568/getInfo.php?workbook=12_04.xlsx&amp;sheet=U0&amp;row=3836&amp;col=6&amp;number=4.2&amp;sourceID=14","4.2")</f>
        <v>4.2</v>
      </c>
      <c r="G3836" s="4" t="str">
        <f>HYPERLINK("http://141.218.60.56/~jnz1568/getInfo.php?workbook=12_04.xlsx&amp;sheet=U0&amp;row=3836&amp;col=7&amp;number=0.000952&amp;sourceID=14","0.000952")</f>
        <v>0.000952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HYPERLINK("http://141.218.60.56/~jnz1568/getInfo.php?workbook=12_04.xlsx&amp;sheet=U0&amp;row=3837&amp;col=6&amp;number=4.3&amp;sourceID=14","4.3")</f>
        <v>4.3</v>
      </c>
      <c r="G3837" s="4" t="str">
        <f>HYPERLINK("http://141.218.60.56/~jnz1568/getInfo.php?workbook=12_04.xlsx&amp;sheet=U0&amp;row=3837&amp;col=7&amp;number=0.000951&amp;sourceID=14","0.000951")</f>
        <v>0.000951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HYPERLINK("http://141.218.60.56/~jnz1568/getInfo.php?workbook=12_04.xlsx&amp;sheet=U0&amp;row=3838&amp;col=6&amp;number=4.4&amp;sourceID=14","4.4")</f>
        <v>4.4</v>
      </c>
      <c r="G3838" s="4" t="str">
        <f>HYPERLINK("http://141.218.60.56/~jnz1568/getInfo.php?workbook=12_04.xlsx&amp;sheet=U0&amp;row=3838&amp;col=7&amp;number=0.00095&amp;sourceID=14","0.00095")</f>
        <v>0.00095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HYPERLINK("http://141.218.60.56/~jnz1568/getInfo.php?workbook=12_04.xlsx&amp;sheet=U0&amp;row=3839&amp;col=6&amp;number=4.5&amp;sourceID=14","4.5")</f>
        <v>4.5</v>
      </c>
      <c r="G3839" s="4" t="str">
        <f>HYPERLINK("http://141.218.60.56/~jnz1568/getInfo.php?workbook=12_04.xlsx&amp;sheet=U0&amp;row=3839&amp;col=7&amp;number=0.000949&amp;sourceID=14","0.000949")</f>
        <v>0.000949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HYPERLINK("http://141.218.60.56/~jnz1568/getInfo.php?workbook=12_04.xlsx&amp;sheet=U0&amp;row=3840&amp;col=6&amp;number=4.6&amp;sourceID=14","4.6")</f>
        <v>4.6</v>
      </c>
      <c r="G3840" s="4" t="str">
        <f>HYPERLINK("http://141.218.60.56/~jnz1568/getInfo.php?workbook=12_04.xlsx&amp;sheet=U0&amp;row=3840&amp;col=7&amp;number=0.000947&amp;sourceID=14","0.000947")</f>
        <v>0.000947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HYPERLINK("http://141.218.60.56/~jnz1568/getInfo.php?workbook=12_04.xlsx&amp;sheet=U0&amp;row=3841&amp;col=6&amp;number=4.7&amp;sourceID=14","4.7")</f>
        <v>4.7</v>
      </c>
      <c r="G3841" s="4" t="str">
        <f>HYPERLINK("http://141.218.60.56/~jnz1568/getInfo.php?workbook=12_04.xlsx&amp;sheet=U0&amp;row=3841&amp;col=7&amp;number=0.000945&amp;sourceID=14","0.000945")</f>
        <v>0.000945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HYPERLINK("http://141.218.60.56/~jnz1568/getInfo.php?workbook=12_04.xlsx&amp;sheet=U0&amp;row=3842&amp;col=6&amp;number=4.8&amp;sourceID=14","4.8")</f>
        <v>4.8</v>
      </c>
      <c r="G3842" s="4" t="str">
        <f>HYPERLINK("http://141.218.60.56/~jnz1568/getInfo.php?workbook=12_04.xlsx&amp;sheet=U0&amp;row=3842&amp;col=7&amp;number=0.000943&amp;sourceID=14","0.000943")</f>
        <v>0.000943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HYPERLINK("http://141.218.60.56/~jnz1568/getInfo.php?workbook=12_04.xlsx&amp;sheet=U0&amp;row=3843&amp;col=6&amp;number=4.9&amp;sourceID=14","4.9")</f>
        <v>4.9</v>
      </c>
      <c r="G3843" s="4" t="str">
        <f>HYPERLINK("http://141.218.60.56/~jnz1568/getInfo.php?workbook=12_04.xlsx&amp;sheet=U0&amp;row=3843&amp;col=7&amp;number=0.00094&amp;sourceID=14","0.00094")</f>
        <v>0.00094</v>
      </c>
    </row>
    <row r="3844" spans="1:7">
      <c r="A3844" s="3">
        <v>12</v>
      </c>
      <c r="B3844" s="3">
        <v>4</v>
      </c>
      <c r="C3844" s="3">
        <v>2</v>
      </c>
      <c r="D3844" s="3">
        <v>98</v>
      </c>
      <c r="E3844" s="3">
        <v>1</v>
      </c>
      <c r="F3844" s="4" t="str">
        <f>HYPERLINK("http://141.218.60.56/~jnz1568/getInfo.php?workbook=12_04.xlsx&amp;sheet=U0&amp;row=3844&amp;col=6&amp;number=3&amp;sourceID=14","3")</f>
        <v>3</v>
      </c>
      <c r="G3844" s="4" t="str">
        <f>HYPERLINK("http://141.218.60.56/~jnz1568/getInfo.php?workbook=12_04.xlsx&amp;sheet=U0&amp;row=3844&amp;col=7&amp;number=0.00037&amp;sourceID=14","0.00037")</f>
        <v>0.00037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HYPERLINK("http://141.218.60.56/~jnz1568/getInfo.php?workbook=12_04.xlsx&amp;sheet=U0&amp;row=3845&amp;col=6&amp;number=3.1&amp;sourceID=14","3.1")</f>
        <v>3.1</v>
      </c>
      <c r="G3845" s="4" t="str">
        <f>HYPERLINK("http://141.218.60.56/~jnz1568/getInfo.php?workbook=12_04.xlsx&amp;sheet=U0&amp;row=3845&amp;col=7&amp;number=0.00037&amp;sourceID=14","0.00037")</f>
        <v>0.00037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HYPERLINK("http://141.218.60.56/~jnz1568/getInfo.php?workbook=12_04.xlsx&amp;sheet=U0&amp;row=3846&amp;col=6&amp;number=3.2&amp;sourceID=14","3.2")</f>
        <v>3.2</v>
      </c>
      <c r="G3846" s="4" t="str">
        <f>HYPERLINK("http://141.218.60.56/~jnz1568/getInfo.php?workbook=12_04.xlsx&amp;sheet=U0&amp;row=3846&amp;col=7&amp;number=0.00037&amp;sourceID=14","0.00037")</f>
        <v>0.00037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HYPERLINK("http://141.218.60.56/~jnz1568/getInfo.php?workbook=12_04.xlsx&amp;sheet=U0&amp;row=3847&amp;col=6&amp;number=3.3&amp;sourceID=14","3.3")</f>
        <v>3.3</v>
      </c>
      <c r="G3847" s="4" t="str">
        <f>HYPERLINK("http://141.218.60.56/~jnz1568/getInfo.php?workbook=12_04.xlsx&amp;sheet=U0&amp;row=3847&amp;col=7&amp;number=0.00037&amp;sourceID=14","0.00037")</f>
        <v>0.00037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HYPERLINK("http://141.218.60.56/~jnz1568/getInfo.php?workbook=12_04.xlsx&amp;sheet=U0&amp;row=3848&amp;col=6&amp;number=3.4&amp;sourceID=14","3.4")</f>
        <v>3.4</v>
      </c>
      <c r="G3848" s="4" t="str">
        <f>HYPERLINK("http://141.218.60.56/~jnz1568/getInfo.php?workbook=12_04.xlsx&amp;sheet=U0&amp;row=3848&amp;col=7&amp;number=0.00037&amp;sourceID=14","0.00037")</f>
        <v>0.00037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HYPERLINK("http://141.218.60.56/~jnz1568/getInfo.php?workbook=12_04.xlsx&amp;sheet=U0&amp;row=3849&amp;col=6&amp;number=3.5&amp;sourceID=14","3.5")</f>
        <v>3.5</v>
      </c>
      <c r="G3849" s="4" t="str">
        <f>HYPERLINK("http://141.218.60.56/~jnz1568/getInfo.php?workbook=12_04.xlsx&amp;sheet=U0&amp;row=3849&amp;col=7&amp;number=0.00037&amp;sourceID=14","0.00037")</f>
        <v>0.00037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HYPERLINK("http://141.218.60.56/~jnz1568/getInfo.php?workbook=12_04.xlsx&amp;sheet=U0&amp;row=3850&amp;col=6&amp;number=3.6&amp;sourceID=14","3.6")</f>
        <v>3.6</v>
      </c>
      <c r="G3850" s="4" t="str">
        <f>HYPERLINK("http://141.218.60.56/~jnz1568/getInfo.php?workbook=12_04.xlsx&amp;sheet=U0&amp;row=3850&amp;col=7&amp;number=0.00037&amp;sourceID=14","0.00037")</f>
        <v>0.00037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HYPERLINK("http://141.218.60.56/~jnz1568/getInfo.php?workbook=12_04.xlsx&amp;sheet=U0&amp;row=3851&amp;col=6&amp;number=3.7&amp;sourceID=14","3.7")</f>
        <v>3.7</v>
      </c>
      <c r="G3851" s="4" t="str">
        <f>HYPERLINK("http://141.218.60.56/~jnz1568/getInfo.php?workbook=12_04.xlsx&amp;sheet=U0&amp;row=3851&amp;col=7&amp;number=0.00037&amp;sourceID=14","0.00037")</f>
        <v>0.00037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HYPERLINK("http://141.218.60.56/~jnz1568/getInfo.php?workbook=12_04.xlsx&amp;sheet=U0&amp;row=3852&amp;col=6&amp;number=3.8&amp;sourceID=14","3.8")</f>
        <v>3.8</v>
      </c>
      <c r="G3852" s="4" t="str">
        <f>HYPERLINK("http://141.218.60.56/~jnz1568/getInfo.php?workbook=12_04.xlsx&amp;sheet=U0&amp;row=3852&amp;col=7&amp;number=0.00037&amp;sourceID=14","0.00037")</f>
        <v>0.00037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HYPERLINK("http://141.218.60.56/~jnz1568/getInfo.php?workbook=12_04.xlsx&amp;sheet=U0&amp;row=3853&amp;col=6&amp;number=3.9&amp;sourceID=14","3.9")</f>
        <v>3.9</v>
      </c>
      <c r="G3853" s="4" t="str">
        <f>HYPERLINK("http://141.218.60.56/~jnz1568/getInfo.php?workbook=12_04.xlsx&amp;sheet=U0&amp;row=3853&amp;col=7&amp;number=0.000369&amp;sourceID=14","0.000369")</f>
        <v>0.000369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HYPERLINK("http://141.218.60.56/~jnz1568/getInfo.php?workbook=12_04.xlsx&amp;sheet=U0&amp;row=3854&amp;col=6&amp;number=4&amp;sourceID=14","4")</f>
        <v>4</v>
      </c>
      <c r="G3854" s="4" t="str">
        <f>HYPERLINK("http://141.218.60.56/~jnz1568/getInfo.php?workbook=12_04.xlsx&amp;sheet=U0&amp;row=3854&amp;col=7&amp;number=0.000369&amp;sourceID=14","0.000369")</f>
        <v>0.000369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HYPERLINK("http://141.218.60.56/~jnz1568/getInfo.php?workbook=12_04.xlsx&amp;sheet=U0&amp;row=3855&amp;col=6&amp;number=4.1&amp;sourceID=14","4.1")</f>
        <v>4.1</v>
      </c>
      <c r="G3855" s="4" t="str">
        <f>HYPERLINK("http://141.218.60.56/~jnz1568/getInfo.php?workbook=12_04.xlsx&amp;sheet=U0&amp;row=3855&amp;col=7&amp;number=0.000369&amp;sourceID=14","0.000369")</f>
        <v>0.000369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HYPERLINK("http://141.218.60.56/~jnz1568/getInfo.php?workbook=12_04.xlsx&amp;sheet=U0&amp;row=3856&amp;col=6&amp;number=4.2&amp;sourceID=14","4.2")</f>
        <v>4.2</v>
      </c>
      <c r="G3856" s="4" t="str">
        <f>HYPERLINK("http://141.218.60.56/~jnz1568/getInfo.php?workbook=12_04.xlsx&amp;sheet=U0&amp;row=3856&amp;col=7&amp;number=0.000369&amp;sourceID=14","0.000369")</f>
        <v>0.000369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HYPERLINK("http://141.218.60.56/~jnz1568/getInfo.php?workbook=12_04.xlsx&amp;sheet=U0&amp;row=3857&amp;col=6&amp;number=4.3&amp;sourceID=14","4.3")</f>
        <v>4.3</v>
      </c>
      <c r="G3857" s="4" t="str">
        <f>HYPERLINK("http://141.218.60.56/~jnz1568/getInfo.php?workbook=12_04.xlsx&amp;sheet=U0&amp;row=3857&amp;col=7&amp;number=0.000369&amp;sourceID=14","0.000369")</f>
        <v>0.000369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HYPERLINK("http://141.218.60.56/~jnz1568/getInfo.php?workbook=12_04.xlsx&amp;sheet=U0&amp;row=3858&amp;col=6&amp;number=4.4&amp;sourceID=14","4.4")</f>
        <v>4.4</v>
      </c>
      <c r="G3858" s="4" t="str">
        <f>HYPERLINK("http://141.218.60.56/~jnz1568/getInfo.php?workbook=12_04.xlsx&amp;sheet=U0&amp;row=3858&amp;col=7&amp;number=0.000368&amp;sourceID=14","0.000368")</f>
        <v>0.000368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HYPERLINK("http://141.218.60.56/~jnz1568/getInfo.php?workbook=12_04.xlsx&amp;sheet=U0&amp;row=3859&amp;col=6&amp;number=4.5&amp;sourceID=14","4.5")</f>
        <v>4.5</v>
      </c>
      <c r="G3859" s="4" t="str">
        <f>HYPERLINK("http://141.218.60.56/~jnz1568/getInfo.php?workbook=12_04.xlsx&amp;sheet=U0&amp;row=3859&amp;col=7&amp;number=0.000368&amp;sourceID=14","0.000368")</f>
        <v>0.000368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HYPERLINK("http://141.218.60.56/~jnz1568/getInfo.php?workbook=12_04.xlsx&amp;sheet=U0&amp;row=3860&amp;col=6&amp;number=4.6&amp;sourceID=14","4.6")</f>
        <v>4.6</v>
      </c>
      <c r="G3860" s="4" t="str">
        <f>HYPERLINK("http://141.218.60.56/~jnz1568/getInfo.php?workbook=12_04.xlsx&amp;sheet=U0&amp;row=3860&amp;col=7&amp;number=0.000367&amp;sourceID=14","0.000367")</f>
        <v>0.000367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HYPERLINK("http://141.218.60.56/~jnz1568/getInfo.php?workbook=12_04.xlsx&amp;sheet=U0&amp;row=3861&amp;col=6&amp;number=4.7&amp;sourceID=14","4.7")</f>
        <v>4.7</v>
      </c>
      <c r="G3861" s="4" t="str">
        <f>HYPERLINK("http://141.218.60.56/~jnz1568/getInfo.php?workbook=12_04.xlsx&amp;sheet=U0&amp;row=3861&amp;col=7&amp;number=0.000366&amp;sourceID=14","0.000366")</f>
        <v>0.000366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HYPERLINK("http://141.218.60.56/~jnz1568/getInfo.php?workbook=12_04.xlsx&amp;sheet=U0&amp;row=3862&amp;col=6&amp;number=4.8&amp;sourceID=14","4.8")</f>
        <v>4.8</v>
      </c>
      <c r="G3862" s="4" t="str">
        <f>HYPERLINK("http://141.218.60.56/~jnz1568/getInfo.php?workbook=12_04.xlsx&amp;sheet=U0&amp;row=3862&amp;col=7&amp;number=0.000365&amp;sourceID=14","0.000365")</f>
        <v>0.000365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HYPERLINK("http://141.218.60.56/~jnz1568/getInfo.php?workbook=12_04.xlsx&amp;sheet=U0&amp;row=3863&amp;col=6&amp;number=4.9&amp;sourceID=14","4.9")</f>
        <v>4.9</v>
      </c>
      <c r="G3863" s="4" t="str">
        <f>HYPERLINK("http://141.218.60.56/~jnz1568/getInfo.php?workbook=12_04.xlsx&amp;sheet=U0&amp;row=3863&amp;col=7&amp;number=0.000364&amp;sourceID=14","0.000364")</f>
        <v>0.000364</v>
      </c>
    </row>
    <row r="3864" spans="1:7">
      <c r="A3864" s="3">
        <v>12</v>
      </c>
      <c r="B3864" s="3">
        <v>4</v>
      </c>
      <c r="C3864" s="3">
        <v>3</v>
      </c>
      <c r="D3864" s="3">
        <v>4</v>
      </c>
      <c r="E3864" s="3">
        <v>1</v>
      </c>
      <c r="F3864" s="4" t="str">
        <f>HYPERLINK("http://141.218.60.56/~jnz1568/getInfo.php?workbook=12_04.xlsx&amp;sheet=U0&amp;row=3864&amp;col=6&amp;number=3&amp;sourceID=14","3")</f>
        <v>3</v>
      </c>
      <c r="G3864" s="4" t="str">
        <f>HYPERLINK("http://141.218.60.56/~jnz1568/getInfo.php?workbook=12_04.xlsx&amp;sheet=U0&amp;row=3864&amp;col=7&amp;number=0.337&amp;sourceID=14","0.337")</f>
        <v>0.337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HYPERLINK("http://141.218.60.56/~jnz1568/getInfo.php?workbook=12_04.xlsx&amp;sheet=U0&amp;row=3865&amp;col=6&amp;number=3.1&amp;sourceID=14","3.1")</f>
        <v>3.1</v>
      </c>
      <c r="G3865" s="4" t="str">
        <f>HYPERLINK("http://141.218.60.56/~jnz1568/getInfo.php?workbook=12_04.xlsx&amp;sheet=U0&amp;row=3865&amp;col=7&amp;number=0.342&amp;sourceID=14","0.342")</f>
        <v>0.342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HYPERLINK("http://141.218.60.56/~jnz1568/getInfo.php?workbook=12_04.xlsx&amp;sheet=U0&amp;row=3866&amp;col=6&amp;number=3.2&amp;sourceID=14","3.2")</f>
        <v>3.2</v>
      </c>
      <c r="G3866" s="4" t="str">
        <f>HYPERLINK("http://141.218.60.56/~jnz1568/getInfo.php?workbook=12_04.xlsx&amp;sheet=U0&amp;row=3866&amp;col=7&amp;number=0.348&amp;sourceID=14","0.348")</f>
        <v>0.348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HYPERLINK("http://141.218.60.56/~jnz1568/getInfo.php?workbook=12_04.xlsx&amp;sheet=U0&amp;row=3867&amp;col=6&amp;number=3.3&amp;sourceID=14","3.3")</f>
        <v>3.3</v>
      </c>
      <c r="G3867" s="4" t="str">
        <f>HYPERLINK("http://141.218.60.56/~jnz1568/getInfo.php?workbook=12_04.xlsx&amp;sheet=U0&amp;row=3867&amp;col=7&amp;number=0.356&amp;sourceID=14","0.356")</f>
        <v>0.356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HYPERLINK("http://141.218.60.56/~jnz1568/getInfo.php?workbook=12_04.xlsx&amp;sheet=U0&amp;row=3868&amp;col=6&amp;number=3.4&amp;sourceID=14","3.4")</f>
        <v>3.4</v>
      </c>
      <c r="G3868" s="4" t="str">
        <f>HYPERLINK("http://141.218.60.56/~jnz1568/getInfo.php?workbook=12_04.xlsx&amp;sheet=U0&amp;row=3868&amp;col=7&amp;number=0.365&amp;sourceID=14","0.365")</f>
        <v>0.365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HYPERLINK("http://141.218.60.56/~jnz1568/getInfo.php?workbook=12_04.xlsx&amp;sheet=U0&amp;row=3869&amp;col=6&amp;number=3.5&amp;sourceID=14","3.5")</f>
        <v>3.5</v>
      </c>
      <c r="G3869" s="4" t="str">
        <f>HYPERLINK("http://141.218.60.56/~jnz1568/getInfo.php?workbook=12_04.xlsx&amp;sheet=U0&amp;row=3869&amp;col=7&amp;number=0.378&amp;sourceID=14","0.378")</f>
        <v>0.378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HYPERLINK("http://141.218.60.56/~jnz1568/getInfo.php?workbook=12_04.xlsx&amp;sheet=U0&amp;row=3870&amp;col=6&amp;number=3.6&amp;sourceID=14","3.6")</f>
        <v>3.6</v>
      </c>
      <c r="G3870" s="4" t="str">
        <f>HYPERLINK("http://141.218.60.56/~jnz1568/getInfo.php?workbook=12_04.xlsx&amp;sheet=U0&amp;row=3870&amp;col=7&amp;number=0.393&amp;sourceID=14","0.393")</f>
        <v>0.393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HYPERLINK("http://141.218.60.56/~jnz1568/getInfo.php?workbook=12_04.xlsx&amp;sheet=U0&amp;row=3871&amp;col=6&amp;number=3.7&amp;sourceID=14","3.7")</f>
        <v>3.7</v>
      </c>
      <c r="G3871" s="4" t="str">
        <f>HYPERLINK("http://141.218.60.56/~jnz1568/getInfo.php?workbook=12_04.xlsx&amp;sheet=U0&amp;row=3871&amp;col=7&amp;number=0.411&amp;sourceID=14","0.411")</f>
        <v>0.411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HYPERLINK("http://141.218.60.56/~jnz1568/getInfo.php?workbook=12_04.xlsx&amp;sheet=U0&amp;row=3872&amp;col=6&amp;number=3.8&amp;sourceID=14","3.8")</f>
        <v>3.8</v>
      </c>
      <c r="G3872" s="4" t="str">
        <f>HYPERLINK("http://141.218.60.56/~jnz1568/getInfo.php?workbook=12_04.xlsx&amp;sheet=U0&amp;row=3872&amp;col=7&amp;number=0.435&amp;sourceID=14","0.435")</f>
        <v>0.435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HYPERLINK("http://141.218.60.56/~jnz1568/getInfo.php?workbook=12_04.xlsx&amp;sheet=U0&amp;row=3873&amp;col=6&amp;number=3.9&amp;sourceID=14","3.9")</f>
        <v>3.9</v>
      </c>
      <c r="G3873" s="4" t="str">
        <f>HYPERLINK("http://141.218.60.56/~jnz1568/getInfo.php?workbook=12_04.xlsx&amp;sheet=U0&amp;row=3873&amp;col=7&amp;number=0.464&amp;sourceID=14","0.464")</f>
        <v>0.464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HYPERLINK("http://141.218.60.56/~jnz1568/getInfo.php?workbook=12_04.xlsx&amp;sheet=U0&amp;row=3874&amp;col=6&amp;number=4&amp;sourceID=14","4")</f>
        <v>4</v>
      </c>
      <c r="G3874" s="4" t="str">
        <f>HYPERLINK("http://141.218.60.56/~jnz1568/getInfo.php?workbook=12_04.xlsx&amp;sheet=U0&amp;row=3874&amp;col=7&amp;number=0.5&amp;sourceID=14","0.5")</f>
        <v>0.5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HYPERLINK("http://141.218.60.56/~jnz1568/getInfo.php?workbook=12_04.xlsx&amp;sheet=U0&amp;row=3875&amp;col=6&amp;number=4.1&amp;sourceID=14","4.1")</f>
        <v>4.1</v>
      </c>
      <c r="G3875" s="4" t="str">
        <f>HYPERLINK("http://141.218.60.56/~jnz1568/getInfo.php?workbook=12_04.xlsx&amp;sheet=U0&amp;row=3875&amp;col=7&amp;number=0.544&amp;sourceID=14","0.544")</f>
        <v>0.544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HYPERLINK("http://141.218.60.56/~jnz1568/getInfo.php?workbook=12_04.xlsx&amp;sheet=U0&amp;row=3876&amp;col=6&amp;number=4.2&amp;sourceID=14","4.2")</f>
        <v>4.2</v>
      </c>
      <c r="G3876" s="4" t="str">
        <f>HYPERLINK("http://141.218.60.56/~jnz1568/getInfo.php?workbook=12_04.xlsx&amp;sheet=U0&amp;row=3876&amp;col=7&amp;number=0.598&amp;sourceID=14","0.598")</f>
        <v>0.598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HYPERLINK("http://141.218.60.56/~jnz1568/getInfo.php?workbook=12_04.xlsx&amp;sheet=U0&amp;row=3877&amp;col=6&amp;number=4.3&amp;sourceID=14","4.3")</f>
        <v>4.3</v>
      </c>
      <c r="G3877" s="4" t="str">
        <f>HYPERLINK("http://141.218.60.56/~jnz1568/getInfo.php?workbook=12_04.xlsx&amp;sheet=U0&amp;row=3877&amp;col=7&amp;number=0.662&amp;sourceID=14","0.662")</f>
        <v>0.662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HYPERLINK("http://141.218.60.56/~jnz1568/getInfo.php?workbook=12_04.xlsx&amp;sheet=U0&amp;row=3878&amp;col=6&amp;number=4.4&amp;sourceID=14","4.4")</f>
        <v>4.4</v>
      </c>
      <c r="G3878" s="4" t="str">
        <f>HYPERLINK("http://141.218.60.56/~jnz1568/getInfo.php?workbook=12_04.xlsx&amp;sheet=U0&amp;row=3878&amp;col=7&amp;number=0.736&amp;sourceID=14","0.736")</f>
        <v>0.736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HYPERLINK("http://141.218.60.56/~jnz1568/getInfo.php?workbook=12_04.xlsx&amp;sheet=U0&amp;row=3879&amp;col=6&amp;number=4.5&amp;sourceID=14","4.5")</f>
        <v>4.5</v>
      </c>
      <c r="G3879" s="4" t="str">
        <f>HYPERLINK("http://141.218.60.56/~jnz1568/getInfo.php?workbook=12_04.xlsx&amp;sheet=U0&amp;row=3879&amp;col=7&amp;number=0.818&amp;sourceID=14","0.818")</f>
        <v>0.818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HYPERLINK("http://141.218.60.56/~jnz1568/getInfo.php?workbook=12_04.xlsx&amp;sheet=U0&amp;row=3880&amp;col=6&amp;number=4.6&amp;sourceID=14","4.6")</f>
        <v>4.6</v>
      </c>
      <c r="G3880" s="4" t="str">
        <f>HYPERLINK("http://141.218.60.56/~jnz1568/getInfo.php?workbook=12_04.xlsx&amp;sheet=U0&amp;row=3880&amp;col=7&amp;number=0.904&amp;sourceID=14","0.904")</f>
        <v>0.904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HYPERLINK("http://141.218.60.56/~jnz1568/getInfo.php?workbook=12_04.xlsx&amp;sheet=U0&amp;row=3881&amp;col=6&amp;number=4.7&amp;sourceID=14","4.7")</f>
        <v>4.7</v>
      </c>
      <c r="G3881" s="4" t="str">
        <f>HYPERLINK("http://141.218.60.56/~jnz1568/getInfo.php?workbook=12_04.xlsx&amp;sheet=U0&amp;row=3881&amp;col=7&amp;number=0.982&amp;sourceID=14","0.982")</f>
        <v>0.982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HYPERLINK("http://141.218.60.56/~jnz1568/getInfo.php?workbook=12_04.xlsx&amp;sheet=U0&amp;row=3882&amp;col=6&amp;number=4.8&amp;sourceID=14","4.8")</f>
        <v>4.8</v>
      </c>
      <c r="G3882" s="4" t="str">
        <f>HYPERLINK("http://141.218.60.56/~jnz1568/getInfo.php?workbook=12_04.xlsx&amp;sheet=U0&amp;row=3882&amp;col=7&amp;number=1.03&amp;sourceID=14","1.03")</f>
        <v>1.03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HYPERLINK("http://141.218.60.56/~jnz1568/getInfo.php?workbook=12_04.xlsx&amp;sheet=U0&amp;row=3883&amp;col=6&amp;number=4.9&amp;sourceID=14","4.9")</f>
        <v>4.9</v>
      </c>
      <c r="G3883" s="4" t="str">
        <f>HYPERLINK("http://141.218.60.56/~jnz1568/getInfo.php?workbook=12_04.xlsx&amp;sheet=U0&amp;row=3883&amp;col=7&amp;number=1.04&amp;sourceID=14","1.04")</f>
        <v>1.04</v>
      </c>
    </row>
    <row r="3884" spans="1:7">
      <c r="A3884" s="3">
        <v>12</v>
      </c>
      <c r="B3884" s="3">
        <v>4</v>
      </c>
      <c r="C3884" s="3">
        <v>3</v>
      </c>
      <c r="D3884" s="3">
        <v>5</v>
      </c>
      <c r="E3884" s="3">
        <v>1</v>
      </c>
      <c r="F3884" s="4" t="str">
        <f>HYPERLINK("http://141.218.60.56/~jnz1568/getInfo.php?workbook=12_04.xlsx&amp;sheet=U0&amp;row=3884&amp;col=6&amp;number=3&amp;sourceID=14","3")</f>
        <v>3</v>
      </c>
      <c r="G3884" s="4" t="str">
        <f>HYPERLINK("http://141.218.60.56/~jnz1568/getInfo.php?workbook=12_04.xlsx&amp;sheet=U0&amp;row=3884&amp;col=7&amp;number=0.134&amp;sourceID=14","0.134")</f>
        <v>0.134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HYPERLINK("http://141.218.60.56/~jnz1568/getInfo.php?workbook=12_04.xlsx&amp;sheet=U0&amp;row=3885&amp;col=6&amp;number=3.1&amp;sourceID=14","3.1")</f>
        <v>3.1</v>
      </c>
      <c r="G3885" s="4" t="str">
        <f>HYPERLINK("http://141.218.60.56/~jnz1568/getInfo.php?workbook=12_04.xlsx&amp;sheet=U0&amp;row=3885&amp;col=7&amp;number=0.134&amp;sourceID=14","0.134")</f>
        <v>0.134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HYPERLINK("http://141.218.60.56/~jnz1568/getInfo.php?workbook=12_04.xlsx&amp;sheet=U0&amp;row=3886&amp;col=6&amp;number=3.2&amp;sourceID=14","3.2")</f>
        <v>3.2</v>
      </c>
      <c r="G3886" s="4" t="str">
        <f>HYPERLINK("http://141.218.60.56/~jnz1568/getInfo.php?workbook=12_04.xlsx&amp;sheet=U0&amp;row=3886&amp;col=7&amp;number=0.134&amp;sourceID=14","0.134")</f>
        <v>0.134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HYPERLINK("http://141.218.60.56/~jnz1568/getInfo.php?workbook=12_04.xlsx&amp;sheet=U0&amp;row=3887&amp;col=6&amp;number=3.3&amp;sourceID=14","3.3")</f>
        <v>3.3</v>
      </c>
      <c r="G3887" s="4" t="str">
        <f>HYPERLINK("http://141.218.60.56/~jnz1568/getInfo.php?workbook=12_04.xlsx&amp;sheet=U0&amp;row=3887&amp;col=7&amp;number=0.134&amp;sourceID=14","0.134")</f>
        <v>0.134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HYPERLINK("http://141.218.60.56/~jnz1568/getInfo.php?workbook=12_04.xlsx&amp;sheet=U0&amp;row=3888&amp;col=6&amp;number=3.4&amp;sourceID=14","3.4")</f>
        <v>3.4</v>
      </c>
      <c r="G3888" s="4" t="str">
        <f>HYPERLINK("http://141.218.60.56/~jnz1568/getInfo.php?workbook=12_04.xlsx&amp;sheet=U0&amp;row=3888&amp;col=7&amp;number=0.134&amp;sourceID=14","0.134")</f>
        <v>0.134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HYPERLINK("http://141.218.60.56/~jnz1568/getInfo.php?workbook=12_04.xlsx&amp;sheet=U0&amp;row=3889&amp;col=6&amp;number=3.5&amp;sourceID=14","3.5")</f>
        <v>3.5</v>
      </c>
      <c r="G3889" s="4" t="str">
        <f>HYPERLINK("http://141.218.60.56/~jnz1568/getInfo.php?workbook=12_04.xlsx&amp;sheet=U0&amp;row=3889&amp;col=7&amp;number=0.134&amp;sourceID=14","0.134")</f>
        <v>0.134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HYPERLINK("http://141.218.60.56/~jnz1568/getInfo.php?workbook=12_04.xlsx&amp;sheet=U0&amp;row=3890&amp;col=6&amp;number=3.6&amp;sourceID=14","3.6")</f>
        <v>3.6</v>
      </c>
      <c r="G3890" s="4" t="str">
        <f>HYPERLINK("http://141.218.60.56/~jnz1568/getInfo.php?workbook=12_04.xlsx&amp;sheet=U0&amp;row=3890&amp;col=7&amp;number=0.134&amp;sourceID=14","0.134")</f>
        <v>0.134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HYPERLINK("http://141.218.60.56/~jnz1568/getInfo.php?workbook=12_04.xlsx&amp;sheet=U0&amp;row=3891&amp;col=6&amp;number=3.7&amp;sourceID=14","3.7")</f>
        <v>3.7</v>
      </c>
      <c r="G3891" s="4" t="str">
        <f>HYPERLINK("http://141.218.60.56/~jnz1568/getInfo.php?workbook=12_04.xlsx&amp;sheet=U0&amp;row=3891&amp;col=7&amp;number=0.133&amp;sourceID=14","0.133")</f>
        <v>0.133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HYPERLINK("http://141.218.60.56/~jnz1568/getInfo.php?workbook=12_04.xlsx&amp;sheet=U0&amp;row=3892&amp;col=6&amp;number=3.8&amp;sourceID=14","3.8")</f>
        <v>3.8</v>
      </c>
      <c r="G3892" s="4" t="str">
        <f>HYPERLINK("http://141.218.60.56/~jnz1568/getInfo.php?workbook=12_04.xlsx&amp;sheet=U0&amp;row=3892&amp;col=7&amp;number=0.133&amp;sourceID=14","0.133")</f>
        <v>0.133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HYPERLINK("http://141.218.60.56/~jnz1568/getInfo.php?workbook=12_04.xlsx&amp;sheet=U0&amp;row=3893&amp;col=6&amp;number=3.9&amp;sourceID=14","3.9")</f>
        <v>3.9</v>
      </c>
      <c r="G3893" s="4" t="str">
        <f>HYPERLINK("http://141.218.60.56/~jnz1568/getInfo.php?workbook=12_04.xlsx&amp;sheet=U0&amp;row=3893&amp;col=7&amp;number=0.133&amp;sourceID=14","0.133")</f>
        <v>0.133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HYPERLINK("http://141.218.60.56/~jnz1568/getInfo.php?workbook=12_04.xlsx&amp;sheet=U0&amp;row=3894&amp;col=6&amp;number=4&amp;sourceID=14","4")</f>
        <v>4</v>
      </c>
      <c r="G3894" s="4" t="str">
        <f>HYPERLINK("http://141.218.60.56/~jnz1568/getInfo.php?workbook=12_04.xlsx&amp;sheet=U0&amp;row=3894&amp;col=7&amp;number=0.133&amp;sourceID=14","0.133")</f>
        <v>0.133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HYPERLINK("http://141.218.60.56/~jnz1568/getInfo.php?workbook=12_04.xlsx&amp;sheet=U0&amp;row=3895&amp;col=6&amp;number=4.1&amp;sourceID=14","4.1")</f>
        <v>4.1</v>
      </c>
      <c r="G3895" s="4" t="str">
        <f>HYPERLINK("http://141.218.60.56/~jnz1568/getInfo.php?workbook=12_04.xlsx&amp;sheet=U0&amp;row=3895&amp;col=7&amp;number=0.133&amp;sourceID=14","0.133")</f>
        <v>0.133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HYPERLINK("http://141.218.60.56/~jnz1568/getInfo.php?workbook=12_04.xlsx&amp;sheet=U0&amp;row=3896&amp;col=6&amp;number=4.2&amp;sourceID=14","4.2")</f>
        <v>4.2</v>
      </c>
      <c r="G3896" s="4" t="str">
        <f>HYPERLINK("http://141.218.60.56/~jnz1568/getInfo.php?workbook=12_04.xlsx&amp;sheet=U0&amp;row=3896&amp;col=7&amp;number=0.133&amp;sourceID=14","0.133")</f>
        <v>0.133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HYPERLINK("http://141.218.60.56/~jnz1568/getInfo.php?workbook=12_04.xlsx&amp;sheet=U0&amp;row=3897&amp;col=6&amp;number=4.3&amp;sourceID=14","4.3")</f>
        <v>4.3</v>
      </c>
      <c r="G3897" s="4" t="str">
        <f>HYPERLINK("http://141.218.60.56/~jnz1568/getInfo.php?workbook=12_04.xlsx&amp;sheet=U0&amp;row=3897&amp;col=7&amp;number=0.132&amp;sourceID=14","0.132")</f>
        <v>0.132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HYPERLINK("http://141.218.60.56/~jnz1568/getInfo.php?workbook=12_04.xlsx&amp;sheet=U0&amp;row=3898&amp;col=6&amp;number=4.4&amp;sourceID=14","4.4")</f>
        <v>4.4</v>
      </c>
      <c r="G3898" s="4" t="str">
        <f>HYPERLINK("http://141.218.60.56/~jnz1568/getInfo.php?workbook=12_04.xlsx&amp;sheet=U0&amp;row=3898&amp;col=7&amp;number=0.132&amp;sourceID=14","0.132")</f>
        <v>0.132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HYPERLINK("http://141.218.60.56/~jnz1568/getInfo.php?workbook=12_04.xlsx&amp;sheet=U0&amp;row=3899&amp;col=6&amp;number=4.5&amp;sourceID=14","4.5")</f>
        <v>4.5</v>
      </c>
      <c r="G3899" s="4" t="str">
        <f>HYPERLINK("http://141.218.60.56/~jnz1568/getInfo.php?workbook=12_04.xlsx&amp;sheet=U0&amp;row=3899&amp;col=7&amp;number=0.132&amp;sourceID=14","0.132")</f>
        <v>0.132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HYPERLINK("http://141.218.60.56/~jnz1568/getInfo.php?workbook=12_04.xlsx&amp;sheet=U0&amp;row=3900&amp;col=6&amp;number=4.6&amp;sourceID=14","4.6")</f>
        <v>4.6</v>
      </c>
      <c r="G3900" s="4" t="str">
        <f>HYPERLINK("http://141.218.60.56/~jnz1568/getInfo.php?workbook=12_04.xlsx&amp;sheet=U0&amp;row=3900&amp;col=7&amp;number=0.131&amp;sourceID=14","0.131")</f>
        <v>0.131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HYPERLINK("http://141.218.60.56/~jnz1568/getInfo.php?workbook=12_04.xlsx&amp;sheet=U0&amp;row=3901&amp;col=6&amp;number=4.7&amp;sourceID=14","4.7")</f>
        <v>4.7</v>
      </c>
      <c r="G3901" s="4" t="str">
        <f>HYPERLINK("http://141.218.60.56/~jnz1568/getInfo.php?workbook=12_04.xlsx&amp;sheet=U0&amp;row=3901&amp;col=7&amp;number=0.13&amp;sourceID=14","0.13")</f>
        <v>0.13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HYPERLINK("http://141.218.60.56/~jnz1568/getInfo.php?workbook=12_04.xlsx&amp;sheet=U0&amp;row=3902&amp;col=6&amp;number=4.8&amp;sourceID=14","4.8")</f>
        <v>4.8</v>
      </c>
      <c r="G3902" s="4" t="str">
        <f>HYPERLINK("http://141.218.60.56/~jnz1568/getInfo.php?workbook=12_04.xlsx&amp;sheet=U0&amp;row=3902&amp;col=7&amp;number=0.13&amp;sourceID=14","0.13")</f>
        <v>0.13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HYPERLINK("http://141.218.60.56/~jnz1568/getInfo.php?workbook=12_04.xlsx&amp;sheet=U0&amp;row=3903&amp;col=6&amp;number=4.9&amp;sourceID=14","4.9")</f>
        <v>4.9</v>
      </c>
      <c r="G3903" s="4" t="str">
        <f>HYPERLINK("http://141.218.60.56/~jnz1568/getInfo.php?workbook=12_04.xlsx&amp;sheet=U0&amp;row=3903&amp;col=7&amp;number=0.129&amp;sourceID=14","0.129")</f>
        <v>0.129</v>
      </c>
    </row>
    <row r="3904" spans="1:7">
      <c r="A3904" s="3">
        <v>12</v>
      </c>
      <c r="B3904" s="3">
        <v>4</v>
      </c>
      <c r="C3904" s="3">
        <v>3</v>
      </c>
      <c r="D3904" s="3">
        <v>6</v>
      </c>
      <c r="E3904" s="3">
        <v>1</v>
      </c>
      <c r="F3904" s="4" t="str">
        <f>HYPERLINK("http://141.218.60.56/~jnz1568/getInfo.php?workbook=12_04.xlsx&amp;sheet=U0&amp;row=3904&amp;col=6&amp;number=3&amp;sourceID=14","3")</f>
        <v>3</v>
      </c>
      <c r="G3904" s="4" t="str">
        <f>HYPERLINK("http://141.218.60.56/~jnz1568/getInfo.php?workbook=12_04.xlsx&amp;sheet=U0&amp;row=3904&amp;col=7&amp;number=0.653&amp;sourceID=14","0.653")</f>
        <v>0.653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HYPERLINK("http://141.218.60.56/~jnz1568/getInfo.php?workbook=12_04.xlsx&amp;sheet=U0&amp;row=3905&amp;col=6&amp;number=3.1&amp;sourceID=14","3.1")</f>
        <v>3.1</v>
      </c>
      <c r="G3905" s="4" t="str">
        <f>HYPERLINK("http://141.218.60.56/~jnz1568/getInfo.php?workbook=12_04.xlsx&amp;sheet=U0&amp;row=3905&amp;col=7&amp;number=0.653&amp;sourceID=14","0.653")</f>
        <v>0.653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HYPERLINK("http://141.218.60.56/~jnz1568/getInfo.php?workbook=12_04.xlsx&amp;sheet=U0&amp;row=3906&amp;col=6&amp;number=3.2&amp;sourceID=14","3.2")</f>
        <v>3.2</v>
      </c>
      <c r="G3906" s="4" t="str">
        <f>HYPERLINK("http://141.218.60.56/~jnz1568/getInfo.php?workbook=12_04.xlsx&amp;sheet=U0&amp;row=3906&amp;col=7&amp;number=0.653&amp;sourceID=14","0.653")</f>
        <v>0.653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HYPERLINK("http://141.218.60.56/~jnz1568/getInfo.php?workbook=12_04.xlsx&amp;sheet=U0&amp;row=3907&amp;col=6&amp;number=3.3&amp;sourceID=14","3.3")</f>
        <v>3.3</v>
      </c>
      <c r="G3907" s="4" t="str">
        <f>HYPERLINK("http://141.218.60.56/~jnz1568/getInfo.php?workbook=12_04.xlsx&amp;sheet=U0&amp;row=3907&amp;col=7&amp;number=0.653&amp;sourceID=14","0.653")</f>
        <v>0.653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HYPERLINK("http://141.218.60.56/~jnz1568/getInfo.php?workbook=12_04.xlsx&amp;sheet=U0&amp;row=3908&amp;col=6&amp;number=3.4&amp;sourceID=14","3.4")</f>
        <v>3.4</v>
      </c>
      <c r="G3908" s="4" t="str">
        <f>HYPERLINK("http://141.218.60.56/~jnz1568/getInfo.php?workbook=12_04.xlsx&amp;sheet=U0&amp;row=3908&amp;col=7&amp;number=0.653&amp;sourceID=14","0.653")</f>
        <v>0.653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HYPERLINK("http://141.218.60.56/~jnz1568/getInfo.php?workbook=12_04.xlsx&amp;sheet=U0&amp;row=3909&amp;col=6&amp;number=3.5&amp;sourceID=14","3.5")</f>
        <v>3.5</v>
      </c>
      <c r="G3909" s="4" t="str">
        <f>HYPERLINK("http://141.218.60.56/~jnz1568/getInfo.php?workbook=12_04.xlsx&amp;sheet=U0&amp;row=3909&amp;col=7&amp;number=0.653&amp;sourceID=14","0.653")</f>
        <v>0.653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HYPERLINK("http://141.218.60.56/~jnz1568/getInfo.php?workbook=12_04.xlsx&amp;sheet=U0&amp;row=3910&amp;col=6&amp;number=3.6&amp;sourceID=14","3.6")</f>
        <v>3.6</v>
      </c>
      <c r="G3910" s="4" t="str">
        <f>HYPERLINK("http://141.218.60.56/~jnz1568/getInfo.php?workbook=12_04.xlsx&amp;sheet=U0&amp;row=3910&amp;col=7&amp;number=0.653&amp;sourceID=14","0.653")</f>
        <v>0.653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HYPERLINK("http://141.218.60.56/~jnz1568/getInfo.php?workbook=12_04.xlsx&amp;sheet=U0&amp;row=3911&amp;col=6&amp;number=3.7&amp;sourceID=14","3.7")</f>
        <v>3.7</v>
      </c>
      <c r="G3911" s="4" t="str">
        <f>HYPERLINK("http://141.218.60.56/~jnz1568/getInfo.php?workbook=12_04.xlsx&amp;sheet=U0&amp;row=3911&amp;col=7&amp;number=0.654&amp;sourceID=14","0.654")</f>
        <v>0.654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HYPERLINK("http://141.218.60.56/~jnz1568/getInfo.php?workbook=12_04.xlsx&amp;sheet=U0&amp;row=3912&amp;col=6&amp;number=3.8&amp;sourceID=14","3.8")</f>
        <v>3.8</v>
      </c>
      <c r="G3912" s="4" t="str">
        <f>HYPERLINK("http://141.218.60.56/~jnz1568/getInfo.php?workbook=12_04.xlsx&amp;sheet=U0&amp;row=3912&amp;col=7&amp;number=0.654&amp;sourceID=14","0.654")</f>
        <v>0.654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HYPERLINK("http://141.218.60.56/~jnz1568/getInfo.php?workbook=12_04.xlsx&amp;sheet=U0&amp;row=3913&amp;col=6&amp;number=3.9&amp;sourceID=14","3.9")</f>
        <v>3.9</v>
      </c>
      <c r="G3913" s="4" t="str">
        <f>HYPERLINK("http://141.218.60.56/~jnz1568/getInfo.php?workbook=12_04.xlsx&amp;sheet=U0&amp;row=3913&amp;col=7&amp;number=0.654&amp;sourceID=14","0.654")</f>
        <v>0.654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HYPERLINK("http://141.218.60.56/~jnz1568/getInfo.php?workbook=12_04.xlsx&amp;sheet=U0&amp;row=3914&amp;col=6&amp;number=4&amp;sourceID=14","4")</f>
        <v>4</v>
      </c>
      <c r="G3914" s="4" t="str">
        <f>HYPERLINK("http://141.218.60.56/~jnz1568/getInfo.php?workbook=12_04.xlsx&amp;sheet=U0&amp;row=3914&amp;col=7&amp;number=0.654&amp;sourceID=14","0.654")</f>
        <v>0.654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HYPERLINK("http://141.218.60.56/~jnz1568/getInfo.php?workbook=12_04.xlsx&amp;sheet=U0&amp;row=3915&amp;col=6&amp;number=4.1&amp;sourceID=14","4.1")</f>
        <v>4.1</v>
      </c>
      <c r="G3915" s="4" t="str">
        <f>HYPERLINK("http://141.218.60.56/~jnz1568/getInfo.php?workbook=12_04.xlsx&amp;sheet=U0&amp;row=3915&amp;col=7&amp;number=0.654&amp;sourceID=14","0.654")</f>
        <v>0.654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HYPERLINK("http://141.218.60.56/~jnz1568/getInfo.php?workbook=12_04.xlsx&amp;sheet=U0&amp;row=3916&amp;col=6&amp;number=4.2&amp;sourceID=14","4.2")</f>
        <v>4.2</v>
      </c>
      <c r="G3916" s="4" t="str">
        <f>HYPERLINK("http://141.218.60.56/~jnz1568/getInfo.php?workbook=12_04.xlsx&amp;sheet=U0&amp;row=3916&amp;col=7&amp;number=0.654&amp;sourceID=14","0.654")</f>
        <v>0.654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HYPERLINK("http://141.218.60.56/~jnz1568/getInfo.php?workbook=12_04.xlsx&amp;sheet=U0&amp;row=3917&amp;col=6&amp;number=4.3&amp;sourceID=14","4.3")</f>
        <v>4.3</v>
      </c>
      <c r="G3917" s="4" t="str">
        <f>HYPERLINK("http://141.218.60.56/~jnz1568/getInfo.php?workbook=12_04.xlsx&amp;sheet=U0&amp;row=3917&amp;col=7&amp;number=0.654&amp;sourceID=14","0.654")</f>
        <v>0.654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HYPERLINK("http://141.218.60.56/~jnz1568/getInfo.php?workbook=12_04.xlsx&amp;sheet=U0&amp;row=3918&amp;col=6&amp;number=4.4&amp;sourceID=14","4.4")</f>
        <v>4.4</v>
      </c>
      <c r="G3918" s="4" t="str">
        <f>HYPERLINK("http://141.218.60.56/~jnz1568/getInfo.php?workbook=12_04.xlsx&amp;sheet=U0&amp;row=3918&amp;col=7&amp;number=0.655&amp;sourceID=14","0.655")</f>
        <v>0.655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HYPERLINK("http://141.218.60.56/~jnz1568/getInfo.php?workbook=12_04.xlsx&amp;sheet=U0&amp;row=3919&amp;col=6&amp;number=4.5&amp;sourceID=14","4.5")</f>
        <v>4.5</v>
      </c>
      <c r="G3919" s="4" t="str">
        <f>HYPERLINK("http://141.218.60.56/~jnz1568/getInfo.php?workbook=12_04.xlsx&amp;sheet=U0&amp;row=3919&amp;col=7&amp;number=0.655&amp;sourceID=14","0.655")</f>
        <v>0.655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HYPERLINK("http://141.218.60.56/~jnz1568/getInfo.php?workbook=12_04.xlsx&amp;sheet=U0&amp;row=3920&amp;col=6&amp;number=4.6&amp;sourceID=14","4.6")</f>
        <v>4.6</v>
      </c>
      <c r="G3920" s="4" t="str">
        <f>HYPERLINK("http://141.218.60.56/~jnz1568/getInfo.php?workbook=12_04.xlsx&amp;sheet=U0&amp;row=3920&amp;col=7&amp;number=0.656&amp;sourceID=14","0.656")</f>
        <v>0.656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HYPERLINK("http://141.218.60.56/~jnz1568/getInfo.php?workbook=12_04.xlsx&amp;sheet=U0&amp;row=3921&amp;col=6&amp;number=4.7&amp;sourceID=14","4.7")</f>
        <v>4.7</v>
      </c>
      <c r="G3921" s="4" t="str">
        <f>HYPERLINK("http://141.218.60.56/~jnz1568/getInfo.php?workbook=12_04.xlsx&amp;sheet=U0&amp;row=3921&amp;col=7&amp;number=0.657&amp;sourceID=14","0.657")</f>
        <v>0.657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HYPERLINK("http://141.218.60.56/~jnz1568/getInfo.php?workbook=12_04.xlsx&amp;sheet=U0&amp;row=3922&amp;col=6&amp;number=4.8&amp;sourceID=14","4.8")</f>
        <v>4.8</v>
      </c>
      <c r="G3922" s="4" t="str">
        <f>HYPERLINK("http://141.218.60.56/~jnz1568/getInfo.php?workbook=12_04.xlsx&amp;sheet=U0&amp;row=3922&amp;col=7&amp;number=0.659&amp;sourceID=14","0.659")</f>
        <v>0.659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HYPERLINK("http://141.218.60.56/~jnz1568/getInfo.php?workbook=12_04.xlsx&amp;sheet=U0&amp;row=3923&amp;col=6&amp;number=4.9&amp;sourceID=14","4.9")</f>
        <v>4.9</v>
      </c>
      <c r="G3923" s="4" t="str">
        <f>HYPERLINK("http://141.218.60.56/~jnz1568/getInfo.php?workbook=12_04.xlsx&amp;sheet=U0&amp;row=3923&amp;col=7&amp;number=0.661&amp;sourceID=14","0.661")</f>
        <v>0.661</v>
      </c>
    </row>
    <row r="3924" spans="1:7">
      <c r="A3924" s="3">
        <v>12</v>
      </c>
      <c r="B3924" s="3">
        <v>4</v>
      </c>
      <c r="C3924" s="3">
        <v>3</v>
      </c>
      <c r="D3924" s="3">
        <v>7</v>
      </c>
      <c r="E3924" s="3">
        <v>1</v>
      </c>
      <c r="F3924" s="4" t="str">
        <f>HYPERLINK("http://141.218.60.56/~jnz1568/getInfo.php?workbook=12_04.xlsx&amp;sheet=U0&amp;row=3924&amp;col=6&amp;number=3&amp;sourceID=14","3")</f>
        <v>3</v>
      </c>
      <c r="G3924" s="4" t="str">
        <f>HYPERLINK("http://141.218.60.56/~jnz1568/getInfo.php?workbook=12_04.xlsx&amp;sheet=U0&amp;row=3924&amp;col=7&amp;number=0.515&amp;sourceID=14","0.515")</f>
        <v>0.515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HYPERLINK("http://141.218.60.56/~jnz1568/getInfo.php?workbook=12_04.xlsx&amp;sheet=U0&amp;row=3925&amp;col=6&amp;number=3.1&amp;sourceID=14","3.1")</f>
        <v>3.1</v>
      </c>
      <c r="G3925" s="4" t="str">
        <f>HYPERLINK("http://141.218.60.56/~jnz1568/getInfo.php?workbook=12_04.xlsx&amp;sheet=U0&amp;row=3925&amp;col=7&amp;number=0.515&amp;sourceID=14","0.515")</f>
        <v>0.515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HYPERLINK("http://141.218.60.56/~jnz1568/getInfo.php?workbook=12_04.xlsx&amp;sheet=U0&amp;row=3926&amp;col=6&amp;number=3.2&amp;sourceID=14","3.2")</f>
        <v>3.2</v>
      </c>
      <c r="G3926" s="4" t="str">
        <f>HYPERLINK("http://141.218.60.56/~jnz1568/getInfo.php?workbook=12_04.xlsx&amp;sheet=U0&amp;row=3926&amp;col=7&amp;number=0.515&amp;sourceID=14","0.515")</f>
        <v>0.515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HYPERLINK("http://141.218.60.56/~jnz1568/getInfo.php?workbook=12_04.xlsx&amp;sheet=U0&amp;row=3927&amp;col=6&amp;number=3.3&amp;sourceID=14","3.3")</f>
        <v>3.3</v>
      </c>
      <c r="G3927" s="4" t="str">
        <f>HYPERLINK("http://141.218.60.56/~jnz1568/getInfo.php?workbook=12_04.xlsx&amp;sheet=U0&amp;row=3927&amp;col=7&amp;number=0.515&amp;sourceID=14","0.515")</f>
        <v>0.515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HYPERLINK("http://141.218.60.56/~jnz1568/getInfo.php?workbook=12_04.xlsx&amp;sheet=U0&amp;row=3928&amp;col=6&amp;number=3.4&amp;sourceID=14","3.4")</f>
        <v>3.4</v>
      </c>
      <c r="G3928" s="4" t="str">
        <f>HYPERLINK("http://141.218.60.56/~jnz1568/getInfo.php?workbook=12_04.xlsx&amp;sheet=U0&amp;row=3928&amp;col=7&amp;number=0.515&amp;sourceID=14","0.515")</f>
        <v>0.515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HYPERLINK("http://141.218.60.56/~jnz1568/getInfo.php?workbook=12_04.xlsx&amp;sheet=U0&amp;row=3929&amp;col=6&amp;number=3.5&amp;sourceID=14","3.5")</f>
        <v>3.5</v>
      </c>
      <c r="G3929" s="4" t="str">
        <f>HYPERLINK("http://141.218.60.56/~jnz1568/getInfo.php?workbook=12_04.xlsx&amp;sheet=U0&amp;row=3929&amp;col=7&amp;number=0.515&amp;sourceID=14","0.515")</f>
        <v>0.515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HYPERLINK("http://141.218.60.56/~jnz1568/getInfo.php?workbook=12_04.xlsx&amp;sheet=U0&amp;row=3930&amp;col=6&amp;number=3.6&amp;sourceID=14","3.6")</f>
        <v>3.6</v>
      </c>
      <c r="G3930" s="4" t="str">
        <f>HYPERLINK("http://141.218.60.56/~jnz1568/getInfo.php?workbook=12_04.xlsx&amp;sheet=U0&amp;row=3930&amp;col=7&amp;number=0.515&amp;sourceID=14","0.515")</f>
        <v>0.515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HYPERLINK("http://141.218.60.56/~jnz1568/getInfo.php?workbook=12_04.xlsx&amp;sheet=U0&amp;row=3931&amp;col=6&amp;number=3.7&amp;sourceID=14","3.7")</f>
        <v>3.7</v>
      </c>
      <c r="G3931" s="4" t="str">
        <f>HYPERLINK("http://141.218.60.56/~jnz1568/getInfo.php?workbook=12_04.xlsx&amp;sheet=U0&amp;row=3931&amp;col=7&amp;number=0.515&amp;sourceID=14","0.515")</f>
        <v>0.515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HYPERLINK("http://141.218.60.56/~jnz1568/getInfo.php?workbook=12_04.xlsx&amp;sheet=U0&amp;row=3932&amp;col=6&amp;number=3.8&amp;sourceID=14","3.8")</f>
        <v>3.8</v>
      </c>
      <c r="G3932" s="4" t="str">
        <f>HYPERLINK("http://141.218.60.56/~jnz1568/getInfo.php?workbook=12_04.xlsx&amp;sheet=U0&amp;row=3932&amp;col=7&amp;number=0.515&amp;sourceID=14","0.515")</f>
        <v>0.515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HYPERLINK("http://141.218.60.56/~jnz1568/getInfo.php?workbook=12_04.xlsx&amp;sheet=U0&amp;row=3933&amp;col=6&amp;number=3.9&amp;sourceID=14","3.9")</f>
        <v>3.9</v>
      </c>
      <c r="G3933" s="4" t="str">
        <f>HYPERLINK("http://141.218.60.56/~jnz1568/getInfo.php?workbook=12_04.xlsx&amp;sheet=U0&amp;row=3933&amp;col=7&amp;number=0.516&amp;sourceID=14","0.516")</f>
        <v>0.516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HYPERLINK("http://141.218.60.56/~jnz1568/getInfo.php?workbook=12_04.xlsx&amp;sheet=U0&amp;row=3934&amp;col=6&amp;number=4&amp;sourceID=14","4")</f>
        <v>4</v>
      </c>
      <c r="G3934" s="4" t="str">
        <f>HYPERLINK("http://141.218.60.56/~jnz1568/getInfo.php?workbook=12_04.xlsx&amp;sheet=U0&amp;row=3934&amp;col=7&amp;number=0.516&amp;sourceID=14","0.516")</f>
        <v>0.516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HYPERLINK("http://141.218.60.56/~jnz1568/getInfo.php?workbook=12_04.xlsx&amp;sheet=U0&amp;row=3935&amp;col=6&amp;number=4.1&amp;sourceID=14","4.1")</f>
        <v>4.1</v>
      </c>
      <c r="G3935" s="4" t="str">
        <f>HYPERLINK("http://141.218.60.56/~jnz1568/getInfo.php?workbook=12_04.xlsx&amp;sheet=U0&amp;row=3935&amp;col=7&amp;number=0.516&amp;sourceID=14","0.516")</f>
        <v>0.516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HYPERLINK("http://141.218.60.56/~jnz1568/getInfo.php?workbook=12_04.xlsx&amp;sheet=U0&amp;row=3936&amp;col=6&amp;number=4.2&amp;sourceID=14","4.2")</f>
        <v>4.2</v>
      </c>
      <c r="G3936" s="4" t="str">
        <f>HYPERLINK("http://141.218.60.56/~jnz1568/getInfo.php?workbook=12_04.xlsx&amp;sheet=U0&amp;row=3936&amp;col=7&amp;number=0.516&amp;sourceID=14","0.516")</f>
        <v>0.516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HYPERLINK("http://141.218.60.56/~jnz1568/getInfo.php?workbook=12_04.xlsx&amp;sheet=U0&amp;row=3937&amp;col=6&amp;number=4.3&amp;sourceID=14","4.3")</f>
        <v>4.3</v>
      </c>
      <c r="G3937" s="4" t="str">
        <f>HYPERLINK("http://141.218.60.56/~jnz1568/getInfo.php?workbook=12_04.xlsx&amp;sheet=U0&amp;row=3937&amp;col=7&amp;number=0.516&amp;sourceID=14","0.516")</f>
        <v>0.516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HYPERLINK("http://141.218.60.56/~jnz1568/getInfo.php?workbook=12_04.xlsx&amp;sheet=U0&amp;row=3938&amp;col=6&amp;number=4.4&amp;sourceID=14","4.4")</f>
        <v>4.4</v>
      </c>
      <c r="G3938" s="4" t="str">
        <f>HYPERLINK("http://141.218.60.56/~jnz1568/getInfo.php?workbook=12_04.xlsx&amp;sheet=U0&amp;row=3938&amp;col=7&amp;number=0.517&amp;sourceID=14","0.517")</f>
        <v>0.517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HYPERLINK("http://141.218.60.56/~jnz1568/getInfo.php?workbook=12_04.xlsx&amp;sheet=U0&amp;row=3939&amp;col=6&amp;number=4.5&amp;sourceID=14","4.5")</f>
        <v>4.5</v>
      </c>
      <c r="G3939" s="4" t="str">
        <f>HYPERLINK("http://141.218.60.56/~jnz1568/getInfo.php?workbook=12_04.xlsx&amp;sheet=U0&amp;row=3939&amp;col=7&amp;number=0.517&amp;sourceID=14","0.517")</f>
        <v>0.517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HYPERLINK("http://141.218.60.56/~jnz1568/getInfo.php?workbook=12_04.xlsx&amp;sheet=U0&amp;row=3940&amp;col=6&amp;number=4.6&amp;sourceID=14","4.6")</f>
        <v>4.6</v>
      </c>
      <c r="G3940" s="4" t="str">
        <f>HYPERLINK("http://141.218.60.56/~jnz1568/getInfo.php?workbook=12_04.xlsx&amp;sheet=U0&amp;row=3940&amp;col=7&amp;number=0.518&amp;sourceID=14","0.518")</f>
        <v>0.518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HYPERLINK("http://141.218.60.56/~jnz1568/getInfo.php?workbook=12_04.xlsx&amp;sheet=U0&amp;row=3941&amp;col=6&amp;number=4.7&amp;sourceID=14","4.7")</f>
        <v>4.7</v>
      </c>
      <c r="G3941" s="4" t="str">
        <f>HYPERLINK("http://141.218.60.56/~jnz1568/getInfo.php?workbook=12_04.xlsx&amp;sheet=U0&amp;row=3941&amp;col=7&amp;number=0.519&amp;sourceID=14","0.519")</f>
        <v>0.519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HYPERLINK("http://141.218.60.56/~jnz1568/getInfo.php?workbook=12_04.xlsx&amp;sheet=U0&amp;row=3942&amp;col=6&amp;number=4.8&amp;sourceID=14","4.8")</f>
        <v>4.8</v>
      </c>
      <c r="G3942" s="4" t="str">
        <f>HYPERLINK("http://141.218.60.56/~jnz1568/getInfo.php?workbook=12_04.xlsx&amp;sheet=U0&amp;row=3942&amp;col=7&amp;number=0.52&amp;sourceID=14","0.52")</f>
        <v>0.52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HYPERLINK("http://141.218.60.56/~jnz1568/getInfo.php?workbook=12_04.xlsx&amp;sheet=U0&amp;row=3943&amp;col=6&amp;number=4.9&amp;sourceID=14","4.9")</f>
        <v>4.9</v>
      </c>
      <c r="G3943" s="4" t="str">
        <f>HYPERLINK("http://141.218.60.56/~jnz1568/getInfo.php?workbook=12_04.xlsx&amp;sheet=U0&amp;row=3943&amp;col=7&amp;number=0.522&amp;sourceID=14","0.522")</f>
        <v>0.522</v>
      </c>
    </row>
    <row r="3944" spans="1:7">
      <c r="A3944" s="3">
        <v>12</v>
      </c>
      <c r="B3944" s="3">
        <v>4</v>
      </c>
      <c r="C3944" s="3">
        <v>3</v>
      </c>
      <c r="D3944" s="3">
        <v>8</v>
      </c>
      <c r="E3944" s="3">
        <v>1</v>
      </c>
      <c r="F3944" s="4" t="str">
        <f>HYPERLINK("http://141.218.60.56/~jnz1568/getInfo.php?workbook=12_04.xlsx&amp;sheet=U0&amp;row=3944&amp;col=6&amp;number=3&amp;sourceID=14","3")</f>
        <v>3</v>
      </c>
      <c r="G3944" s="4" t="str">
        <f>HYPERLINK("http://141.218.60.56/~jnz1568/getInfo.php?workbook=12_04.xlsx&amp;sheet=U0&amp;row=3944&amp;col=7&amp;number=0.828&amp;sourceID=14","0.828")</f>
        <v>0.828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HYPERLINK("http://141.218.60.56/~jnz1568/getInfo.php?workbook=12_04.xlsx&amp;sheet=U0&amp;row=3945&amp;col=6&amp;number=3.1&amp;sourceID=14","3.1")</f>
        <v>3.1</v>
      </c>
      <c r="G3945" s="4" t="str">
        <f>HYPERLINK("http://141.218.60.56/~jnz1568/getInfo.php?workbook=12_04.xlsx&amp;sheet=U0&amp;row=3945&amp;col=7&amp;number=0.828&amp;sourceID=14","0.828")</f>
        <v>0.828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HYPERLINK("http://141.218.60.56/~jnz1568/getInfo.php?workbook=12_04.xlsx&amp;sheet=U0&amp;row=3946&amp;col=6&amp;number=3.2&amp;sourceID=14","3.2")</f>
        <v>3.2</v>
      </c>
      <c r="G3946" s="4" t="str">
        <f>HYPERLINK("http://141.218.60.56/~jnz1568/getInfo.php?workbook=12_04.xlsx&amp;sheet=U0&amp;row=3946&amp;col=7&amp;number=0.828&amp;sourceID=14","0.828")</f>
        <v>0.828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HYPERLINK("http://141.218.60.56/~jnz1568/getInfo.php?workbook=12_04.xlsx&amp;sheet=U0&amp;row=3947&amp;col=6&amp;number=3.3&amp;sourceID=14","3.3")</f>
        <v>3.3</v>
      </c>
      <c r="G3947" s="4" t="str">
        <f>HYPERLINK("http://141.218.60.56/~jnz1568/getInfo.php?workbook=12_04.xlsx&amp;sheet=U0&amp;row=3947&amp;col=7&amp;number=0.828&amp;sourceID=14","0.828")</f>
        <v>0.828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HYPERLINK("http://141.218.60.56/~jnz1568/getInfo.php?workbook=12_04.xlsx&amp;sheet=U0&amp;row=3948&amp;col=6&amp;number=3.4&amp;sourceID=14","3.4")</f>
        <v>3.4</v>
      </c>
      <c r="G3948" s="4" t="str">
        <f>HYPERLINK("http://141.218.60.56/~jnz1568/getInfo.php?workbook=12_04.xlsx&amp;sheet=U0&amp;row=3948&amp;col=7&amp;number=0.828&amp;sourceID=14","0.828")</f>
        <v>0.828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HYPERLINK("http://141.218.60.56/~jnz1568/getInfo.php?workbook=12_04.xlsx&amp;sheet=U0&amp;row=3949&amp;col=6&amp;number=3.5&amp;sourceID=14","3.5")</f>
        <v>3.5</v>
      </c>
      <c r="G3949" s="4" t="str">
        <f>HYPERLINK("http://141.218.60.56/~jnz1568/getInfo.php?workbook=12_04.xlsx&amp;sheet=U0&amp;row=3949&amp;col=7&amp;number=0.828&amp;sourceID=14","0.828")</f>
        <v>0.828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HYPERLINK("http://141.218.60.56/~jnz1568/getInfo.php?workbook=12_04.xlsx&amp;sheet=U0&amp;row=3950&amp;col=6&amp;number=3.6&amp;sourceID=14","3.6")</f>
        <v>3.6</v>
      </c>
      <c r="G3950" s="4" t="str">
        <f>HYPERLINK("http://141.218.60.56/~jnz1568/getInfo.php?workbook=12_04.xlsx&amp;sheet=U0&amp;row=3950&amp;col=7&amp;number=0.828&amp;sourceID=14","0.828")</f>
        <v>0.828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HYPERLINK("http://141.218.60.56/~jnz1568/getInfo.php?workbook=12_04.xlsx&amp;sheet=U0&amp;row=3951&amp;col=6&amp;number=3.7&amp;sourceID=14","3.7")</f>
        <v>3.7</v>
      </c>
      <c r="G3951" s="4" t="str">
        <f>HYPERLINK("http://141.218.60.56/~jnz1568/getInfo.php?workbook=12_04.xlsx&amp;sheet=U0&amp;row=3951&amp;col=7&amp;number=0.829&amp;sourceID=14","0.829")</f>
        <v>0.829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HYPERLINK("http://141.218.60.56/~jnz1568/getInfo.php?workbook=12_04.xlsx&amp;sheet=U0&amp;row=3952&amp;col=6&amp;number=3.8&amp;sourceID=14","3.8")</f>
        <v>3.8</v>
      </c>
      <c r="G3952" s="4" t="str">
        <f>HYPERLINK("http://141.218.60.56/~jnz1568/getInfo.php?workbook=12_04.xlsx&amp;sheet=U0&amp;row=3952&amp;col=7&amp;number=0.829&amp;sourceID=14","0.829")</f>
        <v>0.829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HYPERLINK("http://141.218.60.56/~jnz1568/getInfo.php?workbook=12_04.xlsx&amp;sheet=U0&amp;row=3953&amp;col=6&amp;number=3.9&amp;sourceID=14","3.9")</f>
        <v>3.9</v>
      </c>
      <c r="G3953" s="4" t="str">
        <f>HYPERLINK("http://141.218.60.56/~jnz1568/getInfo.php?workbook=12_04.xlsx&amp;sheet=U0&amp;row=3953&amp;col=7&amp;number=0.83&amp;sourceID=14","0.83")</f>
        <v>0.83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HYPERLINK("http://141.218.60.56/~jnz1568/getInfo.php?workbook=12_04.xlsx&amp;sheet=U0&amp;row=3954&amp;col=6&amp;number=4&amp;sourceID=14","4")</f>
        <v>4</v>
      </c>
      <c r="G3954" s="4" t="str">
        <f>HYPERLINK("http://141.218.60.56/~jnz1568/getInfo.php?workbook=12_04.xlsx&amp;sheet=U0&amp;row=3954&amp;col=7&amp;number=0.83&amp;sourceID=14","0.83")</f>
        <v>0.83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HYPERLINK("http://141.218.60.56/~jnz1568/getInfo.php?workbook=12_04.xlsx&amp;sheet=U0&amp;row=3955&amp;col=6&amp;number=4.1&amp;sourceID=14","4.1")</f>
        <v>4.1</v>
      </c>
      <c r="G3955" s="4" t="str">
        <f>HYPERLINK("http://141.218.60.56/~jnz1568/getInfo.php?workbook=12_04.xlsx&amp;sheet=U0&amp;row=3955&amp;col=7&amp;number=0.831&amp;sourceID=14","0.831")</f>
        <v>0.831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HYPERLINK("http://141.218.60.56/~jnz1568/getInfo.php?workbook=12_04.xlsx&amp;sheet=U0&amp;row=3956&amp;col=6&amp;number=4.2&amp;sourceID=14","4.2")</f>
        <v>4.2</v>
      </c>
      <c r="G3956" s="4" t="str">
        <f>HYPERLINK("http://141.218.60.56/~jnz1568/getInfo.php?workbook=12_04.xlsx&amp;sheet=U0&amp;row=3956&amp;col=7&amp;number=0.832&amp;sourceID=14","0.832")</f>
        <v>0.832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HYPERLINK("http://141.218.60.56/~jnz1568/getInfo.php?workbook=12_04.xlsx&amp;sheet=U0&amp;row=3957&amp;col=6&amp;number=4.3&amp;sourceID=14","4.3")</f>
        <v>4.3</v>
      </c>
      <c r="G3957" s="4" t="str">
        <f>HYPERLINK("http://141.218.60.56/~jnz1568/getInfo.php?workbook=12_04.xlsx&amp;sheet=U0&amp;row=3957&amp;col=7&amp;number=0.833&amp;sourceID=14","0.833")</f>
        <v>0.833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HYPERLINK("http://141.218.60.56/~jnz1568/getInfo.php?workbook=12_04.xlsx&amp;sheet=U0&amp;row=3958&amp;col=6&amp;number=4.4&amp;sourceID=14","4.4")</f>
        <v>4.4</v>
      </c>
      <c r="G3958" s="4" t="str">
        <f>HYPERLINK("http://141.218.60.56/~jnz1568/getInfo.php?workbook=12_04.xlsx&amp;sheet=U0&amp;row=3958&amp;col=7&amp;number=0.835&amp;sourceID=14","0.835")</f>
        <v>0.835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HYPERLINK("http://141.218.60.56/~jnz1568/getInfo.php?workbook=12_04.xlsx&amp;sheet=U0&amp;row=3959&amp;col=6&amp;number=4.5&amp;sourceID=14","4.5")</f>
        <v>4.5</v>
      </c>
      <c r="G3959" s="4" t="str">
        <f>HYPERLINK("http://141.218.60.56/~jnz1568/getInfo.php?workbook=12_04.xlsx&amp;sheet=U0&amp;row=3959&amp;col=7&amp;number=0.837&amp;sourceID=14","0.837")</f>
        <v>0.837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HYPERLINK("http://141.218.60.56/~jnz1568/getInfo.php?workbook=12_04.xlsx&amp;sheet=U0&amp;row=3960&amp;col=6&amp;number=4.6&amp;sourceID=14","4.6")</f>
        <v>4.6</v>
      </c>
      <c r="G3960" s="4" t="str">
        <f>HYPERLINK("http://141.218.60.56/~jnz1568/getInfo.php?workbook=12_04.xlsx&amp;sheet=U0&amp;row=3960&amp;col=7&amp;number=0.839&amp;sourceID=14","0.839")</f>
        <v>0.839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HYPERLINK("http://141.218.60.56/~jnz1568/getInfo.php?workbook=12_04.xlsx&amp;sheet=U0&amp;row=3961&amp;col=6&amp;number=4.7&amp;sourceID=14","4.7")</f>
        <v>4.7</v>
      </c>
      <c r="G3961" s="4" t="str">
        <f>HYPERLINK("http://141.218.60.56/~jnz1568/getInfo.php?workbook=12_04.xlsx&amp;sheet=U0&amp;row=3961&amp;col=7&amp;number=0.842&amp;sourceID=14","0.842")</f>
        <v>0.842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HYPERLINK("http://141.218.60.56/~jnz1568/getInfo.php?workbook=12_04.xlsx&amp;sheet=U0&amp;row=3962&amp;col=6&amp;number=4.8&amp;sourceID=14","4.8")</f>
        <v>4.8</v>
      </c>
      <c r="G3962" s="4" t="str">
        <f>HYPERLINK("http://141.218.60.56/~jnz1568/getInfo.php?workbook=12_04.xlsx&amp;sheet=U0&amp;row=3962&amp;col=7&amp;number=0.845&amp;sourceID=14","0.845")</f>
        <v>0.845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HYPERLINK("http://141.218.60.56/~jnz1568/getInfo.php?workbook=12_04.xlsx&amp;sheet=U0&amp;row=3963&amp;col=6&amp;number=4.9&amp;sourceID=14","4.9")</f>
        <v>4.9</v>
      </c>
      <c r="G3963" s="4" t="str">
        <f>HYPERLINK("http://141.218.60.56/~jnz1568/getInfo.php?workbook=12_04.xlsx&amp;sheet=U0&amp;row=3963&amp;col=7&amp;number=0.848&amp;sourceID=14","0.848")</f>
        <v>0.848</v>
      </c>
    </row>
    <row r="3964" spans="1:7">
      <c r="A3964" s="3">
        <v>12</v>
      </c>
      <c r="B3964" s="3">
        <v>4</v>
      </c>
      <c r="C3964" s="3">
        <v>3</v>
      </c>
      <c r="D3964" s="3">
        <v>9</v>
      </c>
      <c r="E3964" s="3">
        <v>1</v>
      </c>
      <c r="F3964" s="4" t="str">
        <f>HYPERLINK("http://141.218.60.56/~jnz1568/getInfo.php?workbook=12_04.xlsx&amp;sheet=U0&amp;row=3964&amp;col=6&amp;number=3&amp;sourceID=14","3")</f>
        <v>3</v>
      </c>
      <c r="G3964" s="4" t="str">
        <f>HYPERLINK("http://141.218.60.56/~jnz1568/getInfo.php?workbook=12_04.xlsx&amp;sheet=U0&amp;row=3964&amp;col=7&amp;number=0.0413&amp;sourceID=14","0.0413")</f>
        <v>0.0413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HYPERLINK("http://141.218.60.56/~jnz1568/getInfo.php?workbook=12_04.xlsx&amp;sheet=U0&amp;row=3965&amp;col=6&amp;number=3.1&amp;sourceID=14","3.1")</f>
        <v>3.1</v>
      </c>
      <c r="G3965" s="4" t="str">
        <f>HYPERLINK("http://141.218.60.56/~jnz1568/getInfo.php?workbook=12_04.xlsx&amp;sheet=U0&amp;row=3965&amp;col=7&amp;number=0.0413&amp;sourceID=14","0.0413")</f>
        <v>0.0413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HYPERLINK("http://141.218.60.56/~jnz1568/getInfo.php?workbook=12_04.xlsx&amp;sheet=U0&amp;row=3966&amp;col=6&amp;number=3.2&amp;sourceID=14","3.2")</f>
        <v>3.2</v>
      </c>
      <c r="G3966" s="4" t="str">
        <f>HYPERLINK("http://141.218.60.56/~jnz1568/getInfo.php?workbook=12_04.xlsx&amp;sheet=U0&amp;row=3966&amp;col=7&amp;number=0.0413&amp;sourceID=14","0.0413")</f>
        <v>0.0413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HYPERLINK("http://141.218.60.56/~jnz1568/getInfo.php?workbook=12_04.xlsx&amp;sheet=U0&amp;row=3967&amp;col=6&amp;number=3.3&amp;sourceID=14","3.3")</f>
        <v>3.3</v>
      </c>
      <c r="G3967" s="4" t="str">
        <f>HYPERLINK("http://141.218.60.56/~jnz1568/getInfo.php?workbook=12_04.xlsx&amp;sheet=U0&amp;row=3967&amp;col=7&amp;number=0.0413&amp;sourceID=14","0.0413")</f>
        <v>0.0413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HYPERLINK("http://141.218.60.56/~jnz1568/getInfo.php?workbook=12_04.xlsx&amp;sheet=U0&amp;row=3968&amp;col=6&amp;number=3.4&amp;sourceID=14","3.4")</f>
        <v>3.4</v>
      </c>
      <c r="G3968" s="4" t="str">
        <f>HYPERLINK("http://141.218.60.56/~jnz1568/getInfo.php?workbook=12_04.xlsx&amp;sheet=U0&amp;row=3968&amp;col=7&amp;number=0.0413&amp;sourceID=14","0.0413")</f>
        <v>0.0413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HYPERLINK("http://141.218.60.56/~jnz1568/getInfo.php?workbook=12_04.xlsx&amp;sheet=U0&amp;row=3969&amp;col=6&amp;number=3.5&amp;sourceID=14","3.5")</f>
        <v>3.5</v>
      </c>
      <c r="G3969" s="4" t="str">
        <f>HYPERLINK("http://141.218.60.56/~jnz1568/getInfo.php?workbook=12_04.xlsx&amp;sheet=U0&amp;row=3969&amp;col=7&amp;number=0.0413&amp;sourceID=14","0.0413")</f>
        <v>0.0413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HYPERLINK("http://141.218.60.56/~jnz1568/getInfo.php?workbook=12_04.xlsx&amp;sheet=U0&amp;row=3970&amp;col=6&amp;number=3.6&amp;sourceID=14","3.6")</f>
        <v>3.6</v>
      </c>
      <c r="G3970" s="4" t="str">
        <f>HYPERLINK("http://141.218.60.56/~jnz1568/getInfo.php?workbook=12_04.xlsx&amp;sheet=U0&amp;row=3970&amp;col=7&amp;number=0.0413&amp;sourceID=14","0.0413")</f>
        <v>0.0413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HYPERLINK("http://141.218.60.56/~jnz1568/getInfo.php?workbook=12_04.xlsx&amp;sheet=U0&amp;row=3971&amp;col=6&amp;number=3.7&amp;sourceID=14","3.7")</f>
        <v>3.7</v>
      </c>
      <c r="G3971" s="4" t="str">
        <f>HYPERLINK("http://141.218.60.56/~jnz1568/getInfo.php?workbook=12_04.xlsx&amp;sheet=U0&amp;row=3971&amp;col=7&amp;number=0.0413&amp;sourceID=14","0.0413")</f>
        <v>0.0413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HYPERLINK("http://141.218.60.56/~jnz1568/getInfo.php?workbook=12_04.xlsx&amp;sheet=U0&amp;row=3972&amp;col=6&amp;number=3.8&amp;sourceID=14","3.8")</f>
        <v>3.8</v>
      </c>
      <c r="G3972" s="4" t="str">
        <f>HYPERLINK("http://141.218.60.56/~jnz1568/getInfo.php?workbook=12_04.xlsx&amp;sheet=U0&amp;row=3972&amp;col=7&amp;number=0.0412&amp;sourceID=14","0.0412")</f>
        <v>0.0412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HYPERLINK("http://141.218.60.56/~jnz1568/getInfo.php?workbook=12_04.xlsx&amp;sheet=U0&amp;row=3973&amp;col=6&amp;number=3.9&amp;sourceID=14","3.9")</f>
        <v>3.9</v>
      </c>
      <c r="G3973" s="4" t="str">
        <f>HYPERLINK("http://141.218.60.56/~jnz1568/getInfo.php?workbook=12_04.xlsx&amp;sheet=U0&amp;row=3973&amp;col=7&amp;number=0.0412&amp;sourceID=14","0.0412")</f>
        <v>0.0412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HYPERLINK("http://141.218.60.56/~jnz1568/getInfo.php?workbook=12_04.xlsx&amp;sheet=U0&amp;row=3974&amp;col=6&amp;number=4&amp;sourceID=14","4")</f>
        <v>4</v>
      </c>
      <c r="G3974" s="4" t="str">
        <f>HYPERLINK("http://141.218.60.56/~jnz1568/getInfo.php?workbook=12_04.xlsx&amp;sheet=U0&amp;row=3974&amp;col=7&amp;number=0.0412&amp;sourceID=14","0.0412")</f>
        <v>0.0412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HYPERLINK("http://141.218.60.56/~jnz1568/getInfo.php?workbook=12_04.xlsx&amp;sheet=U0&amp;row=3975&amp;col=6&amp;number=4.1&amp;sourceID=14","4.1")</f>
        <v>4.1</v>
      </c>
      <c r="G3975" s="4" t="str">
        <f>HYPERLINK("http://141.218.60.56/~jnz1568/getInfo.php?workbook=12_04.xlsx&amp;sheet=U0&amp;row=3975&amp;col=7&amp;number=0.0411&amp;sourceID=14","0.0411")</f>
        <v>0.0411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HYPERLINK("http://141.218.60.56/~jnz1568/getInfo.php?workbook=12_04.xlsx&amp;sheet=U0&amp;row=3976&amp;col=6&amp;number=4.2&amp;sourceID=14","4.2")</f>
        <v>4.2</v>
      </c>
      <c r="G3976" s="4" t="str">
        <f>HYPERLINK("http://141.218.60.56/~jnz1568/getInfo.php?workbook=12_04.xlsx&amp;sheet=U0&amp;row=3976&amp;col=7&amp;number=0.041&amp;sourceID=14","0.041")</f>
        <v>0.041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HYPERLINK("http://141.218.60.56/~jnz1568/getInfo.php?workbook=12_04.xlsx&amp;sheet=U0&amp;row=3977&amp;col=6&amp;number=4.3&amp;sourceID=14","4.3")</f>
        <v>4.3</v>
      </c>
      <c r="G3977" s="4" t="str">
        <f>HYPERLINK("http://141.218.60.56/~jnz1568/getInfo.php?workbook=12_04.xlsx&amp;sheet=U0&amp;row=3977&amp;col=7&amp;number=0.041&amp;sourceID=14","0.041")</f>
        <v>0.041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HYPERLINK("http://141.218.60.56/~jnz1568/getInfo.php?workbook=12_04.xlsx&amp;sheet=U0&amp;row=3978&amp;col=6&amp;number=4.4&amp;sourceID=14","4.4")</f>
        <v>4.4</v>
      </c>
      <c r="G3978" s="4" t="str">
        <f>HYPERLINK("http://141.218.60.56/~jnz1568/getInfo.php?workbook=12_04.xlsx&amp;sheet=U0&amp;row=3978&amp;col=7&amp;number=0.0409&amp;sourceID=14","0.0409")</f>
        <v>0.0409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HYPERLINK("http://141.218.60.56/~jnz1568/getInfo.php?workbook=12_04.xlsx&amp;sheet=U0&amp;row=3979&amp;col=6&amp;number=4.5&amp;sourceID=14","4.5")</f>
        <v>4.5</v>
      </c>
      <c r="G3979" s="4" t="str">
        <f>HYPERLINK("http://141.218.60.56/~jnz1568/getInfo.php?workbook=12_04.xlsx&amp;sheet=U0&amp;row=3979&amp;col=7&amp;number=0.0408&amp;sourceID=14","0.0408")</f>
        <v>0.0408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HYPERLINK("http://141.218.60.56/~jnz1568/getInfo.php?workbook=12_04.xlsx&amp;sheet=U0&amp;row=3980&amp;col=6&amp;number=4.6&amp;sourceID=14","4.6")</f>
        <v>4.6</v>
      </c>
      <c r="G3980" s="4" t="str">
        <f>HYPERLINK("http://141.218.60.56/~jnz1568/getInfo.php?workbook=12_04.xlsx&amp;sheet=U0&amp;row=3980&amp;col=7&amp;number=0.0407&amp;sourceID=14","0.0407")</f>
        <v>0.0407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HYPERLINK("http://141.218.60.56/~jnz1568/getInfo.php?workbook=12_04.xlsx&amp;sheet=U0&amp;row=3981&amp;col=6&amp;number=4.7&amp;sourceID=14","4.7")</f>
        <v>4.7</v>
      </c>
      <c r="G3981" s="4" t="str">
        <f>HYPERLINK("http://141.218.60.56/~jnz1568/getInfo.php?workbook=12_04.xlsx&amp;sheet=U0&amp;row=3981&amp;col=7&amp;number=0.0406&amp;sourceID=14","0.0406")</f>
        <v>0.0406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HYPERLINK("http://141.218.60.56/~jnz1568/getInfo.php?workbook=12_04.xlsx&amp;sheet=U0&amp;row=3982&amp;col=6&amp;number=4.8&amp;sourceID=14","4.8")</f>
        <v>4.8</v>
      </c>
      <c r="G3982" s="4" t="str">
        <f>HYPERLINK("http://141.218.60.56/~jnz1568/getInfo.php?workbook=12_04.xlsx&amp;sheet=U0&amp;row=3982&amp;col=7&amp;number=0.0406&amp;sourceID=14","0.0406")</f>
        <v>0.0406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HYPERLINK("http://141.218.60.56/~jnz1568/getInfo.php?workbook=12_04.xlsx&amp;sheet=U0&amp;row=3983&amp;col=6&amp;number=4.9&amp;sourceID=14","4.9")</f>
        <v>4.9</v>
      </c>
      <c r="G3983" s="4" t="str">
        <f>HYPERLINK("http://141.218.60.56/~jnz1568/getInfo.php?workbook=12_04.xlsx&amp;sheet=U0&amp;row=3983&amp;col=7&amp;number=0.0407&amp;sourceID=14","0.0407")</f>
        <v>0.0407</v>
      </c>
    </row>
    <row r="3984" spans="1:7">
      <c r="A3984" s="3">
        <v>12</v>
      </c>
      <c r="B3984" s="3">
        <v>4</v>
      </c>
      <c r="C3984" s="3">
        <v>3</v>
      </c>
      <c r="D3984" s="3">
        <v>10</v>
      </c>
      <c r="E3984" s="3">
        <v>1</v>
      </c>
      <c r="F3984" s="4" t="str">
        <f>HYPERLINK("http://141.218.60.56/~jnz1568/getInfo.php?workbook=12_04.xlsx&amp;sheet=U0&amp;row=3984&amp;col=6&amp;number=3&amp;sourceID=14","3")</f>
        <v>3</v>
      </c>
      <c r="G3984" s="4" t="str">
        <f>HYPERLINK("http://141.218.60.56/~jnz1568/getInfo.php?workbook=12_04.xlsx&amp;sheet=U0&amp;row=3984&amp;col=7&amp;number=0.0049&amp;sourceID=14","0.0049")</f>
        <v>0.0049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HYPERLINK("http://141.218.60.56/~jnz1568/getInfo.php?workbook=12_04.xlsx&amp;sheet=U0&amp;row=3985&amp;col=6&amp;number=3.1&amp;sourceID=14","3.1")</f>
        <v>3.1</v>
      </c>
      <c r="G3985" s="4" t="str">
        <f>HYPERLINK("http://141.218.60.56/~jnz1568/getInfo.php?workbook=12_04.xlsx&amp;sheet=U0&amp;row=3985&amp;col=7&amp;number=0.0049&amp;sourceID=14","0.0049")</f>
        <v>0.0049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HYPERLINK("http://141.218.60.56/~jnz1568/getInfo.php?workbook=12_04.xlsx&amp;sheet=U0&amp;row=3986&amp;col=6&amp;number=3.2&amp;sourceID=14","3.2")</f>
        <v>3.2</v>
      </c>
      <c r="G3986" s="4" t="str">
        <f>HYPERLINK("http://141.218.60.56/~jnz1568/getInfo.php?workbook=12_04.xlsx&amp;sheet=U0&amp;row=3986&amp;col=7&amp;number=0.0049&amp;sourceID=14","0.0049")</f>
        <v>0.0049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HYPERLINK("http://141.218.60.56/~jnz1568/getInfo.php?workbook=12_04.xlsx&amp;sheet=U0&amp;row=3987&amp;col=6&amp;number=3.3&amp;sourceID=14","3.3")</f>
        <v>3.3</v>
      </c>
      <c r="G3987" s="4" t="str">
        <f>HYPERLINK("http://141.218.60.56/~jnz1568/getInfo.php?workbook=12_04.xlsx&amp;sheet=U0&amp;row=3987&amp;col=7&amp;number=0.0049&amp;sourceID=14","0.0049")</f>
        <v>0.0049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HYPERLINK("http://141.218.60.56/~jnz1568/getInfo.php?workbook=12_04.xlsx&amp;sheet=U0&amp;row=3988&amp;col=6&amp;number=3.4&amp;sourceID=14","3.4")</f>
        <v>3.4</v>
      </c>
      <c r="G3988" s="4" t="str">
        <f>HYPERLINK("http://141.218.60.56/~jnz1568/getInfo.php?workbook=12_04.xlsx&amp;sheet=U0&amp;row=3988&amp;col=7&amp;number=0.0049&amp;sourceID=14","0.0049")</f>
        <v>0.0049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HYPERLINK("http://141.218.60.56/~jnz1568/getInfo.php?workbook=12_04.xlsx&amp;sheet=U0&amp;row=3989&amp;col=6&amp;number=3.5&amp;sourceID=14","3.5")</f>
        <v>3.5</v>
      </c>
      <c r="G3989" s="4" t="str">
        <f>HYPERLINK("http://141.218.60.56/~jnz1568/getInfo.php?workbook=12_04.xlsx&amp;sheet=U0&amp;row=3989&amp;col=7&amp;number=0.0049&amp;sourceID=14","0.0049")</f>
        <v>0.0049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HYPERLINK("http://141.218.60.56/~jnz1568/getInfo.php?workbook=12_04.xlsx&amp;sheet=U0&amp;row=3990&amp;col=6&amp;number=3.6&amp;sourceID=14","3.6")</f>
        <v>3.6</v>
      </c>
      <c r="G3990" s="4" t="str">
        <f>HYPERLINK("http://141.218.60.56/~jnz1568/getInfo.php?workbook=12_04.xlsx&amp;sheet=U0&amp;row=3990&amp;col=7&amp;number=0.0049&amp;sourceID=14","0.0049")</f>
        <v>0.0049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HYPERLINK("http://141.218.60.56/~jnz1568/getInfo.php?workbook=12_04.xlsx&amp;sheet=U0&amp;row=3991&amp;col=6&amp;number=3.7&amp;sourceID=14","3.7")</f>
        <v>3.7</v>
      </c>
      <c r="G3991" s="4" t="str">
        <f>HYPERLINK("http://141.218.60.56/~jnz1568/getInfo.php?workbook=12_04.xlsx&amp;sheet=U0&amp;row=3991&amp;col=7&amp;number=0.00491&amp;sourceID=14","0.00491")</f>
        <v>0.00491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HYPERLINK("http://141.218.60.56/~jnz1568/getInfo.php?workbook=12_04.xlsx&amp;sheet=U0&amp;row=3992&amp;col=6&amp;number=3.8&amp;sourceID=14","3.8")</f>
        <v>3.8</v>
      </c>
      <c r="G3992" s="4" t="str">
        <f>HYPERLINK("http://141.218.60.56/~jnz1568/getInfo.php?workbook=12_04.xlsx&amp;sheet=U0&amp;row=3992&amp;col=7&amp;number=0.00491&amp;sourceID=14","0.00491")</f>
        <v>0.00491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HYPERLINK("http://141.218.60.56/~jnz1568/getInfo.php?workbook=12_04.xlsx&amp;sheet=U0&amp;row=3993&amp;col=6&amp;number=3.9&amp;sourceID=14","3.9")</f>
        <v>3.9</v>
      </c>
      <c r="G3993" s="4" t="str">
        <f>HYPERLINK("http://141.218.60.56/~jnz1568/getInfo.php?workbook=12_04.xlsx&amp;sheet=U0&amp;row=3993&amp;col=7&amp;number=0.00491&amp;sourceID=14","0.00491")</f>
        <v>0.00491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HYPERLINK("http://141.218.60.56/~jnz1568/getInfo.php?workbook=12_04.xlsx&amp;sheet=U0&amp;row=3994&amp;col=6&amp;number=4&amp;sourceID=14","4")</f>
        <v>4</v>
      </c>
      <c r="G3994" s="4" t="str">
        <f>HYPERLINK("http://141.218.60.56/~jnz1568/getInfo.php?workbook=12_04.xlsx&amp;sheet=U0&amp;row=3994&amp;col=7&amp;number=0.00491&amp;sourceID=14","0.00491")</f>
        <v>0.00491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HYPERLINK("http://141.218.60.56/~jnz1568/getInfo.php?workbook=12_04.xlsx&amp;sheet=U0&amp;row=3995&amp;col=6&amp;number=4.1&amp;sourceID=14","4.1")</f>
        <v>4.1</v>
      </c>
      <c r="G3995" s="4" t="str">
        <f>HYPERLINK("http://141.218.60.56/~jnz1568/getInfo.php?workbook=12_04.xlsx&amp;sheet=U0&amp;row=3995&amp;col=7&amp;number=0.00491&amp;sourceID=14","0.00491")</f>
        <v>0.00491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HYPERLINK("http://141.218.60.56/~jnz1568/getInfo.php?workbook=12_04.xlsx&amp;sheet=U0&amp;row=3996&amp;col=6&amp;number=4.2&amp;sourceID=14","4.2")</f>
        <v>4.2</v>
      </c>
      <c r="G3996" s="4" t="str">
        <f>HYPERLINK("http://141.218.60.56/~jnz1568/getInfo.php?workbook=12_04.xlsx&amp;sheet=U0&amp;row=3996&amp;col=7&amp;number=0.00492&amp;sourceID=14","0.00492")</f>
        <v>0.00492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HYPERLINK("http://141.218.60.56/~jnz1568/getInfo.php?workbook=12_04.xlsx&amp;sheet=U0&amp;row=3997&amp;col=6&amp;number=4.3&amp;sourceID=14","4.3")</f>
        <v>4.3</v>
      </c>
      <c r="G3997" s="4" t="str">
        <f>HYPERLINK("http://141.218.60.56/~jnz1568/getInfo.php?workbook=12_04.xlsx&amp;sheet=U0&amp;row=3997&amp;col=7&amp;number=0.00493&amp;sourceID=14","0.00493")</f>
        <v>0.00493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HYPERLINK("http://141.218.60.56/~jnz1568/getInfo.php?workbook=12_04.xlsx&amp;sheet=U0&amp;row=3998&amp;col=6&amp;number=4.4&amp;sourceID=14","4.4")</f>
        <v>4.4</v>
      </c>
      <c r="G3998" s="4" t="str">
        <f>HYPERLINK("http://141.218.60.56/~jnz1568/getInfo.php?workbook=12_04.xlsx&amp;sheet=U0&amp;row=3998&amp;col=7&amp;number=0.00493&amp;sourceID=14","0.00493")</f>
        <v>0.00493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HYPERLINK("http://141.218.60.56/~jnz1568/getInfo.php?workbook=12_04.xlsx&amp;sheet=U0&amp;row=3999&amp;col=6&amp;number=4.5&amp;sourceID=14","4.5")</f>
        <v>4.5</v>
      </c>
      <c r="G3999" s="4" t="str">
        <f>HYPERLINK("http://141.218.60.56/~jnz1568/getInfo.php?workbook=12_04.xlsx&amp;sheet=U0&amp;row=3999&amp;col=7&amp;number=0.00495&amp;sourceID=14","0.00495")</f>
        <v>0.00495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HYPERLINK("http://141.218.60.56/~jnz1568/getInfo.php?workbook=12_04.xlsx&amp;sheet=U0&amp;row=4000&amp;col=6&amp;number=4.6&amp;sourceID=14","4.6")</f>
        <v>4.6</v>
      </c>
      <c r="G4000" s="4" t="str">
        <f>HYPERLINK("http://141.218.60.56/~jnz1568/getInfo.php?workbook=12_04.xlsx&amp;sheet=U0&amp;row=4000&amp;col=7&amp;number=0.00497&amp;sourceID=14","0.00497")</f>
        <v>0.00497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HYPERLINK("http://141.218.60.56/~jnz1568/getInfo.php?workbook=12_04.xlsx&amp;sheet=U0&amp;row=4001&amp;col=6&amp;number=4.7&amp;sourceID=14","4.7")</f>
        <v>4.7</v>
      </c>
      <c r="G4001" s="4" t="str">
        <f>HYPERLINK("http://141.218.60.56/~jnz1568/getInfo.php?workbook=12_04.xlsx&amp;sheet=U0&amp;row=4001&amp;col=7&amp;number=0.00501&amp;sourceID=14","0.00501")</f>
        <v>0.00501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HYPERLINK("http://141.218.60.56/~jnz1568/getInfo.php?workbook=12_04.xlsx&amp;sheet=U0&amp;row=4002&amp;col=6&amp;number=4.8&amp;sourceID=14","4.8")</f>
        <v>4.8</v>
      </c>
      <c r="G4002" s="4" t="str">
        <f>HYPERLINK("http://141.218.60.56/~jnz1568/getInfo.php?workbook=12_04.xlsx&amp;sheet=U0&amp;row=4002&amp;col=7&amp;number=0.00508&amp;sourceID=14","0.00508")</f>
        <v>0.00508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HYPERLINK("http://141.218.60.56/~jnz1568/getInfo.php?workbook=12_04.xlsx&amp;sheet=U0&amp;row=4003&amp;col=6&amp;number=4.9&amp;sourceID=14","4.9")</f>
        <v>4.9</v>
      </c>
      <c r="G4003" s="4" t="str">
        <f>HYPERLINK("http://141.218.60.56/~jnz1568/getInfo.php?workbook=12_04.xlsx&amp;sheet=U0&amp;row=4003&amp;col=7&amp;number=0.00519&amp;sourceID=14","0.00519")</f>
        <v>0.00519</v>
      </c>
    </row>
    <row r="4004" spans="1:7">
      <c r="A4004" s="3">
        <v>12</v>
      </c>
      <c r="B4004" s="3">
        <v>4</v>
      </c>
      <c r="C4004" s="3">
        <v>3</v>
      </c>
      <c r="D4004" s="3">
        <v>11</v>
      </c>
      <c r="E4004" s="3">
        <v>1</v>
      </c>
      <c r="F4004" s="4" t="str">
        <f>HYPERLINK("http://141.218.60.56/~jnz1568/getInfo.php?workbook=12_04.xlsx&amp;sheet=U0&amp;row=4004&amp;col=6&amp;number=3&amp;sourceID=14","3")</f>
        <v>3</v>
      </c>
      <c r="G4004" s="4" t="str">
        <f>HYPERLINK("http://141.218.60.56/~jnz1568/getInfo.php?workbook=12_04.xlsx&amp;sheet=U0&amp;row=4004&amp;col=7&amp;number=0.241&amp;sourceID=14","0.241")</f>
        <v>0.241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HYPERLINK("http://141.218.60.56/~jnz1568/getInfo.php?workbook=12_04.xlsx&amp;sheet=U0&amp;row=4005&amp;col=6&amp;number=3.1&amp;sourceID=14","3.1")</f>
        <v>3.1</v>
      </c>
      <c r="G4005" s="4" t="str">
        <f>HYPERLINK("http://141.218.60.56/~jnz1568/getInfo.php?workbook=12_04.xlsx&amp;sheet=U0&amp;row=4005&amp;col=7&amp;number=0.24&amp;sourceID=14","0.24")</f>
        <v>0.24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HYPERLINK("http://141.218.60.56/~jnz1568/getInfo.php?workbook=12_04.xlsx&amp;sheet=U0&amp;row=4006&amp;col=6&amp;number=3.2&amp;sourceID=14","3.2")</f>
        <v>3.2</v>
      </c>
      <c r="G4006" s="4" t="str">
        <f>HYPERLINK("http://141.218.60.56/~jnz1568/getInfo.php?workbook=12_04.xlsx&amp;sheet=U0&amp;row=4006&amp;col=7&amp;number=0.24&amp;sourceID=14","0.24")</f>
        <v>0.24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HYPERLINK("http://141.218.60.56/~jnz1568/getInfo.php?workbook=12_04.xlsx&amp;sheet=U0&amp;row=4007&amp;col=6&amp;number=3.3&amp;sourceID=14","3.3")</f>
        <v>3.3</v>
      </c>
      <c r="G4007" s="4" t="str">
        <f>HYPERLINK("http://141.218.60.56/~jnz1568/getInfo.php?workbook=12_04.xlsx&amp;sheet=U0&amp;row=4007&amp;col=7&amp;number=0.24&amp;sourceID=14","0.24")</f>
        <v>0.24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HYPERLINK("http://141.218.60.56/~jnz1568/getInfo.php?workbook=12_04.xlsx&amp;sheet=U0&amp;row=4008&amp;col=6&amp;number=3.4&amp;sourceID=14","3.4")</f>
        <v>3.4</v>
      </c>
      <c r="G4008" s="4" t="str">
        <f>HYPERLINK("http://141.218.60.56/~jnz1568/getInfo.php?workbook=12_04.xlsx&amp;sheet=U0&amp;row=4008&amp;col=7&amp;number=0.24&amp;sourceID=14","0.24")</f>
        <v>0.24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HYPERLINK("http://141.218.60.56/~jnz1568/getInfo.php?workbook=12_04.xlsx&amp;sheet=U0&amp;row=4009&amp;col=6&amp;number=3.5&amp;sourceID=14","3.5")</f>
        <v>3.5</v>
      </c>
      <c r="G4009" s="4" t="str">
        <f>HYPERLINK("http://141.218.60.56/~jnz1568/getInfo.php?workbook=12_04.xlsx&amp;sheet=U0&amp;row=4009&amp;col=7&amp;number=0.24&amp;sourceID=14","0.24")</f>
        <v>0.24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HYPERLINK("http://141.218.60.56/~jnz1568/getInfo.php?workbook=12_04.xlsx&amp;sheet=U0&amp;row=4010&amp;col=6&amp;number=3.6&amp;sourceID=14","3.6")</f>
        <v>3.6</v>
      </c>
      <c r="G4010" s="4" t="str">
        <f>HYPERLINK("http://141.218.60.56/~jnz1568/getInfo.php?workbook=12_04.xlsx&amp;sheet=U0&amp;row=4010&amp;col=7&amp;number=0.239&amp;sourceID=14","0.239")</f>
        <v>0.239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HYPERLINK("http://141.218.60.56/~jnz1568/getInfo.php?workbook=12_04.xlsx&amp;sheet=U0&amp;row=4011&amp;col=6&amp;number=3.7&amp;sourceID=14","3.7")</f>
        <v>3.7</v>
      </c>
      <c r="G4011" s="4" t="str">
        <f>HYPERLINK("http://141.218.60.56/~jnz1568/getInfo.php?workbook=12_04.xlsx&amp;sheet=U0&amp;row=4011&amp;col=7&amp;number=0.239&amp;sourceID=14","0.239")</f>
        <v>0.239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HYPERLINK("http://141.218.60.56/~jnz1568/getInfo.php?workbook=12_04.xlsx&amp;sheet=U0&amp;row=4012&amp;col=6&amp;number=3.8&amp;sourceID=14","3.8")</f>
        <v>3.8</v>
      </c>
      <c r="G4012" s="4" t="str">
        <f>HYPERLINK("http://141.218.60.56/~jnz1568/getInfo.php?workbook=12_04.xlsx&amp;sheet=U0&amp;row=4012&amp;col=7&amp;number=0.238&amp;sourceID=14","0.238")</f>
        <v>0.238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HYPERLINK("http://141.218.60.56/~jnz1568/getInfo.php?workbook=12_04.xlsx&amp;sheet=U0&amp;row=4013&amp;col=6&amp;number=3.9&amp;sourceID=14","3.9")</f>
        <v>3.9</v>
      </c>
      <c r="G4013" s="4" t="str">
        <f>HYPERLINK("http://141.218.60.56/~jnz1568/getInfo.php?workbook=12_04.xlsx&amp;sheet=U0&amp;row=4013&amp;col=7&amp;number=0.238&amp;sourceID=14","0.238")</f>
        <v>0.238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HYPERLINK("http://141.218.60.56/~jnz1568/getInfo.php?workbook=12_04.xlsx&amp;sheet=U0&amp;row=4014&amp;col=6&amp;number=4&amp;sourceID=14","4")</f>
        <v>4</v>
      </c>
      <c r="G4014" s="4" t="str">
        <f>HYPERLINK("http://141.218.60.56/~jnz1568/getInfo.php?workbook=12_04.xlsx&amp;sheet=U0&amp;row=4014&amp;col=7&amp;number=0.237&amp;sourceID=14","0.237")</f>
        <v>0.237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HYPERLINK("http://141.218.60.56/~jnz1568/getInfo.php?workbook=12_04.xlsx&amp;sheet=U0&amp;row=4015&amp;col=6&amp;number=4.1&amp;sourceID=14","4.1")</f>
        <v>4.1</v>
      </c>
      <c r="G4015" s="4" t="str">
        <f>HYPERLINK("http://141.218.60.56/~jnz1568/getInfo.php?workbook=12_04.xlsx&amp;sheet=U0&amp;row=4015&amp;col=7&amp;number=0.236&amp;sourceID=14","0.236")</f>
        <v>0.236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HYPERLINK("http://141.218.60.56/~jnz1568/getInfo.php?workbook=12_04.xlsx&amp;sheet=U0&amp;row=4016&amp;col=6&amp;number=4.2&amp;sourceID=14","4.2")</f>
        <v>4.2</v>
      </c>
      <c r="G4016" s="4" t="str">
        <f>HYPERLINK("http://141.218.60.56/~jnz1568/getInfo.php?workbook=12_04.xlsx&amp;sheet=U0&amp;row=4016&amp;col=7&amp;number=0.235&amp;sourceID=14","0.235")</f>
        <v>0.235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HYPERLINK("http://141.218.60.56/~jnz1568/getInfo.php?workbook=12_04.xlsx&amp;sheet=U0&amp;row=4017&amp;col=6&amp;number=4.3&amp;sourceID=14","4.3")</f>
        <v>4.3</v>
      </c>
      <c r="G4017" s="4" t="str">
        <f>HYPERLINK("http://141.218.60.56/~jnz1568/getInfo.php?workbook=12_04.xlsx&amp;sheet=U0&amp;row=4017&amp;col=7&amp;number=0.233&amp;sourceID=14","0.233")</f>
        <v>0.233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HYPERLINK("http://141.218.60.56/~jnz1568/getInfo.php?workbook=12_04.xlsx&amp;sheet=U0&amp;row=4018&amp;col=6&amp;number=4.4&amp;sourceID=14","4.4")</f>
        <v>4.4</v>
      </c>
      <c r="G4018" s="4" t="str">
        <f>HYPERLINK("http://141.218.60.56/~jnz1568/getInfo.php?workbook=12_04.xlsx&amp;sheet=U0&amp;row=4018&amp;col=7&amp;number=0.231&amp;sourceID=14","0.231")</f>
        <v>0.231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HYPERLINK("http://141.218.60.56/~jnz1568/getInfo.php?workbook=12_04.xlsx&amp;sheet=U0&amp;row=4019&amp;col=6&amp;number=4.5&amp;sourceID=14","4.5")</f>
        <v>4.5</v>
      </c>
      <c r="G4019" s="4" t="str">
        <f>HYPERLINK("http://141.218.60.56/~jnz1568/getInfo.php?workbook=12_04.xlsx&amp;sheet=U0&amp;row=4019&amp;col=7&amp;number=0.229&amp;sourceID=14","0.229")</f>
        <v>0.229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HYPERLINK("http://141.218.60.56/~jnz1568/getInfo.php?workbook=12_04.xlsx&amp;sheet=U0&amp;row=4020&amp;col=6&amp;number=4.6&amp;sourceID=14","4.6")</f>
        <v>4.6</v>
      </c>
      <c r="G4020" s="4" t="str">
        <f>HYPERLINK("http://141.218.60.56/~jnz1568/getInfo.php?workbook=12_04.xlsx&amp;sheet=U0&amp;row=4020&amp;col=7&amp;number=0.226&amp;sourceID=14","0.226")</f>
        <v>0.226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HYPERLINK("http://141.218.60.56/~jnz1568/getInfo.php?workbook=12_04.xlsx&amp;sheet=U0&amp;row=4021&amp;col=6&amp;number=4.7&amp;sourceID=14","4.7")</f>
        <v>4.7</v>
      </c>
      <c r="G4021" s="4" t="str">
        <f>HYPERLINK("http://141.218.60.56/~jnz1568/getInfo.php?workbook=12_04.xlsx&amp;sheet=U0&amp;row=4021&amp;col=7&amp;number=0.222&amp;sourceID=14","0.222")</f>
        <v>0.222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HYPERLINK("http://141.218.60.56/~jnz1568/getInfo.php?workbook=12_04.xlsx&amp;sheet=U0&amp;row=4022&amp;col=6&amp;number=4.8&amp;sourceID=14","4.8")</f>
        <v>4.8</v>
      </c>
      <c r="G4022" s="4" t="str">
        <f>HYPERLINK("http://141.218.60.56/~jnz1568/getInfo.php?workbook=12_04.xlsx&amp;sheet=U0&amp;row=4022&amp;col=7&amp;number=0.217&amp;sourceID=14","0.217")</f>
        <v>0.217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HYPERLINK("http://141.218.60.56/~jnz1568/getInfo.php?workbook=12_04.xlsx&amp;sheet=U0&amp;row=4023&amp;col=6&amp;number=4.9&amp;sourceID=14","4.9")</f>
        <v>4.9</v>
      </c>
      <c r="G4023" s="4" t="str">
        <f>HYPERLINK("http://141.218.60.56/~jnz1568/getInfo.php?workbook=12_04.xlsx&amp;sheet=U0&amp;row=4023&amp;col=7&amp;number=0.211&amp;sourceID=14","0.211")</f>
        <v>0.211</v>
      </c>
    </row>
    <row r="4024" spans="1:7">
      <c r="A4024" s="3">
        <v>12</v>
      </c>
      <c r="B4024" s="3">
        <v>4</v>
      </c>
      <c r="C4024" s="3">
        <v>3</v>
      </c>
      <c r="D4024" s="3">
        <v>12</v>
      </c>
      <c r="E4024" s="3">
        <v>1</v>
      </c>
      <c r="F4024" s="4" t="str">
        <f>HYPERLINK("http://141.218.60.56/~jnz1568/getInfo.php?workbook=12_04.xlsx&amp;sheet=U0&amp;row=4024&amp;col=6&amp;number=3&amp;sourceID=14","3")</f>
        <v>3</v>
      </c>
      <c r="G4024" s="4" t="str">
        <f>HYPERLINK("http://141.218.60.56/~jnz1568/getInfo.php?workbook=12_04.xlsx&amp;sheet=U0&amp;row=4024&amp;col=7&amp;number=0.0808&amp;sourceID=14","0.0808")</f>
        <v>0.0808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HYPERLINK("http://141.218.60.56/~jnz1568/getInfo.php?workbook=12_04.xlsx&amp;sheet=U0&amp;row=4025&amp;col=6&amp;number=3.1&amp;sourceID=14","3.1")</f>
        <v>3.1</v>
      </c>
      <c r="G4025" s="4" t="str">
        <f>HYPERLINK("http://141.218.60.56/~jnz1568/getInfo.php?workbook=12_04.xlsx&amp;sheet=U0&amp;row=4025&amp;col=7&amp;number=0.0807&amp;sourceID=14","0.0807")</f>
        <v>0.0807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HYPERLINK("http://141.218.60.56/~jnz1568/getInfo.php?workbook=12_04.xlsx&amp;sheet=U0&amp;row=4026&amp;col=6&amp;number=3.2&amp;sourceID=14","3.2")</f>
        <v>3.2</v>
      </c>
      <c r="G4026" s="4" t="str">
        <f>HYPERLINK("http://141.218.60.56/~jnz1568/getInfo.php?workbook=12_04.xlsx&amp;sheet=U0&amp;row=4026&amp;col=7&amp;number=0.0805&amp;sourceID=14","0.0805")</f>
        <v>0.0805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HYPERLINK("http://141.218.60.56/~jnz1568/getInfo.php?workbook=12_04.xlsx&amp;sheet=U0&amp;row=4027&amp;col=6&amp;number=3.3&amp;sourceID=14","3.3")</f>
        <v>3.3</v>
      </c>
      <c r="G4027" s="4" t="str">
        <f>HYPERLINK("http://141.218.60.56/~jnz1568/getInfo.php?workbook=12_04.xlsx&amp;sheet=U0&amp;row=4027&amp;col=7&amp;number=0.0804&amp;sourceID=14","0.0804")</f>
        <v>0.0804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HYPERLINK("http://141.218.60.56/~jnz1568/getInfo.php?workbook=12_04.xlsx&amp;sheet=U0&amp;row=4028&amp;col=6&amp;number=3.4&amp;sourceID=14","3.4")</f>
        <v>3.4</v>
      </c>
      <c r="G4028" s="4" t="str">
        <f>HYPERLINK("http://141.218.60.56/~jnz1568/getInfo.php?workbook=12_04.xlsx&amp;sheet=U0&amp;row=4028&amp;col=7&amp;number=0.0802&amp;sourceID=14","0.0802")</f>
        <v>0.0802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HYPERLINK("http://141.218.60.56/~jnz1568/getInfo.php?workbook=12_04.xlsx&amp;sheet=U0&amp;row=4029&amp;col=6&amp;number=3.5&amp;sourceID=14","3.5")</f>
        <v>3.5</v>
      </c>
      <c r="G4029" s="4" t="str">
        <f>HYPERLINK("http://141.218.60.56/~jnz1568/getInfo.php?workbook=12_04.xlsx&amp;sheet=U0&amp;row=4029&amp;col=7&amp;number=0.0799&amp;sourceID=14","0.0799")</f>
        <v>0.0799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HYPERLINK("http://141.218.60.56/~jnz1568/getInfo.php?workbook=12_04.xlsx&amp;sheet=U0&amp;row=4030&amp;col=6&amp;number=3.6&amp;sourceID=14","3.6")</f>
        <v>3.6</v>
      </c>
      <c r="G4030" s="4" t="str">
        <f>HYPERLINK("http://141.218.60.56/~jnz1568/getInfo.php?workbook=12_04.xlsx&amp;sheet=U0&amp;row=4030&amp;col=7&amp;number=0.0796&amp;sourceID=14","0.0796")</f>
        <v>0.0796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HYPERLINK("http://141.218.60.56/~jnz1568/getInfo.php?workbook=12_04.xlsx&amp;sheet=U0&amp;row=4031&amp;col=6&amp;number=3.7&amp;sourceID=14","3.7")</f>
        <v>3.7</v>
      </c>
      <c r="G4031" s="4" t="str">
        <f>HYPERLINK("http://141.218.60.56/~jnz1568/getInfo.php?workbook=12_04.xlsx&amp;sheet=U0&amp;row=4031&amp;col=7&amp;number=0.0792&amp;sourceID=14","0.0792")</f>
        <v>0.0792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HYPERLINK("http://141.218.60.56/~jnz1568/getInfo.php?workbook=12_04.xlsx&amp;sheet=U0&amp;row=4032&amp;col=6&amp;number=3.8&amp;sourceID=14","3.8")</f>
        <v>3.8</v>
      </c>
      <c r="G4032" s="4" t="str">
        <f>HYPERLINK("http://141.218.60.56/~jnz1568/getInfo.php?workbook=12_04.xlsx&amp;sheet=U0&amp;row=4032&amp;col=7&amp;number=0.0786&amp;sourceID=14","0.0786")</f>
        <v>0.0786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HYPERLINK("http://141.218.60.56/~jnz1568/getInfo.php?workbook=12_04.xlsx&amp;sheet=U0&amp;row=4033&amp;col=6&amp;number=3.9&amp;sourceID=14","3.9")</f>
        <v>3.9</v>
      </c>
      <c r="G4033" s="4" t="str">
        <f>HYPERLINK("http://141.218.60.56/~jnz1568/getInfo.php?workbook=12_04.xlsx&amp;sheet=U0&amp;row=4033&amp;col=7&amp;number=0.078&amp;sourceID=14","0.078")</f>
        <v>0.078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HYPERLINK("http://141.218.60.56/~jnz1568/getInfo.php?workbook=12_04.xlsx&amp;sheet=U0&amp;row=4034&amp;col=6&amp;number=4&amp;sourceID=14","4")</f>
        <v>4</v>
      </c>
      <c r="G4034" s="4" t="str">
        <f>HYPERLINK("http://141.218.60.56/~jnz1568/getInfo.php?workbook=12_04.xlsx&amp;sheet=U0&amp;row=4034&amp;col=7&amp;number=0.0772&amp;sourceID=14","0.0772")</f>
        <v>0.0772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HYPERLINK("http://141.218.60.56/~jnz1568/getInfo.php?workbook=12_04.xlsx&amp;sheet=U0&amp;row=4035&amp;col=6&amp;number=4.1&amp;sourceID=14","4.1")</f>
        <v>4.1</v>
      </c>
      <c r="G4035" s="4" t="str">
        <f>HYPERLINK("http://141.218.60.56/~jnz1568/getInfo.php?workbook=12_04.xlsx&amp;sheet=U0&amp;row=4035&amp;col=7&amp;number=0.0761&amp;sourceID=14","0.0761")</f>
        <v>0.0761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HYPERLINK("http://141.218.60.56/~jnz1568/getInfo.php?workbook=12_04.xlsx&amp;sheet=U0&amp;row=4036&amp;col=6&amp;number=4.2&amp;sourceID=14","4.2")</f>
        <v>4.2</v>
      </c>
      <c r="G4036" s="4" t="str">
        <f>HYPERLINK("http://141.218.60.56/~jnz1568/getInfo.php?workbook=12_04.xlsx&amp;sheet=U0&amp;row=4036&amp;col=7&amp;number=0.0749&amp;sourceID=14","0.0749")</f>
        <v>0.0749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HYPERLINK("http://141.218.60.56/~jnz1568/getInfo.php?workbook=12_04.xlsx&amp;sheet=U0&amp;row=4037&amp;col=6&amp;number=4.3&amp;sourceID=14","4.3")</f>
        <v>4.3</v>
      </c>
      <c r="G4037" s="4" t="str">
        <f>HYPERLINK("http://141.218.60.56/~jnz1568/getInfo.php?workbook=12_04.xlsx&amp;sheet=U0&amp;row=4037&amp;col=7&amp;number=0.0732&amp;sourceID=14","0.0732")</f>
        <v>0.0732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HYPERLINK("http://141.218.60.56/~jnz1568/getInfo.php?workbook=12_04.xlsx&amp;sheet=U0&amp;row=4038&amp;col=6&amp;number=4.4&amp;sourceID=14","4.4")</f>
        <v>4.4</v>
      </c>
      <c r="G4038" s="4" t="str">
        <f>HYPERLINK("http://141.218.60.56/~jnz1568/getInfo.php?workbook=12_04.xlsx&amp;sheet=U0&amp;row=4038&amp;col=7&amp;number=0.0712&amp;sourceID=14","0.0712")</f>
        <v>0.0712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HYPERLINK("http://141.218.60.56/~jnz1568/getInfo.php?workbook=12_04.xlsx&amp;sheet=U0&amp;row=4039&amp;col=6&amp;number=4.5&amp;sourceID=14","4.5")</f>
        <v>4.5</v>
      </c>
      <c r="G4039" s="4" t="str">
        <f>HYPERLINK("http://141.218.60.56/~jnz1568/getInfo.php?workbook=12_04.xlsx&amp;sheet=U0&amp;row=4039&amp;col=7&amp;number=0.0687&amp;sourceID=14","0.0687")</f>
        <v>0.0687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HYPERLINK("http://141.218.60.56/~jnz1568/getInfo.php?workbook=12_04.xlsx&amp;sheet=U0&amp;row=4040&amp;col=6&amp;number=4.6&amp;sourceID=14","4.6")</f>
        <v>4.6</v>
      </c>
      <c r="G4040" s="4" t="str">
        <f>HYPERLINK("http://141.218.60.56/~jnz1568/getInfo.php?workbook=12_04.xlsx&amp;sheet=U0&amp;row=4040&amp;col=7&amp;number=0.0656&amp;sourceID=14","0.0656")</f>
        <v>0.0656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HYPERLINK("http://141.218.60.56/~jnz1568/getInfo.php?workbook=12_04.xlsx&amp;sheet=U0&amp;row=4041&amp;col=6&amp;number=4.7&amp;sourceID=14","4.7")</f>
        <v>4.7</v>
      </c>
      <c r="G4041" s="4" t="str">
        <f>HYPERLINK("http://141.218.60.56/~jnz1568/getInfo.php?workbook=12_04.xlsx&amp;sheet=U0&amp;row=4041&amp;col=7&amp;number=0.0618&amp;sourceID=14","0.0618")</f>
        <v>0.0618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HYPERLINK("http://141.218.60.56/~jnz1568/getInfo.php?workbook=12_04.xlsx&amp;sheet=U0&amp;row=4042&amp;col=6&amp;number=4.8&amp;sourceID=14","4.8")</f>
        <v>4.8</v>
      </c>
      <c r="G4042" s="4" t="str">
        <f>HYPERLINK("http://141.218.60.56/~jnz1568/getInfo.php?workbook=12_04.xlsx&amp;sheet=U0&amp;row=4042&amp;col=7&amp;number=0.0571&amp;sourceID=14","0.0571")</f>
        <v>0.0571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HYPERLINK("http://141.218.60.56/~jnz1568/getInfo.php?workbook=12_04.xlsx&amp;sheet=U0&amp;row=4043&amp;col=6&amp;number=4.9&amp;sourceID=14","4.9")</f>
        <v>4.9</v>
      </c>
      <c r="G4043" s="4" t="str">
        <f>HYPERLINK("http://141.218.60.56/~jnz1568/getInfo.php?workbook=12_04.xlsx&amp;sheet=U0&amp;row=4043&amp;col=7&amp;number=0.0517&amp;sourceID=14","0.0517")</f>
        <v>0.0517</v>
      </c>
    </row>
    <row r="4044" spans="1:7">
      <c r="A4044" s="3">
        <v>12</v>
      </c>
      <c r="B4044" s="3">
        <v>4</v>
      </c>
      <c r="C4044" s="3">
        <v>3</v>
      </c>
      <c r="D4044" s="3">
        <v>13</v>
      </c>
      <c r="E4044" s="3">
        <v>1</v>
      </c>
      <c r="F4044" s="4" t="str">
        <f>HYPERLINK("http://141.218.60.56/~jnz1568/getInfo.php?workbook=12_04.xlsx&amp;sheet=U0&amp;row=4044&amp;col=6&amp;number=3&amp;sourceID=14","3")</f>
        <v>3</v>
      </c>
      <c r="G4044" s="4" t="str">
        <f>HYPERLINK("http://141.218.60.56/~jnz1568/getInfo.php?workbook=12_04.xlsx&amp;sheet=U0&amp;row=4044&amp;col=7&amp;number=0.195&amp;sourceID=14","0.195")</f>
        <v>0.195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HYPERLINK("http://141.218.60.56/~jnz1568/getInfo.php?workbook=12_04.xlsx&amp;sheet=U0&amp;row=4045&amp;col=6&amp;number=3.1&amp;sourceID=14","3.1")</f>
        <v>3.1</v>
      </c>
      <c r="G4045" s="4" t="str">
        <f>HYPERLINK("http://141.218.60.56/~jnz1568/getInfo.php?workbook=12_04.xlsx&amp;sheet=U0&amp;row=4045&amp;col=7&amp;number=0.194&amp;sourceID=14","0.194")</f>
        <v>0.194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HYPERLINK("http://141.218.60.56/~jnz1568/getInfo.php?workbook=12_04.xlsx&amp;sheet=U0&amp;row=4046&amp;col=6&amp;number=3.2&amp;sourceID=14","3.2")</f>
        <v>3.2</v>
      </c>
      <c r="G4046" s="4" t="str">
        <f>HYPERLINK("http://141.218.60.56/~jnz1568/getInfo.php?workbook=12_04.xlsx&amp;sheet=U0&amp;row=4046&amp;col=7&amp;number=0.194&amp;sourceID=14","0.194")</f>
        <v>0.194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HYPERLINK("http://141.218.60.56/~jnz1568/getInfo.php?workbook=12_04.xlsx&amp;sheet=U0&amp;row=4047&amp;col=6&amp;number=3.3&amp;sourceID=14","3.3")</f>
        <v>3.3</v>
      </c>
      <c r="G4047" s="4" t="str">
        <f>HYPERLINK("http://141.218.60.56/~jnz1568/getInfo.php?workbook=12_04.xlsx&amp;sheet=U0&amp;row=4047&amp;col=7&amp;number=0.193&amp;sourceID=14","0.193")</f>
        <v>0.193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HYPERLINK("http://141.218.60.56/~jnz1568/getInfo.php?workbook=12_04.xlsx&amp;sheet=U0&amp;row=4048&amp;col=6&amp;number=3.4&amp;sourceID=14","3.4")</f>
        <v>3.4</v>
      </c>
      <c r="G4048" s="4" t="str">
        <f>HYPERLINK("http://141.218.60.56/~jnz1568/getInfo.php?workbook=12_04.xlsx&amp;sheet=U0&amp;row=4048&amp;col=7&amp;number=0.192&amp;sourceID=14","0.192")</f>
        <v>0.192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HYPERLINK("http://141.218.60.56/~jnz1568/getInfo.php?workbook=12_04.xlsx&amp;sheet=U0&amp;row=4049&amp;col=6&amp;number=3.5&amp;sourceID=14","3.5")</f>
        <v>3.5</v>
      </c>
      <c r="G4049" s="4" t="str">
        <f>HYPERLINK("http://141.218.60.56/~jnz1568/getInfo.php?workbook=12_04.xlsx&amp;sheet=U0&amp;row=4049&amp;col=7&amp;number=0.19&amp;sourceID=14","0.19")</f>
        <v>0.19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HYPERLINK("http://141.218.60.56/~jnz1568/getInfo.php?workbook=12_04.xlsx&amp;sheet=U0&amp;row=4050&amp;col=6&amp;number=3.6&amp;sourceID=14","3.6")</f>
        <v>3.6</v>
      </c>
      <c r="G4050" s="4" t="str">
        <f>HYPERLINK("http://141.218.60.56/~jnz1568/getInfo.php?workbook=12_04.xlsx&amp;sheet=U0&amp;row=4050&amp;col=7&amp;number=0.189&amp;sourceID=14","0.189")</f>
        <v>0.189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HYPERLINK("http://141.218.60.56/~jnz1568/getInfo.php?workbook=12_04.xlsx&amp;sheet=U0&amp;row=4051&amp;col=6&amp;number=3.7&amp;sourceID=14","3.7")</f>
        <v>3.7</v>
      </c>
      <c r="G4051" s="4" t="str">
        <f>HYPERLINK("http://141.218.60.56/~jnz1568/getInfo.php?workbook=12_04.xlsx&amp;sheet=U0&amp;row=4051&amp;col=7&amp;number=0.187&amp;sourceID=14","0.187")</f>
        <v>0.187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HYPERLINK("http://141.218.60.56/~jnz1568/getInfo.php?workbook=12_04.xlsx&amp;sheet=U0&amp;row=4052&amp;col=6&amp;number=3.8&amp;sourceID=14","3.8")</f>
        <v>3.8</v>
      </c>
      <c r="G4052" s="4" t="str">
        <f>HYPERLINK("http://141.218.60.56/~jnz1568/getInfo.php?workbook=12_04.xlsx&amp;sheet=U0&amp;row=4052&amp;col=7&amp;number=0.184&amp;sourceID=14","0.184")</f>
        <v>0.184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HYPERLINK("http://141.218.60.56/~jnz1568/getInfo.php?workbook=12_04.xlsx&amp;sheet=U0&amp;row=4053&amp;col=6&amp;number=3.9&amp;sourceID=14","3.9")</f>
        <v>3.9</v>
      </c>
      <c r="G4053" s="4" t="str">
        <f>HYPERLINK("http://141.218.60.56/~jnz1568/getInfo.php?workbook=12_04.xlsx&amp;sheet=U0&amp;row=4053&amp;col=7&amp;number=0.181&amp;sourceID=14","0.181")</f>
        <v>0.181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HYPERLINK("http://141.218.60.56/~jnz1568/getInfo.php?workbook=12_04.xlsx&amp;sheet=U0&amp;row=4054&amp;col=6&amp;number=4&amp;sourceID=14","4")</f>
        <v>4</v>
      </c>
      <c r="G4054" s="4" t="str">
        <f>HYPERLINK("http://141.218.60.56/~jnz1568/getInfo.php?workbook=12_04.xlsx&amp;sheet=U0&amp;row=4054&amp;col=7&amp;number=0.177&amp;sourceID=14","0.177")</f>
        <v>0.177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HYPERLINK("http://141.218.60.56/~jnz1568/getInfo.php?workbook=12_04.xlsx&amp;sheet=U0&amp;row=4055&amp;col=6&amp;number=4.1&amp;sourceID=14","4.1")</f>
        <v>4.1</v>
      </c>
      <c r="G4055" s="4" t="str">
        <f>HYPERLINK("http://141.218.60.56/~jnz1568/getInfo.php?workbook=12_04.xlsx&amp;sheet=U0&amp;row=4055&amp;col=7&amp;number=0.173&amp;sourceID=14","0.173")</f>
        <v>0.173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HYPERLINK("http://141.218.60.56/~jnz1568/getInfo.php?workbook=12_04.xlsx&amp;sheet=U0&amp;row=4056&amp;col=6&amp;number=4.2&amp;sourceID=14","4.2")</f>
        <v>4.2</v>
      </c>
      <c r="G4056" s="4" t="str">
        <f>HYPERLINK("http://141.218.60.56/~jnz1568/getInfo.php?workbook=12_04.xlsx&amp;sheet=U0&amp;row=4056&amp;col=7&amp;number=0.167&amp;sourceID=14","0.167")</f>
        <v>0.167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HYPERLINK("http://141.218.60.56/~jnz1568/getInfo.php?workbook=12_04.xlsx&amp;sheet=U0&amp;row=4057&amp;col=6&amp;number=4.3&amp;sourceID=14","4.3")</f>
        <v>4.3</v>
      </c>
      <c r="G4057" s="4" t="str">
        <f>HYPERLINK("http://141.218.60.56/~jnz1568/getInfo.php?workbook=12_04.xlsx&amp;sheet=U0&amp;row=4057&amp;col=7&amp;number=0.159&amp;sourceID=14","0.159")</f>
        <v>0.159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HYPERLINK("http://141.218.60.56/~jnz1568/getInfo.php?workbook=12_04.xlsx&amp;sheet=U0&amp;row=4058&amp;col=6&amp;number=4.4&amp;sourceID=14","4.4")</f>
        <v>4.4</v>
      </c>
      <c r="G4058" s="4" t="str">
        <f>HYPERLINK("http://141.218.60.56/~jnz1568/getInfo.php?workbook=12_04.xlsx&amp;sheet=U0&amp;row=4058&amp;col=7&amp;number=0.15&amp;sourceID=14","0.15")</f>
        <v>0.15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HYPERLINK("http://141.218.60.56/~jnz1568/getInfo.php?workbook=12_04.xlsx&amp;sheet=U0&amp;row=4059&amp;col=6&amp;number=4.5&amp;sourceID=14","4.5")</f>
        <v>4.5</v>
      </c>
      <c r="G4059" s="4" t="str">
        <f>HYPERLINK("http://141.218.60.56/~jnz1568/getInfo.php?workbook=12_04.xlsx&amp;sheet=U0&amp;row=4059&amp;col=7&amp;number=0.14&amp;sourceID=14","0.14")</f>
        <v>0.14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HYPERLINK("http://141.218.60.56/~jnz1568/getInfo.php?workbook=12_04.xlsx&amp;sheet=U0&amp;row=4060&amp;col=6&amp;number=4.6&amp;sourceID=14","4.6")</f>
        <v>4.6</v>
      </c>
      <c r="G4060" s="4" t="str">
        <f>HYPERLINK("http://141.218.60.56/~jnz1568/getInfo.php?workbook=12_04.xlsx&amp;sheet=U0&amp;row=4060&amp;col=7&amp;number=0.127&amp;sourceID=14","0.127")</f>
        <v>0.127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HYPERLINK("http://141.218.60.56/~jnz1568/getInfo.php?workbook=12_04.xlsx&amp;sheet=U0&amp;row=4061&amp;col=6&amp;number=4.7&amp;sourceID=14","4.7")</f>
        <v>4.7</v>
      </c>
      <c r="G4061" s="4" t="str">
        <f>HYPERLINK("http://141.218.60.56/~jnz1568/getInfo.php?workbook=12_04.xlsx&amp;sheet=U0&amp;row=4061&amp;col=7&amp;number=0.113&amp;sourceID=14","0.113")</f>
        <v>0.113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HYPERLINK("http://141.218.60.56/~jnz1568/getInfo.php?workbook=12_04.xlsx&amp;sheet=U0&amp;row=4062&amp;col=6&amp;number=4.8&amp;sourceID=14","4.8")</f>
        <v>4.8</v>
      </c>
      <c r="G4062" s="4" t="str">
        <f>HYPERLINK("http://141.218.60.56/~jnz1568/getInfo.php?workbook=12_04.xlsx&amp;sheet=U0&amp;row=4062&amp;col=7&amp;number=0.0968&amp;sourceID=14","0.0968")</f>
        <v>0.0968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HYPERLINK("http://141.218.60.56/~jnz1568/getInfo.php?workbook=12_04.xlsx&amp;sheet=U0&amp;row=4063&amp;col=6&amp;number=4.9&amp;sourceID=14","4.9")</f>
        <v>4.9</v>
      </c>
      <c r="G4063" s="4" t="str">
        <f>HYPERLINK("http://141.218.60.56/~jnz1568/getInfo.php?workbook=12_04.xlsx&amp;sheet=U0&amp;row=4063&amp;col=7&amp;number=0.0811&amp;sourceID=14","0.0811")</f>
        <v>0.0811</v>
      </c>
    </row>
    <row r="4064" spans="1:7">
      <c r="A4064" s="3">
        <v>12</v>
      </c>
      <c r="B4064" s="3">
        <v>4</v>
      </c>
      <c r="C4064" s="3">
        <v>3</v>
      </c>
      <c r="D4064" s="3">
        <v>14</v>
      </c>
      <c r="E4064" s="3">
        <v>1</v>
      </c>
      <c r="F4064" s="4" t="str">
        <f>HYPERLINK("http://141.218.60.56/~jnz1568/getInfo.php?workbook=12_04.xlsx&amp;sheet=U0&amp;row=4064&amp;col=6&amp;number=3&amp;sourceID=14","3")</f>
        <v>3</v>
      </c>
      <c r="G4064" s="4" t="str">
        <f>HYPERLINK("http://141.218.60.56/~jnz1568/getInfo.php?workbook=12_04.xlsx&amp;sheet=U0&amp;row=4064&amp;col=7&amp;number=0.0645&amp;sourceID=14","0.0645")</f>
        <v>0.0645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HYPERLINK("http://141.218.60.56/~jnz1568/getInfo.php?workbook=12_04.xlsx&amp;sheet=U0&amp;row=4065&amp;col=6&amp;number=3.1&amp;sourceID=14","3.1")</f>
        <v>3.1</v>
      </c>
      <c r="G4065" s="4" t="str">
        <f>HYPERLINK("http://141.218.60.56/~jnz1568/getInfo.php?workbook=12_04.xlsx&amp;sheet=U0&amp;row=4065&amp;col=7&amp;number=0.0644&amp;sourceID=14","0.0644")</f>
        <v>0.0644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HYPERLINK("http://141.218.60.56/~jnz1568/getInfo.php?workbook=12_04.xlsx&amp;sheet=U0&amp;row=4066&amp;col=6&amp;number=3.2&amp;sourceID=14","3.2")</f>
        <v>3.2</v>
      </c>
      <c r="G4066" s="4" t="str">
        <f>HYPERLINK("http://141.218.60.56/~jnz1568/getInfo.php?workbook=12_04.xlsx&amp;sheet=U0&amp;row=4066&amp;col=7&amp;number=0.0642&amp;sourceID=14","0.0642")</f>
        <v>0.0642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HYPERLINK("http://141.218.60.56/~jnz1568/getInfo.php?workbook=12_04.xlsx&amp;sheet=U0&amp;row=4067&amp;col=6&amp;number=3.3&amp;sourceID=14","3.3")</f>
        <v>3.3</v>
      </c>
      <c r="G4067" s="4" t="str">
        <f>HYPERLINK("http://141.218.60.56/~jnz1568/getInfo.php?workbook=12_04.xlsx&amp;sheet=U0&amp;row=4067&amp;col=7&amp;number=0.0641&amp;sourceID=14","0.0641")</f>
        <v>0.0641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HYPERLINK("http://141.218.60.56/~jnz1568/getInfo.php?workbook=12_04.xlsx&amp;sheet=U0&amp;row=4068&amp;col=6&amp;number=3.4&amp;sourceID=14","3.4")</f>
        <v>3.4</v>
      </c>
      <c r="G4068" s="4" t="str">
        <f>HYPERLINK("http://141.218.60.56/~jnz1568/getInfo.php?workbook=12_04.xlsx&amp;sheet=U0&amp;row=4068&amp;col=7&amp;number=0.0639&amp;sourceID=14","0.0639")</f>
        <v>0.0639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HYPERLINK("http://141.218.60.56/~jnz1568/getInfo.php?workbook=12_04.xlsx&amp;sheet=U0&amp;row=4069&amp;col=6&amp;number=3.5&amp;sourceID=14","3.5")</f>
        <v>3.5</v>
      </c>
      <c r="G4069" s="4" t="str">
        <f>HYPERLINK("http://141.218.60.56/~jnz1568/getInfo.php?workbook=12_04.xlsx&amp;sheet=U0&amp;row=4069&amp;col=7&amp;number=0.0637&amp;sourceID=14","0.0637")</f>
        <v>0.0637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HYPERLINK("http://141.218.60.56/~jnz1568/getInfo.php?workbook=12_04.xlsx&amp;sheet=U0&amp;row=4070&amp;col=6&amp;number=3.6&amp;sourceID=14","3.6")</f>
        <v>3.6</v>
      </c>
      <c r="G4070" s="4" t="str">
        <f>HYPERLINK("http://141.218.60.56/~jnz1568/getInfo.php?workbook=12_04.xlsx&amp;sheet=U0&amp;row=4070&amp;col=7&amp;number=0.0633&amp;sourceID=14","0.0633")</f>
        <v>0.0633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HYPERLINK("http://141.218.60.56/~jnz1568/getInfo.php?workbook=12_04.xlsx&amp;sheet=U0&amp;row=4071&amp;col=6&amp;number=3.7&amp;sourceID=14","3.7")</f>
        <v>3.7</v>
      </c>
      <c r="G4071" s="4" t="str">
        <f>HYPERLINK("http://141.218.60.56/~jnz1568/getInfo.php?workbook=12_04.xlsx&amp;sheet=U0&amp;row=4071&amp;col=7&amp;number=0.063&amp;sourceID=14","0.063")</f>
        <v>0.063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HYPERLINK("http://141.218.60.56/~jnz1568/getInfo.php?workbook=12_04.xlsx&amp;sheet=U0&amp;row=4072&amp;col=6&amp;number=3.8&amp;sourceID=14","3.8")</f>
        <v>3.8</v>
      </c>
      <c r="G4072" s="4" t="str">
        <f>HYPERLINK("http://141.218.60.56/~jnz1568/getInfo.php?workbook=12_04.xlsx&amp;sheet=U0&amp;row=4072&amp;col=7&amp;number=0.0625&amp;sourceID=14","0.0625")</f>
        <v>0.0625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HYPERLINK("http://141.218.60.56/~jnz1568/getInfo.php?workbook=12_04.xlsx&amp;sheet=U0&amp;row=4073&amp;col=6&amp;number=3.9&amp;sourceID=14","3.9")</f>
        <v>3.9</v>
      </c>
      <c r="G4073" s="4" t="str">
        <f>HYPERLINK("http://141.218.60.56/~jnz1568/getInfo.php?workbook=12_04.xlsx&amp;sheet=U0&amp;row=4073&amp;col=7&amp;number=0.0619&amp;sourceID=14","0.0619")</f>
        <v>0.0619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HYPERLINK("http://141.218.60.56/~jnz1568/getInfo.php?workbook=12_04.xlsx&amp;sheet=U0&amp;row=4074&amp;col=6&amp;number=4&amp;sourceID=14","4")</f>
        <v>4</v>
      </c>
      <c r="G4074" s="4" t="str">
        <f>HYPERLINK("http://141.218.60.56/~jnz1568/getInfo.php?workbook=12_04.xlsx&amp;sheet=U0&amp;row=4074&amp;col=7&amp;number=0.0611&amp;sourceID=14","0.0611")</f>
        <v>0.0611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HYPERLINK("http://141.218.60.56/~jnz1568/getInfo.php?workbook=12_04.xlsx&amp;sheet=U0&amp;row=4075&amp;col=6&amp;number=4.1&amp;sourceID=14","4.1")</f>
        <v>4.1</v>
      </c>
      <c r="G4075" s="4" t="str">
        <f>HYPERLINK("http://141.218.60.56/~jnz1568/getInfo.php?workbook=12_04.xlsx&amp;sheet=U0&amp;row=4075&amp;col=7&amp;number=0.0602&amp;sourceID=14","0.0602")</f>
        <v>0.0602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HYPERLINK("http://141.218.60.56/~jnz1568/getInfo.php?workbook=12_04.xlsx&amp;sheet=U0&amp;row=4076&amp;col=6&amp;number=4.2&amp;sourceID=14","4.2")</f>
        <v>4.2</v>
      </c>
      <c r="G4076" s="4" t="str">
        <f>HYPERLINK("http://141.218.60.56/~jnz1568/getInfo.php?workbook=12_04.xlsx&amp;sheet=U0&amp;row=4076&amp;col=7&amp;number=0.059&amp;sourceID=14","0.059")</f>
        <v>0.059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HYPERLINK("http://141.218.60.56/~jnz1568/getInfo.php?workbook=12_04.xlsx&amp;sheet=U0&amp;row=4077&amp;col=6&amp;number=4.3&amp;sourceID=14","4.3")</f>
        <v>4.3</v>
      </c>
      <c r="G4077" s="4" t="str">
        <f>HYPERLINK("http://141.218.60.56/~jnz1568/getInfo.php?workbook=12_04.xlsx&amp;sheet=U0&amp;row=4077&amp;col=7&amp;number=0.0575&amp;sourceID=14","0.0575")</f>
        <v>0.0575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HYPERLINK("http://141.218.60.56/~jnz1568/getInfo.php?workbook=12_04.xlsx&amp;sheet=U0&amp;row=4078&amp;col=6&amp;number=4.4&amp;sourceID=14","4.4")</f>
        <v>4.4</v>
      </c>
      <c r="G4078" s="4" t="str">
        <f>HYPERLINK("http://141.218.60.56/~jnz1568/getInfo.php?workbook=12_04.xlsx&amp;sheet=U0&amp;row=4078&amp;col=7&amp;number=0.0557&amp;sourceID=14","0.0557")</f>
        <v>0.0557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HYPERLINK("http://141.218.60.56/~jnz1568/getInfo.php?workbook=12_04.xlsx&amp;sheet=U0&amp;row=4079&amp;col=6&amp;number=4.5&amp;sourceID=14","4.5")</f>
        <v>4.5</v>
      </c>
      <c r="G4079" s="4" t="str">
        <f>HYPERLINK("http://141.218.60.56/~jnz1568/getInfo.php?workbook=12_04.xlsx&amp;sheet=U0&amp;row=4079&amp;col=7&amp;number=0.0534&amp;sourceID=14","0.0534")</f>
        <v>0.0534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HYPERLINK("http://141.218.60.56/~jnz1568/getInfo.php?workbook=12_04.xlsx&amp;sheet=U0&amp;row=4080&amp;col=6&amp;number=4.6&amp;sourceID=14","4.6")</f>
        <v>4.6</v>
      </c>
      <c r="G4080" s="4" t="str">
        <f>HYPERLINK("http://141.218.60.56/~jnz1568/getInfo.php?workbook=12_04.xlsx&amp;sheet=U0&amp;row=4080&amp;col=7&amp;number=0.0506&amp;sourceID=14","0.0506")</f>
        <v>0.0506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HYPERLINK("http://141.218.60.56/~jnz1568/getInfo.php?workbook=12_04.xlsx&amp;sheet=U0&amp;row=4081&amp;col=6&amp;number=4.7&amp;sourceID=14","4.7")</f>
        <v>4.7</v>
      </c>
      <c r="G4081" s="4" t="str">
        <f>HYPERLINK("http://141.218.60.56/~jnz1568/getInfo.php?workbook=12_04.xlsx&amp;sheet=U0&amp;row=4081&amp;col=7&amp;number=0.0472&amp;sourceID=14","0.0472")</f>
        <v>0.0472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HYPERLINK("http://141.218.60.56/~jnz1568/getInfo.php?workbook=12_04.xlsx&amp;sheet=U0&amp;row=4082&amp;col=6&amp;number=4.8&amp;sourceID=14","4.8")</f>
        <v>4.8</v>
      </c>
      <c r="G4082" s="4" t="str">
        <f>HYPERLINK("http://141.218.60.56/~jnz1568/getInfo.php?workbook=12_04.xlsx&amp;sheet=U0&amp;row=4082&amp;col=7&amp;number=0.0432&amp;sourceID=14","0.0432")</f>
        <v>0.0432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HYPERLINK("http://141.218.60.56/~jnz1568/getInfo.php?workbook=12_04.xlsx&amp;sheet=U0&amp;row=4083&amp;col=6&amp;number=4.9&amp;sourceID=14","4.9")</f>
        <v>4.9</v>
      </c>
      <c r="G4083" s="4" t="str">
        <f>HYPERLINK("http://141.218.60.56/~jnz1568/getInfo.php?workbook=12_04.xlsx&amp;sheet=U0&amp;row=4083&amp;col=7&amp;number=0.0385&amp;sourceID=14","0.0385")</f>
        <v>0.0385</v>
      </c>
    </row>
    <row r="4084" spans="1:7">
      <c r="A4084" s="3">
        <v>12</v>
      </c>
      <c r="B4084" s="3">
        <v>4</v>
      </c>
      <c r="C4084" s="3">
        <v>3</v>
      </c>
      <c r="D4084" s="3">
        <v>15</v>
      </c>
      <c r="E4084" s="3">
        <v>1</v>
      </c>
      <c r="F4084" s="4" t="str">
        <f>HYPERLINK("http://141.218.60.56/~jnz1568/getInfo.php?workbook=12_04.xlsx&amp;sheet=U0&amp;row=4084&amp;col=6&amp;number=3&amp;sourceID=14","3")</f>
        <v>3</v>
      </c>
      <c r="G4084" s="4" t="str">
        <f>HYPERLINK("http://141.218.60.56/~jnz1568/getInfo.php?workbook=12_04.xlsx&amp;sheet=U0&amp;row=4084&amp;col=7&amp;number=0.369&amp;sourceID=14","0.369")</f>
        <v>0.369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HYPERLINK("http://141.218.60.56/~jnz1568/getInfo.php?workbook=12_04.xlsx&amp;sheet=U0&amp;row=4085&amp;col=6&amp;number=3.1&amp;sourceID=14","3.1")</f>
        <v>3.1</v>
      </c>
      <c r="G4085" s="4" t="str">
        <f>HYPERLINK("http://141.218.60.56/~jnz1568/getInfo.php?workbook=12_04.xlsx&amp;sheet=U0&amp;row=4085&amp;col=7&amp;number=0.368&amp;sourceID=14","0.368")</f>
        <v>0.368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HYPERLINK("http://141.218.60.56/~jnz1568/getInfo.php?workbook=12_04.xlsx&amp;sheet=U0&amp;row=4086&amp;col=6&amp;number=3.2&amp;sourceID=14","3.2")</f>
        <v>3.2</v>
      </c>
      <c r="G4086" s="4" t="str">
        <f>HYPERLINK("http://141.218.60.56/~jnz1568/getInfo.php?workbook=12_04.xlsx&amp;sheet=U0&amp;row=4086&amp;col=7&amp;number=0.367&amp;sourceID=14","0.367")</f>
        <v>0.367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HYPERLINK("http://141.218.60.56/~jnz1568/getInfo.php?workbook=12_04.xlsx&amp;sheet=U0&amp;row=4087&amp;col=6&amp;number=3.3&amp;sourceID=14","3.3")</f>
        <v>3.3</v>
      </c>
      <c r="G4087" s="4" t="str">
        <f>HYPERLINK("http://141.218.60.56/~jnz1568/getInfo.php?workbook=12_04.xlsx&amp;sheet=U0&amp;row=4087&amp;col=7&amp;number=0.366&amp;sourceID=14","0.366")</f>
        <v>0.366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HYPERLINK("http://141.218.60.56/~jnz1568/getInfo.php?workbook=12_04.xlsx&amp;sheet=U0&amp;row=4088&amp;col=6&amp;number=3.4&amp;sourceID=14","3.4")</f>
        <v>3.4</v>
      </c>
      <c r="G4088" s="4" t="str">
        <f>HYPERLINK("http://141.218.60.56/~jnz1568/getInfo.php?workbook=12_04.xlsx&amp;sheet=U0&amp;row=4088&amp;col=7&amp;number=0.365&amp;sourceID=14","0.365")</f>
        <v>0.365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HYPERLINK("http://141.218.60.56/~jnz1568/getInfo.php?workbook=12_04.xlsx&amp;sheet=U0&amp;row=4089&amp;col=6&amp;number=3.5&amp;sourceID=14","3.5")</f>
        <v>3.5</v>
      </c>
      <c r="G4089" s="4" t="str">
        <f>HYPERLINK("http://141.218.60.56/~jnz1568/getInfo.php?workbook=12_04.xlsx&amp;sheet=U0&amp;row=4089&amp;col=7&amp;number=0.364&amp;sourceID=14","0.364")</f>
        <v>0.364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HYPERLINK("http://141.218.60.56/~jnz1568/getInfo.php?workbook=12_04.xlsx&amp;sheet=U0&amp;row=4090&amp;col=6&amp;number=3.6&amp;sourceID=14","3.6")</f>
        <v>3.6</v>
      </c>
      <c r="G4090" s="4" t="str">
        <f>HYPERLINK("http://141.218.60.56/~jnz1568/getInfo.php?workbook=12_04.xlsx&amp;sheet=U0&amp;row=4090&amp;col=7&amp;number=0.362&amp;sourceID=14","0.362")</f>
        <v>0.362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HYPERLINK("http://141.218.60.56/~jnz1568/getInfo.php?workbook=12_04.xlsx&amp;sheet=U0&amp;row=4091&amp;col=6&amp;number=3.7&amp;sourceID=14","3.7")</f>
        <v>3.7</v>
      </c>
      <c r="G4091" s="4" t="str">
        <f>HYPERLINK("http://141.218.60.56/~jnz1568/getInfo.php?workbook=12_04.xlsx&amp;sheet=U0&amp;row=4091&amp;col=7&amp;number=0.36&amp;sourceID=14","0.36")</f>
        <v>0.36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HYPERLINK("http://141.218.60.56/~jnz1568/getInfo.php?workbook=12_04.xlsx&amp;sheet=U0&amp;row=4092&amp;col=6&amp;number=3.8&amp;sourceID=14","3.8")</f>
        <v>3.8</v>
      </c>
      <c r="G4092" s="4" t="str">
        <f>HYPERLINK("http://141.218.60.56/~jnz1568/getInfo.php?workbook=12_04.xlsx&amp;sheet=U0&amp;row=4092&amp;col=7&amp;number=0.357&amp;sourceID=14","0.357")</f>
        <v>0.357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HYPERLINK("http://141.218.60.56/~jnz1568/getInfo.php?workbook=12_04.xlsx&amp;sheet=U0&amp;row=4093&amp;col=6&amp;number=3.9&amp;sourceID=14","3.9")</f>
        <v>3.9</v>
      </c>
      <c r="G4093" s="4" t="str">
        <f>HYPERLINK("http://141.218.60.56/~jnz1568/getInfo.php?workbook=12_04.xlsx&amp;sheet=U0&amp;row=4093&amp;col=7&amp;number=0.353&amp;sourceID=14","0.353")</f>
        <v>0.353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HYPERLINK("http://141.218.60.56/~jnz1568/getInfo.php?workbook=12_04.xlsx&amp;sheet=U0&amp;row=4094&amp;col=6&amp;number=4&amp;sourceID=14","4")</f>
        <v>4</v>
      </c>
      <c r="G4094" s="4" t="str">
        <f>HYPERLINK("http://141.218.60.56/~jnz1568/getInfo.php?workbook=12_04.xlsx&amp;sheet=U0&amp;row=4094&amp;col=7&amp;number=0.348&amp;sourceID=14","0.348")</f>
        <v>0.348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HYPERLINK("http://141.218.60.56/~jnz1568/getInfo.php?workbook=12_04.xlsx&amp;sheet=U0&amp;row=4095&amp;col=6&amp;number=4.1&amp;sourceID=14","4.1")</f>
        <v>4.1</v>
      </c>
      <c r="G4095" s="4" t="str">
        <f>HYPERLINK("http://141.218.60.56/~jnz1568/getInfo.php?workbook=12_04.xlsx&amp;sheet=U0&amp;row=4095&amp;col=7&amp;number=0.343&amp;sourceID=14","0.343")</f>
        <v>0.343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HYPERLINK("http://141.218.60.56/~jnz1568/getInfo.php?workbook=12_04.xlsx&amp;sheet=U0&amp;row=4096&amp;col=6&amp;number=4.2&amp;sourceID=14","4.2")</f>
        <v>4.2</v>
      </c>
      <c r="G4096" s="4" t="str">
        <f>HYPERLINK("http://141.218.60.56/~jnz1568/getInfo.php?workbook=12_04.xlsx&amp;sheet=U0&amp;row=4096&amp;col=7&amp;number=0.336&amp;sourceID=14","0.336")</f>
        <v>0.336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HYPERLINK("http://141.218.60.56/~jnz1568/getInfo.php?workbook=12_04.xlsx&amp;sheet=U0&amp;row=4097&amp;col=6&amp;number=4.3&amp;sourceID=14","4.3")</f>
        <v>4.3</v>
      </c>
      <c r="G4097" s="4" t="str">
        <f>HYPERLINK("http://141.218.60.56/~jnz1568/getInfo.php?workbook=12_04.xlsx&amp;sheet=U0&amp;row=4097&amp;col=7&amp;number=0.327&amp;sourceID=14","0.327")</f>
        <v>0.327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HYPERLINK("http://141.218.60.56/~jnz1568/getInfo.php?workbook=12_04.xlsx&amp;sheet=U0&amp;row=4098&amp;col=6&amp;number=4.4&amp;sourceID=14","4.4")</f>
        <v>4.4</v>
      </c>
      <c r="G4098" s="4" t="str">
        <f>HYPERLINK("http://141.218.60.56/~jnz1568/getInfo.php?workbook=12_04.xlsx&amp;sheet=U0&amp;row=4098&amp;col=7&amp;number=0.316&amp;sourceID=14","0.316")</f>
        <v>0.316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HYPERLINK("http://141.218.60.56/~jnz1568/getInfo.php?workbook=12_04.xlsx&amp;sheet=U0&amp;row=4099&amp;col=6&amp;number=4.5&amp;sourceID=14","4.5")</f>
        <v>4.5</v>
      </c>
      <c r="G4099" s="4" t="str">
        <f>HYPERLINK("http://141.218.60.56/~jnz1568/getInfo.php?workbook=12_04.xlsx&amp;sheet=U0&amp;row=4099&amp;col=7&amp;number=0.303&amp;sourceID=14","0.303")</f>
        <v>0.303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HYPERLINK("http://141.218.60.56/~jnz1568/getInfo.php?workbook=12_04.xlsx&amp;sheet=U0&amp;row=4100&amp;col=6&amp;number=4.6&amp;sourceID=14","4.6")</f>
        <v>4.6</v>
      </c>
      <c r="G4100" s="4" t="str">
        <f>HYPERLINK("http://141.218.60.56/~jnz1568/getInfo.php?workbook=12_04.xlsx&amp;sheet=U0&amp;row=4100&amp;col=7&amp;number=0.288&amp;sourceID=14","0.288")</f>
        <v>0.288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HYPERLINK("http://141.218.60.56/~jnz1568/getInfo.php?workbook=12_04.xlsx&amp;sheet=U0&amp;row=4101&amp;col=6&amp;number=4.7&amp;sourceID=14","4.7")</f>
        <v>4.7</v>
      </c>
      <c r="G4101" s="4" t="str">
        <f>HYPERLINK("http://141.218.60.56/~jnz1568/getInfo.php?workbook=12_04.xlsx&amp;sheet=U0&amp;row=4101&amp;col=7&amp;number=0.27&amp;sourceID=14","0.27")</f>
        <v>0.27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HYPERLINK("http://141.218.60.56/~jnz1568/getInfo.php?workbook=12_04.xlsx&amp;sheet=U0&amp;row=4102&amp;col=6&amp;number=4.8&amp;sourceID=14","4.8")</f>
        <v>4.8</v>
      </c>
      <c r="G4102" s="4" t="str">
        <f>HYPERLINK("http://141.218.60.56/~jnz1568/getInfo.php?workbook=12_04.xlsx&amp;sheet=U0&amp;row=4102&amp;col=7&amp;number=0.251&amp;sourceID=14","0.251")</f>
        <v>0.251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HYPERLINK("http://141.218.60.56/~jnz1568/getInfo.php?workbook=12_04.xlsx&amp;sheet=U0&amp;row=4103&amp;col=6&amp;number=4.9&amp;sourceID=14","4.9")</f>
        <v>4.9</v>
      </c>
      <c r="G4103" s="4" t="str">
        <f>HYPERLINK("http://141.218.60.56/~jnz1568/getInfo.php?workbook=12_04.xlsx&amp;sheet=U0&amp;row=4103&amp;col=7&amp;number=0.231&amp;sourceID=14","0.231")</f>
        <v>0.231</v>
      </c>
    </row>
    <row r="4104" spans="1:7">
      <c r="A4104" s="3">
        <v>12</v>
      </c>
      <c r="B4104" s="3">
        <v>4</v>
      </c>
      <c r="C4104" s="3">
        <v>3</v>
      </c>
      <c r="D4104" s="3">
        <v>16</v>
      </c>
      <c r="E4104" s="3">
        <v>1</v>
      </c>
      <c r="F4104" s="4" t="str">
        <f>HYPERLINK("http://141.218.60.56/~jnz1568/getInfo.php?workbook=12_04.xlsx&amp;sheet=U0&amp;row=4104&amp;col=6&amp;number=3&amp;sourceID=14","3")</f>
        <v>3</v>
      </c>
      <c r="G4104" s="4" t="str">
        <f>HYPERLINK("http://141.218.60.56/~jnz1568/getInfo.php?workbook=12_04.xlsx&amp;sheet=U0&amp;row=4104&amp;col=7&amp;number=0.252&amp;sourceID=14","0.252")</f>
        <v>0.252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HYPERLINK("http://141.218.60.56/~jnz1568/getInfo.php?workbook=12_04.xlsx&amp;sheet=U0&amp;row=4105&amp;col=6&amp;number=3.1&amp;sourceID=14","3.1")</f>
        <v>3.1</v>
      </c>
      <c r="G4105" s="4" t="str">
        <f>HYPERLINK("http://141.218.60.56/~jnz1568/getInfo.php?workbook=12_04.xlsx&amp;sheet=U0&amp;row=4105&amp;col=7&amp;number=0.252&amp;sourceID=14","0.252")</f>
        <v>0.252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HYPERLINK("http://141.218.60.56/~jnz1568/getInfo.php?workbook=12_04.xlsx&amp;sheet=U0&amp;row=4106&amp;col=6&amp;number=3.2&amp;sourceID=14","3.2")</f>
        <v>3.2</v>
      </c>
      <c r="G4106" s="4" t="str">
        <f>HYPERLINK("http://141.218.60.56/~jnz1568/getInfo.php?workbook=12_04.xlsx&amp;sheet=U0&amp;row=4106&amp;col=7&amp;number=0.251&amp;sourceID=14","0.251")</f>
        <v>0.251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HYPERLINK("http://141.218.60.56/~jnz1568/getInfo.php?workbook=12_04.xlsx&amp;sheet=U0&amp;row=4107&amp;col=6&amp;number=3.3&amp;sourceID=14","3.3")</f>
        <v>3.3</v>
      </c>
      <c r="G4107" s="4" t="str">
        <f>HYPERLINK("http://141.218.60.56/~jnz1568/getInfo.php?workbook=12_04.xlsx&amp;sheet=U0&amp;row=4107&amp;col=7&amp;number=0.25&amp;sourceID=14","0.25")</f>
        <v>0.25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HYPERLINK("http://141.218.60.56/~jnz1568/getInfo.php?workbook=12_04.xlsx&amp;sheet=U0&amp;row=4108&amp;col=6&amp;number=3.4&amp;sourceID=14","3.4")</f>
        <v>3.4</v>
      </c>
      <c r="G4108" s="4" t="str">
        <f>HYPERLINK("http://141.218.60.56/~jnz1568/getInfo.php?workbook=12_04.xlsx&amp;sheet=U0&amp;row=4108&amp;col=7&amp;number=0.249&amp;sourceID=14","0.249")</f>
        <v>0.249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HYPERLINK("http://141.218.60.56/~jnz1568/getInfo.php?workbook=12_04.xlsx&amp;sheet=U0&amp;row=4109&amp;col=6&amp;number=3.5&amp;sourceID=14","3.5")</f>
        <v>3.5</v>
      </c>
      <c r="G4109" s="4" t="str">
        <f>HYPERLINK("http://141.218.60.56/~jnz1568/getInfo.php?workbook=12_04.xlsx&amp;sheet=U0&amp;row=4109&amp;col=7&amp;number=0.247&amp;sourceID=14","0.247")</f>
        <v>0.247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HYPERLINK("http://141.218.60.56/~jnz1568/getInfo.php?workbook=12_04.xlsx&amp;sheet=U0&amp;row=4110&amp;col=6&amp;number=3.6&amp;sourceID=14","3.6")</f>
        <v>3.6</v>
      </c>
      <c r="G4110" s="4" t="str">
        <f>HYPERLINK("http://141.218.60.56/~jnz1568/getInfo.php?workbook=12_04.xlsx&amp;sheet=U0&amp;row=4110&amp;col=7&amp;number=0.245&amp;sourceID=14","0.245")</f>
        <v>0.245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HYPERLINK("http://141.218.60.56/~jnz1568/getInfo.php?workbook=12_04.xlsx&amp;sheet=U0&amp;row=4111&amp;col=6&amp;number=3.7&amp;sourceID=14","3.7")</f>
        <v>3.7</v>
      </c>
      <c r="G4111" s="4" t="str">
        <f>HYPERLINK("http://141.218.60.56/~jnz1568/getInfo.php?workbook=12_04.xlsx&amp;sheet=U0&amp;row=4111&amp;col=7&amp;number=0.243&amp;sourceID=14","0.243")</f>
        <v>0.243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HYPERLINK("http://141.218.60.56/~jnz1568/getInfo.php?workbook=12_04.xlsx&amp;sheet=U0&amp;row=4112&amp;col=6&amp;number=3.8&amp;sourceID=14","3.8")</f>
        <v>3.8</v>
      </c>
      <c r="G4112" s="4" t="str">
        <f>HYPERLINK("http://141.218.60.56/~jnz1568/getInfo.php?workbook=12_04.xlsx&amp;sheet=U0&amp;row=4112&amp;col=7&amp;number=0.24&amp;sourceID=14","0.24")</f>
        <v>0.24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HYPERLINK("http://141.218.60.56/~jnz1568/getInfo.php?workbook=12_04.xlsx&amp;sheet=U0&amp;row=4113&amp;col=6&amp;number=3.9&amp;sourceID=14","3.9")</f>
        <v>3.9</v>
      </c>
      <c r="G4113" s="4" t="str">
        <f>HYPERLINK("http://141.218.60.56/~jnz1568/getInfo.php?workbook=12_04.xlsx&amp;sheet=U0&amp;row=4113&amp;col=7&amp;number=0.236&amp;sourceID=14","0.236")</f>
        <v>0.236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HYPERLINK("http://141.218.60.56/~jnz1568/getInfo.php?workbook=12_04.xlsx&amp;sheet=U0&amp;row=4114&amp;col=6&amp;number=4&amp;sourceID=14","4")</f>
        <v>4</v>
      </c>
      <c r="G4114" s="4" t="str">
        <f>HYPERLINK("http://141.218.60.56/~jnz1568/getInfo.php?workbook=12_04.xlsx&amp;sheet=U0&amp;row=4114&amp;col=7&amp;number=0.231&amp;sourceID=14","0.231")</f>
        <v>0.231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HYPERLINK("http://141.218.60.56/~jnz1568/getInfo.php?workbook=12_04.xlsx&amp;sheet=U0&amp;row=4115&amp;col=6&amp;number=4.1&amp;sourceID=14","4.1")</f>
        <v>4.1</v>
      </c>
      <c r="G4115" s="4" t="str">
        <f>HYPERLINK("http://141.218.60.56/~jnz1568/getInfo.php?workbook=12_04.xlsx&amp;sheet=U0&amp;row=4115&amp;col=7&amp;number=0.225&amp;sourceID=14","0.225")</f>
        <v>0.225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HYPERLINK("http://141.218.60.56/~jnz1568/getInfo.php?workbook=12_04.xlsx&amp;sheet=U0&amp;row=4116&amp;col=6&amp;number=4.2&amp;sourceID=14","4.2")</f>
        <v>4.2</v>
      </c>
      <c r="G4116" s="4" t="str">
        <f>HYPERLINK("http://141.218.60.56/~jnz1568/getInfo.php?workbook=12_04.xlsx&amp;sheet=U0&amp;row=4116&amp;col=7&amp;number=0.218&amp;sourceID=14","0.218")</f>
        <v>0.218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HYPERLINK("http://141.218.60.56/~jnz1568/getInfo.php?workbook=12_04.xlsx&amp;sheet=U0&amp;row=4117&amp;col=6&amp;number=4.3&amp;sourceID=14","4.3")</f>
        <v>4.3</v>
      </c>
      <c r="G4117" s="4" t="str">
        <f>HYPERLINK("http://141.218.60.56/~jnz1568/getInfo.php?workbook=12_04.xlsx&amp;sheet=U0&amp;row=4117&amp;col=7&amp;number=0.209&amp;sourceID=14","0.209")</f>
        <v>0.209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HYPERLINK("http://141.218.60.56/~jnz1568/getInfo.php?workbook=12_04.xlsx&amp;sheet=U0&amp;row=4118&amp;col=6&amp;number=4.4&amp;sourceID=14","4.4")</f>
        <v>4.4</v>
      </c>
      <c r="G4118" s="4" t="str">
        <f>HYPERLINK("http://141.218.60.56/~jnz1568/getInfo.php?workbook=12_04.xlsx&amp;sheet=U0&amp;row=4118&amp;col=7&amp;number=0.199&amp;sourceID=14","0.199")</f>
        <v>0.199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HYPERLINK("http://141.218.60.56/~jnz1568/getInfo.php?workbook=12_04.xlsx&amp;sheet=U0&amp;row=4119&amp;col=6&amp;number=4.5&amp;sourceID=14","4.5")</f>
        <v>4.5</v>
      </c>
      <c r="G4119" s="4" t="str">
        <f>HYPERLINK("http://141.218.60.56/~jnz1568/getInfo.php?workbook=12_04.xlsx&amp;sheet=U0&amp;row=4119&amp;col=7&amp;number=0.186&amp;sourceID=14","0.186")</f>
        <v>0.186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HYPERLINK("http://141.218.60.56/~jnz1568/getInfo.php?workbook=12_04.xlsx&amp;sheet=U0&amp;row=4120&amp;col=6&amp;number=4.6&amp;sourceID=14","4.6")</f>
        <v>4.6</v>
      </c>
      <c r="G4120" s="4" t="str">
        <f>HYPERLINK("http://141.218.60.56/~jnz1568/getInfo.php?workbook=12_04.xlsx&amp;sheet=U0&amp;row=4120&amp;col=7&amp;number=0.172&amp;sourceID=14","0.172")</f>
        <v>0.172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HYPERLINK("http://141.218.60.56/~jnz1568/getInfo.php?workbook=12_04.xlsx&amp;sheet=U0&amp;row=4121&amp;col=6&amp;number=4.7&amp;sourceID=14","4.7")</f>
        <v>4.7</v>
      </c>
      <c r="G4121" s="4" t="str">
        <f>HYPERLINK("http://141.218.60.56/~jnz1568/getInfo.php?workbook=12_04.xlsx&amp;sheet=U0&amp;row=4121&amp;col=7&amp;number=0.156&amp;sourceID=14","0.156")</f>
        <v>0.156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HYPERLINK("http://141.218.60.56/~jnz1568/getInfo.php?workbook=12_04.xlsx&amp;sheet=U0&amp;row=4122&amp;col=6&amp;number=4.8&amp;sourceID=14","4.8")</f>
        <v>4.8</v>
      </c>
      <c r="G4122" s="4" t="str">
        <f>HYPERLINK("http://141.218.60.56/~jnz1568/getInfo.php?workbook=12_04.xlsx&amp;sheet=U0&amp;row=4122&amp;col=7&amp;number=0.14&amp;sourceID=14","0.14")</f>
        <v>0.14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HYPERLINK("http://141.218.60.56/~jnz1568/getInfo.php?workbook=12_04.xlsx&amp;sheet=U0&amp;row=4123&amp;col=6&amp;number=4.9&amp;sourceID=14","4.9")</f>
        <v>4.9</v>
      </c>
      <c r="G4123" s="4" t="str">
        <f>HYPERLINK("http://141.218.60.56/~jnz1568/getInfo.php?workbook=12_04.xlsx&amp;sheet=U0&amp;row=4123&amp;col=7&amp;number=0.126&amp;sourceID=14","0.126")</f>
        <v>0.126</v>
      </c>
    </row>
    <row r="4124" spans="1:7">
      <c r="A4124" s="3">
        <v>12</v>
      </c>
      <c r="B4124" s="3">
        <v>4</v>
      </c>
      <c r="C4124" s="3">
        <v>3</v>
      </c>
      <c r="D4124" s="3">
        <v>17</v>
      </c>
      <c r="E4124" s="3">
        <v>1</v>
      </c>
      <c r="F4124" s="4" t="str">
        <f>HYPERLINK("http://141.218.60.56/~jnz1568/getInfo.php?workbook=12_04.xlsx&amp;sheet=U0&amp;row=4124&amp;col=6&amp;number=3&amp;sourceID=14","3")</f>
        <v>3</v>
      </c>
      <c r="G4124" s="4" t="str">
        <f>HYPERLINK("http://141.218.60.56/~jnz1568/getInfo.php?workbook=12_04.xlsx&amp;sheet=U0&amp;row=4124&amp;col=7&amp;number=0.148&amp;sourceID=14","0.148")</f>
        <v>0.148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HYPERLINK("http://141.218.60.56/~jnz1568/getInfo.php?workbook=12_04.xlsx&amp;sheet=U0&amp;row=4125&amp;col=6&amp;number=3.1&amp;sourceID=14","3.1")</f>
        <v>3.1</v>
      </c>
      <c r="G4125" s="4" t="str">
        <f>HYPERLINK("http://141.218.60.56/~jnz1568/getInfo.php?workbook=12_04.xlsx&amp;sheet=U0&amp;row=4125&amp;col=7&amp;number=0.148&amp;sourceID=14","0.148")</f>
        <v>0.148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HYPERLINK("http://141.218.60.56/~jnz1568/getInfo.php?workbook=12_04.xlsx&amp;sheet=U0&amp;row=4126&amp;col=6&amp;number=3.2&amp;sourceID=14","3.2")</f>
        <v>3.2</v>
      </c>
      <c r="G4126" s="4" t="str">
        <f>HYPERLINK("http://141.218.60.56/~jnz1568/getInfo.php?workbook=12_04.xlsx&amp;sheet=U0&amp;row=4126&amp;col=7&amp;number=0.148&amp;sourceID=14","0.148")</f>
        <v>0.148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HYPERLINK("http://141.218.60.56/~jnz1568/getInfo.php?workbook=12_04.xlsx&amp;sheet=U0&amp;row=4127&amp;col=6&amp;number=3.3&amp;sourceID=14","3.3")</f>
        <v>3.3</v>
      </c>
      <c r="G4127" s="4" t="str">
        <f>HYPERLINK("http://141.218.60.56/~jnz1568/getInfo.php?workbook=12_04.xlsx&amp;sheet=U0&amp;row=4127&amp;col=7&amp;number=0.148&amp;sourceID=14","0.148")</f>
        <v>0.148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HYPERLINK("http://141.218.60.56/~jnz1568/getInfo.php?workbook=12_04.xlsx&amp;sheet=U0&amp;row=4128&amp;col=6&amp;number=3.4&amp;sourceID=14","3.4")</f>
        <v>3.4</v>
      </c>
      <c r="G4128" s="4" t="str">
        <f>HYPERLINK("http://141.218.60.56/~jnz1568/getInfo.php?workbook=12_04.xlsx&amp;sheet=U0&amp;row=4128&amp;col=7&amp;number=0.148&amp;sourceID=14","0.148")</f>
        <v>0.148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HYPERLINK("http://141.218.60.56/~jnz1568/getInfo.php?workbook=12_04.xlsx&amp;sheet=U0&amp;row=4129&amp;col=6&amp;number=3.5&amp;sourceID=14","3.5")</f>
        <v>3.5</v>
      </c>
      <c r="G4129" s="4" t="str">
        <f>HYPERLINK("http://141.218.60.56/~jnz1568/getInfo.php?workbook=12_04.xlsx&amp;sheet=U0&amp;row=4129&amp;col=7&amp;number=0.147&amp;sourceID=14","0.147")</f>
        <v>0.147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HYPERLINK("http://141.218.60.56/~jnz1568/getInfo.php?workbook=12_04.xlsx&amp;sheet=U0&amp;row=4130&amp;col=6&amp;number=3.6&amp;sourceID=14","3.6")</f>
        <v>3.6</v>
      </c>
      <c r="G4130" s="4" t="str">
        <f>HYPERLINK("http://141.218.60.56/~jnz1568/getInfo.php?workbook=12_04.xlsx&amp;sheet=U0&amp;row=4130&amp;col=7&amp;number=0.147&amp;sourceID=14","0.147")</f>
        <v>0.147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HYPERLINK("http://141.218.60.56/~jnz1568/getInfo.php?workbook=12_04.xlsx&amp;sheet=U0&amp;row=4131&amp;col=6&amp;number=3.7&amp;sourceID=14","3.7")</f>
        <v>3.7</v>
      </c>
      <c r="G4131" s="4" t="str">
        <f>HYPERLINK("http://141.218.60.56/~jnz1568/getInfo.php?workbook=12_04.xlsx&amp;sheet=U0&amp;row=4131&amp;col=7&amp;number=0.147&amp;sourceID=14","0.147")</f>
        <v>0.147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HYPERLINK("http://141.218.60.56/~jnz1568/getInfo.php?workbook=12_04.xlsx&amp;sheet=U0&amp;row=4132&amp;col=6&amp;number=3.8&amp;sourceID=14","3.8")</f>
        <v>3.8</v>
      </c>
      <c r="G4132" s="4" t="str">
        <f>HYPERLINK("http://141.218.60.56/~jnz1568/getInfo.php?workbook=12_04.xlsx&amp;sheet=U0&amp;row=4132&amp;col=7&amp;number=0.147&amp;sourceID=14","0.147")</f>
        <v>0.147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HYPERLINK("http://141.218.60.56/~jnz1568/getInfo.php?workbook=12_04.xlsx&amp;sheet=U0&amp;row=4133&amp;col=6&amp;number=3.9&amp;sourceID=14","3.9")</f>
        <v>3.9</v>
      </c>
      <c r="G4133" s="4" t="str">
        <f>HYPERLINK("http://141.218.60.56/~jnz1568/getInfo.php?workbook=12_04.xlsx&amp;sheet=U0&amp;row=4133&amp;col=7&amp;number=0.146&amp;sourceID=14","0.146")</f>
        <v>0.146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HYPERLINK("http://141.218.60.56/~jnz1568/getInfo.php?workbook=12_04.xlsx&amp;sheet=U0&amp;row=4134&amp;col=6&amp;number=4&amp;sourceID=14","4")</f>
        <v>4</v>
      </c>
      <c r="G4134" s="4" t="str">
        <f>HYPERLINK("http://141.218.60.56/~jnz1568/getInfo.php?workbook=12_04.xlsx&amp;sheet=U0&amp;row=4134&amp;col=7&amp;number=0.146&amp;sourceID=14","0.146")</f>
        <v>0.146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HYPERLINK("http://141.218.60.56/~jnz1568/getInfo.php?workbook=12_04.xlsx&amp;sheet=U0&amp;row=4135&amp;col=6&amp;number=4.1&amp;sourceID=14","4.1")</f>
        <v>4.1</v>
      </c>
      <c r="G4135" s="4" t="str">
        <f>HYPERLINK("http://141.218.60.56/~jnz1568/getInfo.php?workbook=12_04.xlsx&amp;sheet=U0&amp;row=4135&amp;col=7&amp;number=0.145&amp;sourceID=14","0.145")</f>
        <v>0.145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HYPERLINK("http://141.218.60.56/~jnz1568/getInfo.php?workbook=12_04.xlsx&amp;sheet=U0&amp;row=4136&amp;col=6&amp;number=4.2&amp;sourceID=14","4.2")</f>
        <v>4.2</v>
      </c>
      <c r="G4136" s="4" t="str">
        <f>HYPERLINK("http://141.218.60.56/~jnz1568/getInfo.php?workbook=12_04.xlsx&amp;sheet=U0&amp;row=4136&amp;col=7&amp;number=0.145&amp;sourceID=14","0.145")</f>
        <v>0.145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HYPERLINK("http://141.218.60.56/~jnz1568/getInfo.php?workbook=12_04.xlsx&amp;sheet=U0&amp;row=4137&amp;col=6&amp;number=4.3&amp;sourceID=14","4.3")</f>
        <v>4.3</v>
      </c>
      <c r="G4137" s="4" t="str">
        <f>HYPERLINK("http://141.218.60.56/~jnz1568/getInfo.php?workbook=12_04.xlsx&amp;sheet=U0&amp;row=4137&amp;col=7&amp;number=0.144&amp;sourceID=14","0.144")</f>
        <v>0.144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HYPERLINK("http://141.218.60.56/~jnz1568/getInfo.php?workbook=12_04.xlsx&amp;sheet=U0&amp;row=4138&amp;col=6&amp;number=4.4&amp;sourceID=14","4.4")</f>
        <v>4.4</v>
      </c>
      <c r="G4138" s="4" t="str">
        <f>HYPERLINK("http://141.218.60.56/~jnz1568/getInfo.php?workbook=12_04.xlsx&amp;sheet=U0&amp;row=4138&amp;col=7&amp;number=0.143&amp;sourceID=14","0.143")</f>
        <v>0.143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HYPERLINK("http://141.218.60.56/~jnz1568/getInfo.php?workbook=12_04.xlsx&amp;sheet=U0&amp;row=4139&amp;col=6&amp;number=4.5&amp;sourceID=14","4.5")</f>
        <v>4.5</v>
      </c>
      <c r="G4139" s="4" t="str">
        <f>HYPERLINK("http://141.218.60.56/~jnz1568/getInfo.php?workbook=12_04.xlsx&amp;sheet=U0&amp;row=4139&amp;col=7&amp;number=0.141&amp;sourceID=14","0.141")</f>
        <v>0.141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HYPERLINK("http://141.218.60.56/~jnz1568/getInfo.php?workbook=12_04.xlsx&amp;sheet=U0&amp;row=4140&amp;col=6&amp;number=4.6&amp;sourceID=14","4.6")</f>
        <v>4.6</v>
      </c>
      <c r="G4140" s="4" t="str">
        <f>HYPERLINK("http://141.218.60.56/~jnz1568/getInfo.php?workbook=12_04.xlsx&amp;sheet=U0&amp;row=4140&amp;col=7&amp;number=0.14&amp;sourceID=14","0.14")</f>
        <v>0.14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HYPERLINK("http://141.218.60.56/~jnz1568/getInfo.php?workbook=12_04.xlsx&amp;sheet=U0&amp;row=4141&amp;col=6&amp;number=4.7&amp;sourceID=14","4.7")</f>
        <v>4.7</v>
      </c>
      <c r="G4141" s="4" t="str">
        <f>HYPERLINK("http://141.218.60.56/~jnz1568/getInfo.php?workbook=12_04.xlsx&amp;sheet=U0&amp;row=4141&amp;col=7&amp;number=0.138&amp;sourceID=14","0.138")</f>
        <v>0.138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HYPERLINK("http://141.218.60.56/~jnz1568/getInfo.php?workbook=12_04.xlsx&amp;sheet=U0&amp;row=4142&amp;col=6&amp;number=4.8&amp;sourceID=14","4.8")</f>
        <v>4.8</v>
      </c>
      <c r="G4142" s="4" t="str">
        <f>HYPERLINK("http://141.218.60.56/~jnz1568/getInfo.php?workbook=12_04.xlsx&amp;sheet=U0&amp;row=4142&amp;col=7&amp;number=0.135&amp;sourceID=14","0.135")</f>
        <v>0.135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HYPERLINK("http://141.218.60.56/~jnz1568/getInfo.php?workbook=12_04.xlsx&amp;sheet=U0&amp;row=4143&amp;col=6&amp;number=4.9&amp;sourceID=14","4.9")</f>
        <v>4.9</v>
      </c>
      <c r="G4143" s="4" t="str">
        <f>HYPERLINK("http://141.218.60.56/~jnz1568/getInfo.php?workbook=12_04.xlsx&amp;sheet=U0&amp;row=4143&amp;col=7&amp;number=0.133&amp;sourceID=14","0.133")</f>
        <v>0.133</v>
      </c>
    </row>
    <row r="4144" spans="1:7">
      <c r="A4144" s="3">
        <v>12</v>
      </c>
      <c r="B4144" s="3">
        <v>4</v>
      </c>
      <c r="C4144" s="3">
        <v>3</v>
      </c>
      <c r="D4144" s="3">
        <v>18</v>
      </c>
      <c r="E4144" s="3">
        <v>1</v>
      </c>
      <c r="F4144" s="4" t="str">
        <f>HYPERLINK("http://141.218.60.56/~jnz1568/getInfo.php?workbook=12_04.xlsx&amp;sheet=U0&amp;row=4144&amp;col=6&amp;number=3&amp;sourceID=14","3")</f>
        <v>3</v>
      </c>
      <c r="G4144" s="4" t="str">
        <f>HYPERLINK("http://141.218.60.56/~jnz1568/getInfo.php?workbook=12_04.xlsx&amp;sheet=U0&amp;row=4144&amp;col=7&amp;number=0.345&amp;sourceID=14","0.345")</f>
        <v>0.345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HYPERLINK("http://141.218.60.56/~jnz1568/getInfo.php?workbook=12_04.xlsx&amp;sheet=U0&amp;row=4145&amp;col=6&amp;number=3.1&amp;sourceID=14","3.1")</f>
        <v>3.1</v>
      </c>
      <c r="G4145" s="4" t="str">
        <f>HYPERLINK("http://141.218.60.56/~jnz1568/getInfo.php?workbook=12_04.xlsx&amp;sheet=U0&amp;row=4145&amp;col=7&amp;number=0.345&amp;sourceID=14","0.345")</f>
        <v>0.345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HYPERLINK("http://141.218.60.56/~jnz1568/getInfo.php?workbook=12_04.xlsx&amp;sheet=U0&amp;row=4146&amp;col=6&amp;number=3.2&amp;sourceID=14","3.2")</f>
        <v>3.2</v>
      </c>
      <c r="G4146" s="4" t="str">
        <f>HYPERLINK("http://141.218.60.56/~jnz1568/getInfo.php?workbook=12_04.xlsx&amp;sheet=U0&amp;row=4146&amp;col=7&amp;number=0.345&amp;sourceID=14","0.345")</f>
        <v>0.345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HYPERLINK("http://141.218.60.56/~jnz1568/getInfo.php?workbook=12_04.xlsx&amp;sheet=U0&amp;row=4147&amp;col=6&amp;number=3.3&amp;sourceID=14","3.3")</f>
        <v>3.3</v>
      </c>
      <c r="G4147" s="4" t="str">
        <f>HYPERLINK("http://141.218.60.56/~jnz1568/getInfo.php?workbook=12_04.xlsx&amp;sheet=U0&amp;row=4147&amp;col=7&amp;number=0.344&amp;sourceID=14","0.344")</f>
        <v>0.344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HYPERLINK("http://141.218.60.56/~jnz1568/getInfo.php?workbook=12_04.xlsx&amp;sheet=U0&amp;row=4148&amp;col=6&amp;number=3.4&amp;sourceID=14","3.4")</f>
        <v>3.4</v>
      </c>
      <c r="G4148" s="4" t="str">
        <f>HYPERLINK("http://141.218.60.56/~jnz1568/getInfo.php?workbook=12_04.xlsx&amp;sheet=U0&amp;row=4148&amp;col=7&amp;number=0.344&amp;sourceID=14","0.344")</f>
        <v>0.344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HYPERLINK("http://141.218.60.56/~jnz1568/getInfo.php?workbook=12_04.xlsx&amp;sheet=U0&amp;row=4149&amp;col=6&amp;number=3.5&amp;sourceID=14","3.5")</f>
        <v>3.5</v>
      </c>
      <c r="G4149" s="4" t="str">
        <f>HYPERLINK("http://141.218.60.56/~jnz1568/getInfo.php?workbook=12_04.xlsx&amp;sheet=U0&amp;row=4149&amp;col=7&amp;number=0.344&amp;sourceID=14","0.344")</f>
        <v>0.344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HYPERLINK("http://141.218.60.56/~jnz1568/getInfo.php?workbook=12_04.xlsx&amp;sheet=U0&amp;row=4150&amp;col=6&amp;number=3.6&amp;sourceID=14","3.6")</f>
        <v>3.6</v>
      </c>
      <c r="G4150" s="4" t="str">
        <f>HYPERLINK("http://141.218.60.56/~jnz1568/getInfo.php?workbook=12_04.xlsx&amp;sheet=U0&amp;row=4150&amp;col=7&amp;number=0.344&amp;sourceID=14","0.344")</f>
        <v>0.344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HYPERLINK("http://141.218.60.56/~jnz1568/getInfo.php?workbook=12_04.xlsx&amp;sheet=U0&amp;row=4151&amp;col=6&amp;number=3.7&amp;sourceID=14","3.7")</f>
        <v>3.7</v>
      </c>
      <c r="G4151" s="4" t="str">
        <f>HYPERLINK("http://141.218.60.56/~jnz1568/getInfo.php?workbook=12_04.xlsx&amp;sheet=U0&amp;row=4151&amp;col=7&amp;number=0.343&amp;sourceID=14","0.343")</f>
        <v>0.343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HYPERLINK("http://141.218.60.56/~jnz1568/getInfo.php?workbook=12_04.xlsx&amp;sheet=U0&amp;row=4152&amp;col=6&amp;number=3.8&amp;sourceID=14","3.8")</f>
        <v>3.8</v>
      </c>
      <c r="G4152" s="4" t="str">
        <f>HYPERLINK("http://141.218.60.56/~jnz1568/getInfo.php?workbook=12_04.xlsx&amp;sheet=U0&amp;row=4152&amp;col=7&amp;number=0.343&amp;sourceID=14","0.343")</f>
        <v>0.343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HYPERLINK("http://141.218.60.56/~jnz1568/getInfo.php?workbook=12_04.xlsx&amp;sheet=U0&amp;row=4153&amp;col=6&amp;number=3.9&amp;sourceID=14","3.9")</f>
        <v>3.9</v>
      </c>
      <c r="G4153" s="4" t="str">
        <f>HYPERLINK("http://141.218.60.56/~jnz1568/getInfo.php?workbook=12_04.xlsx&amp;sheet=U0&amp;row=4153&amp;col=7&amp;number=0.342&amp;sourceID=14","0.342")</f>
        <v>0.342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HYPERLINK("http://141.218.60.56/~jnz1568/getInfo.php?workbook=12_04.xlsx&amp;sheet=U0&amp;row=4154&amp;col=6&amp;number=4&amp;sourceID=14","4")</f>
        <v>4</v>
      </c>
      <c r="G4154" s="4" t="str">
        <f>HYPERLINK("http://141.218.60.56/~jnz1568/getInfo.php?workbook=12_04.xlsx&amp;sheet=U0&amp;row=4154&amp;col=7&amp;number=0.341&amp;sourceID=14","0.341")</f>
        <v>0.341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HYPERLINK("http://141.218.60.56/~jnz1568/getInfo.php?workbook=12_04.xlsx&amp;sheet=U0&amp;row=4155&amp;col=6&amp;number=4.1&amp;sourceID=14","4.1")</f>
        <v>4.1</v>
      </c>
      <c r="G4155" s="4" t="str">
        <f>HYPERLINK("http://141.218.60.56/~jnz1568/getInfo.php?workbook=12_04.xlsx&amp;sheet=U0&amp;row=4155&amp;col=7&amp;number=0.34&amp;sourceID=14","0.34")</f>
        <v>0.34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HYPERLINK("http://141.218.60.56/~jnz1568/getInfo.php?workbook=12_04.xlsx&amp;sheet=U0&amp;row=4156&amp;col=6&amp;number=4.2&amp;sourceID=14","4.2")</f>
        <v>4.2</v>
      </c>
      <c r="G4156" s="4" t="str">
        <f>HYPERLINK("http://141.218.60.56/~jnz1568/getInfo.php?workbook=12_04.xlsx&amp;sheet=U0&amp;row=4156&amp;col=7&amp;number=0.339&amp;sourceID=14","0.339")</f>
        <v>0.339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HYPERLINK("http://141.218.60.56/~jnz1568/getInfo.php?workbook=12_04.xlsx&amp;sheet=U0&amp;row=4157&amp;col=6&amp;number=4.3&amp;sourceID=14","4.3")</f>
        <v>4.3</v>
      </c>
      <c r="G4157" s="4" t="str">
        <f>HYPERLINK("http://141.218.60.56/~jnz1568/getInfo.php?workbook=12_04.xlsx&amp;sheet=U0&amp;row=4157&amp;col=7&amp;number=0.338&amp;sourceID=14","0.338")</f>
        <v>0.338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HYPERLINK("http://141.218.60.56/~jnz1568/getInfo.php?workbook=12_04.xlsx&amp;sheet=U0&amp;row=4158&amp;col=6&amp;number=4.4&amp;sourceID=14","4.4")</f>
        <v>4.4</v>
      </c>
      <c r="G4158" s="4" t="str">
        <f>HYPERLINK("http://141.218.60.56/~jnz1568/getInfo.php?workbook=12_04.xlsx&amp;sheet=U0&amp;row=4158&amp;col=7&amp;number=0.336&amp;sourceID=14","0.336")</f>
        <v>0.336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HYPERLINK("http://141.218.60.56/~jnz1568/getInfo.php?workbook=12_04.xlsx&amp;sheet=U0&amp;row=4159&amp;col=6&amp;number=4.5&amp;sourceID=14","4.5")</f>
        <v>4.5</v>
      </c>
      <c r="G4159" s="4" t="str">
        <f>HYPERLINK("http://141.218.60.56/~jnz1568/getInfo.php?workbook=12_04.xlsx&amp;sheet=U0&amp;row=4159&amp;col=7&amp;number=0.334&amp;sourceID=14","0.334")</f>
        <v>0.334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HYPERLINK("http://141.218.60.56/~jnz1568/getInfo.php?workbook=12_04.xlsx&amp;sheet=U0&amp;row=4160&amp;col=6&amp;number=4.6&amp;sourceID=14","4.6")</f>
        <v>4.6</v>
      </c>
      <c r="G4160" s="4" t="str">
        <f>HYPERLINK("http://141.218.60.56/~jnz1568/getInfo.php?workbook=12_04.xlsx&amp;sheet=U0&amp;row=4160&amp;col=7&amp;number=0.331&amp;sourceID=14","0.331")</f>
        <v>0.331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HYPERLINK("http://141.218.60.56/~jnz1568/getInfo.php?workbook=12_04.xlsx&amp;sheet=U0&amp;row=4161&amp;col=6&amp;number=4.7&amp;sourceID=14","4.7")</f>
        <v>4.7</v>
      </c>
      <c r="G4161" s="4" t="str">
        <f>HYPERLINK("http://141.218.60.56/~jnz1568/getInfo.php?workbook=12_04.xlsx&amp;sheet=U0&amp;row=4161&amp;col=7&amp;number=0.327&amp;sourceID=14","0.327")</f>
        <v>0.327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HYPERLINK("http://141.218.60.56/~jnz1568/getInfo.php?workbook=12_04.xlsx&amp;sheet=U0&amp;row=4162&amp;col=6&amp;number=4.8&amp;sourceID=14","4.8")</f>
        <v>4.8</v>
      </c>
      <c r="G4162" s="4" t="str">
        <f>HYPERLINK("http://141.218.60.56/~jnz1568/getInfo.php?workbook=12_04.xlsx&amp;sheet=U0&amp;row=4162&amp;col=7&amp;number=0.323&amp;sourceID=14","0.323")</f>
        <v>0.323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HYPERLINK("http://141.218.60.56/~jnz1568/getInfo.php?workbook=12_04.xlsx&amp;sheet=U0&amp;row=4163&amp;col=6&amp;number=4.9&amp;sourceID=14","4.9")</f>
        <v>4.9</v>
      </c>
      <c r="G4163" s="4" t="str">
        <f>HYPERLINK("http://141.218.60.56/~jnz1568/getInfo.php?workbook=12_04.xlsx&amp;sheet=U0&amp;row=4163&amp;col=7&amp;number=0.319&amp;sourceID=14","0.319")</f>
        <v>0.319</v>
      </c>
    </row>
    <row r="4164" spans="1:7">
      <c r="A4164" s="3">
        <v>12</v>
      </c>
      <c r="B4164" s="3">
        <v>4</v>
      </c>
      <c r="C4164" s="3">
        <v>3</v>
      </c>
      <c r="D4164" s="3">
        <v>19</v>
      </c>
      <c r="E4164" s="3">
        <v>1</v>
      </c>
      <c r="F4164" s="4" t="str">
        <f>HYPERLINK("http://141.218.60.56/~jnz1568/getInfo.php?workbook=12_04.xlsx&amp;sheet=U0&amp;row=4164&amp;col=6&amp;number=3&amp;sourceID=14","3")</f>
        <v>3</v>
      </c>
      <c r="G4164" s="4" t="str">
        <f>HYPERLINK("http://141.218.60.56/~jnz1568/getInfo.php?workbook=12_04.xlsx&amp;sheet=U0&amp;row=4164&amp;col=7&amp;number=0.0955&amp;sourceID=14","0.0955")</f>
        <v>0.0955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HYPERLINK("http://141.218.60.56/~jnz1568/getInfo.php?workbook=12_04.xlsx&amp;sheet=U0&amp;row=4165&amp;col=6&amp;number=3.1&amp;sourceID=14","3.1")</f>
        <v>3.1</v>
      </c>
      <c r="G4165" s="4" t="str">
        <f>HYPERLINK("http://141.218.60.56/~jnz1568/getInfo.php?workbook=12_04.xlsx&amp;sheet=U0&amp;row=4165&amp;col=7&amp;number=0.0954&amp;sourceID=14","0.0954")</f>
        <v>0.0954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HYPERLINK("http://141.218.60.56/~jnz1568/getInfo.php?workbook=12_04.xlsx&amp;sheet=U0&amp;row=4166&amp;col=6&amp;number=3.2&amp;sourceID=14","3.2")</f>
        <v>3.2</v>
      </c>
      <c r="G4166" s="4" t="str">
        <f>HYPERLINK("http://141.218.60.56/~jnz1568/getInfo.php?workbook=12_04.xlsx&amp;sheet=U0&amp;row=4166&amp;col=7&amp;number=0.0953&amp;sourceID=14","0.0953")</f>
        <v>0.0953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HYPERLINK("http://141.218.60.56/~jnz1568/getInfo.php?workbook=12_04.xlsx&amp;sheet=U0&amp;row=4167&amp;col=6&amp;number=3.3&amp;sourceID=14","3.3")</f>
        <v>3.3</v>
      </c>
      <c r="G4167" s="4" t="str">
        <f>HYPERLINK("http://141.218.60.56/~jnz1568/getInfo.php?workbook=12_04.xlsx&amp;sheet=U0&amp;row=4167&amp;col=7&amp;number=0.0952&amp;sourceID=14","0.0952")</f>
        <v>0.0952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HYPERLINK("http://141.218.60.56/~jnz1568/getInfo.php?workbook=12_04.xlsx&amp;sheet=U0&amp;row=4168&amp;col=6&amp;number=3.4&amp;sourceID=14","3.4")</f>
        <v>3.4</v>
      </c>
      <c r="G4168" s="4" t="str">
        <f>HYPERLINK("http://141.218.60.56/~jnz1568/getInfo.php?workbook=12_04.xlsx&amp;sheet=U0&amp;row=4168&amp;col=7&amp;number=0.095&amp;sourceID=14","0.095")</f>
        <v>0.095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HYPERLINK("http://141.218.60.56/~jnz1568/getInfo.php?workbook=12_04.xlsx&amp;sheet=U0&amp;row=4169&amp;col=6&amp;number=3.5&amp;sourceID=14","3.5")</f>
        <v>3.5</v>
      </c>
      <c r="G4169" s="4" t="str">
        <f>HYPERLINK("http://141.218.60.56/~jnz1568/getInfo.php?workbook=12_04.xlsx&amp;sheet=U0&amp;row=4169&amp;col=7&amp;number=0.0948&amp;sourceID=14","0.0948")</f>
        <v>0.0948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HYPERLINK("http://141.218.60.56/~jnz1568/getInfo.php?workbook=12_04.xlsx&amp;sheet=U0&amp;row=4170&amp;col=6&amp;number=3.6&amp;sourceID=14","3.6")</f>
        <v>3.6</v>
      </c>
      <c r="G4170" s="4" t="str">
        <f>HYPERLINK("http://141.218.60.56/~jnz1568/getInfo.php?workbook=12_04.xlsx&amp;sheet=U0&amp;row=4170&amp;col=7&amp;number=0.0946&amp;sourceID=14","0.0946")</f>
        <v>0.0946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HYPERLINK("http://141.218.60.56/~jnz1568/getInfo.php?workbook=12_04.xlsx&amp;sheet=U0&amp;row=4171&amp;col=6&amp;number=3.7&amp;sourceID=14","3.7")</f>
        <v>3.7</v>
      </c>
      <c r="G4171" s="4" t="str">
        <f>HYPERLINK("http://141.218.60.56/~jnz1568/getInfo.php?workbook=12_04.xlsx&amp;sheet=U0&amp;row=4171&amp;col=7&amp;number=0.0943&amp;sourceID=14","0.0943")</f>
        <v>0.0943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HYPERLINK("http://141.218.60.56/~jnz1568/getInfo.php?workbook=12_04.xlsx&amp;sheet=U0&amp;row=4172&amp;col=6&amp;number=3.8&amp;sourceID=14","3.8")</f>
        <v>3.8</v>
      </c>
      <c r="G4172" s="4" t="str">
        <f>HYPERLINK("http://141.218.60.56/~jnz1568/getInfo.php?workbook=12_04.xlsx&amp;sheet=U0&amp;row=4172&amp;col=7&amp;number=0.0939&amp;sourceID=14","0.0939")</f>
        <v>0.0939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HYPERLINK("http://141.218.60.56/~jnz1568/getInfo.php?workbook=12_04.xlsx&amp;sheet=U0&amp;row=4173&amp;col=6&amp;number=3.9&amp;sourceID=14","3.9")</f>
        <v>3.9</v>
      </c>
      <c r="G4173" s="4" t="str">
        <f>HYPERLINK("http://141.218.60.56/~jnz1568/getInfo.php?workbook=12_04.xlsx&amp;sheet=U0&amp;row=4173&amp;col=7&amp;number=0.0934&amp;sourceID=14","0.0934")</f>
        <v>0.0934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HYPERLINK("http://141.218.60.56/~jnz1568/getInfo.php?workbook=12_04.xlsx&amp;sheet=U0&amp;row=4174&amp;col=6&amp;number=4&amp;sourceID=14","4")</f>
        <v>4</v>
      </c>
      <c r="G4174" s="4" t="str">
        <f>HYPERLINK("http://141.218.60.56/~jnz1568/getInfo.php?workbook=12_04.xlsx&amp;sheet=U0&amp;row=4174&amp;col=7&amp;number=0.0928&amp;sourceID=14","0.0928")</f>
        <v>0.0928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HYPERLINK("http://141.218.60.56/~jnz1568/getInfo.php?workbook=12_04.xlsx&amp;sheet=U0&amp;row=4175&amp;col=6&amp;number=4.1&amp;sourceID=14","4.1")</f>
        <v>4.1</v>
      </c>
      <c r="G4175" s="4" t="str">
        <f>HYPERLINK("http://141.218.60.56/~jnz1568/getInfo.php?workbook=12_04.xlsx&amp;sheet=U0&amp;row=4175&amp;col=7&amp;number=0.092&amp;sourceID=14","0.092")</f>
        <v>0.092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HYPERLINK("http://141.218.60.56/~jnz1568/getInfo.php?workbook=12_04.xlsx&amp;sheet=U0&amp;row=4176&amp;col=6&amp;number=4.2&amp;sourceID=14","4.2")</f>
        <v>4.2</v>
      </c>
      <c r="G4176" s="4" t="str">
        <f>HYPERLINK("http://141.218.60.56/~jnz1568/getInfo.php?workbook=12_04.xlsx&amp;sheet=U0&amp;row=4176&amp;col=7&amp;number=0.091&amp;sourceID=14","0.091")</f>
        <v>0.091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HYPERLINK("http://141.218.60.56/~jnz1568/getInfo.php?workbook=12_04.xlsx&amp;sheet=U0&amp;row=4177&amp;col=6&amp;number=4.3&amp;sourceID=14","4.3")</f>
        <v>4.3</v>
      </c>
      <c r="G4177" s="4" t="str">
        <f>HYPERLINK("http://141.218.60.56/~jnz1568/getInfo.php?workbook=12_04.xlsx&amp;sheet=U0&amp;row=4177&amp;col=7&amp;number=0.0898&amp;sourceID=14","0.0898")</f>
        <v>0.0898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HYPERLINK("http://141.218.60.56/~jnz1568/getInfo.php?workbook=12_04.xlsx&amp;sheet=U0&amp;row=4178&amp;col=6&amp;number=4.4&amp;sourceID=14","4.4")</f>
        <v>4.4</v>
      </c>
      <c r="G4178" s="4" t="str">
        <f>HYPERLINK("http://141.218.60.56/~jnz1568/getInfo.php?workbook=12_04.xlsx&amp;sheet=U0&amp;row=4178&amp;col=7&amp;number=0.0884&amp;sourceID=14","0.0884")</f>
        <v>0.0884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HYPERLINK("http://141.218.60.56/~jnz1568/getInfo.php?workbook=12_04.xlsx&amp;sheet=U0&amp;row=4179&amp;col=6&amp;number=4.5&amp;sourceID=14","4.5")</f>
        <v>4.5</v>
      </c>
      <c r="G4179" s="4" t="str">
        <f>HYPERLINK("http://141.218.60.56/~jnz1568/getInfo.php?workbook=12_04.xlsx&amp;sheet=U0&amp;row=4179&amp;col=7&amp;number=0.0867&amp;sourceID=14","0.0867")</f>
        <v>0.0867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HYPERLINK("http://141.218.60.56/~jnz1568/getInfo.php?workbook=12_04.xlsx&amp;sheet=U0&amp;row=4180&amp;col=6&amp;number=4.6&amp;sourceID=14","4.6")</f>
        <v>4.6</v>
      </c>
      <c r="G4180" s="4" t="str">
        <f>HYPERLINK("http://141.218.60.56/~jnz1568/getInfo.php?workbook=12_04.xlsx&amp;sheet=U0&amp;row=4180&amp;col=7&amp;number=0.0846&amp;sourceID=14","0.0846")</f>
        <v>0.0846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HYPERLINK("http://141.218.60.56/~jnz1568/getInfo.php?workbook=12_04.xlsx&amp;sheet=U0&amp;row=4181&amp;col=6&amp;number=4.7&amp;sourceID=14","4.7")</f>
        <v>4.7</v>
      </c>
      <c r="G4181" s="4" t="str">
        <f>HYPERLINK("http://141.218.60.56/~jnz1568/getInfo.php?workbook=12_04.xlsx&amp;sheet=U0&amp;row=4181&amp;col=7&amp;number=0.0822&amp;sourceID=14","0.0822")</f>
        <v>0.0822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HYPERLINK("http://141.218.60.56/~jnz1568/getInfo.php?workbook=12_04.xlsx&amp;sheet=U0&amp;row=4182&amp;col=6&amp;number=4.8&amp;sourceID=14","4.8")</f>
        <v>4.8</v>
      </c>
      <c r="G4182" s="4" t="str">
        <f>HYPERLINK("http://141.218.60.56/~jnz1568/getInfo.php?workbook=12_04.xlsx&amp;sheet=U0&amp;row=4182&amp;col=7&amp;number=0.0795&amp;sourceID=14","0.0795")</f>
        <v>0.0795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HYPERLINK("http://141.218.60.56/~jnz1568/getInfo.php?workbook=12_04.xlsx&amp;sheet=U0&amp;row=4183&amp;col=6&amp;number=4.9&amp;sourceID=14","4.9")</f>
        <v>4.9</v>
      </c>
      <c r="G4183" s="4" t="str">
        <f>HYPERLINK("http://141.218.60.56/~jnz1568/getInfo.php?workbook=12_04.xlsx&amp;sheet=U0&amp;row=4183&amp;col=7&amp;number=0.0767&amp;sourceID=14","0.0767")</f>
        <v>0.0767</v>
      </c>
    </row>
    <row r="4184" spans="1:7">
      <c r="A4184" s="3">
        <v>12</v>
      </c>
      <c r="B4184" s="3">
        <v>4</v>
      </c>
      <c r="C4184" s="3">
        <v>3</v>
      </c>
      <c r="D4184" s="3">
        <v>20</v>
      </c>
      <c r="E4184" s="3">
        <v>1</v>
      </c>
      <c r="F4184" s="4" t="str">
        <f>HYPERLINK("http://141.218.60.56/~jnz1568/getInfo.php?workbook=12_04.xlsx&amp;sheet=U0&amp;row=4184&amp;col=6&amp;number=3&amp;sourceID=14","3")</f>
        <v>3</v>
      </c>
      <c r="G4184" s="4" t="str">
        <f>HYPERLINK("http://141.218.60.56/~jnz1568/getInfo.php?workbook=12_04.xlsx&amp;sheet=U0&amp;row=4184&amp;col=7&amp;number=0.0436&amp;sourceID=14","0.0436")</f>
        <v>0.0436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HYPERLINK("http://141.218.60.56/~jnz1568/getInfo.php?workbook=12_04.xlsx&amp;sheet=U0&amp;row=4185&amp;col=6&amp;number=3.1&amp;sourceID=14","3.1")</f>
        <v>3.1</v>
      </c>
      <c r="G4185" s="4" t="str">
        <f>HYPERLINK("http://141.218.60.56/~jnz1568/getInfo.php?workbook=12_04.xlsx&amp;sheet=U0&amp;row=4185&amp;col=7&amp;number=0.0436&amp;sourceID=14","0.0436")</f>
        <v>0.0436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HYPERLINK("http://141.218.60.56/~jnz1568/getInfo.php?workbook=12_04.xlsx&amp;sheet=U0&amp;row=4186&amp;col=6&amp;number=3.2&amp;sourceID=14","3.2")</f>
        <v>3.2</v>
      </c>
      <c r="G4186" s="4" t="str">
        <f>HYPERLINK("http://141.218.60.56/~jnz1568/getInfo.php?workbook=12_04.xlsx&amp;sheet=U0&amp;row=4186&amp;col=7&amp;number=0.0437&amp;sourceID=14","0.0437")</f>
        <v>0.0437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HYPERLINK("http://141.218.60.56/~jnz1568/getInfo.php?workbook=12_04.xlsx&amp;sheet=U0&amp;row=4187&amp;col=6&amp;number=3.3&amp;sourceID=14","3.3")</f>
        <v>3.3</v>
      </c>
      <c r="G4187" s="4" t="str">
        <f>HYPERLINK("http://141.218.60.56/~jnz1568/getInfo.php?workbook=12_04.xlsx&amp;sheet=U0&amp;row=4187&amp;col=7&amp;number=0.0437&amp;sourceID=14","0.0437")</f>
        <v>0.0437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HYPERLINK("http://141.218.60.56/~jnz1568/getInfo.php?workbook=12_04.xlsx&amp;sheet=U0&amp;row=4188&amp;col=6&amp;number=3.4&amp;sourceID=14","3.4")</f>
        <v>3.4</v>
      </c>
      <c r="G4188" s="4" t="str">
        <f>HYPERLINK("http://141.218.60.56/~jnz1568/getInfo.php?workbook=12_04.xlsx&amp;sheet=U0&amp;row=4188&amp;col=7&amp;number=0.0437&amp;sourceID=14","0.0437")</f>
        <v>0.0437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HYPERLINK("http://141.218.60.56/~jnz1568/getInfo.php?workbook=12_04.xlsx&amp;sheet=U0&amp;row=4189&amp;col=6&amp;number=3.5&amp;sourceID=14","3.5")</f>
        <v>3.5</v>
      </c>
      <c r="G4189" s="4" t="str">
        <f>HYPERLINK("http://141.218.60.56/~jnz1568/getInfo.php?workbook=12_04.xlsx&amp;sheet=U0&amp;row=4189&amp;col=7&amp;number=0.0438&amp;sourceID=14","0.0438")</f>
        <v>0.0438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HYPERLINK("http://141.218.60.56/~jnz1568/getInfo.php?workbook=12_04.xlsx&amp;sheet=U0&amp;row=4190&amp;col=6&amp;number=3.6&amp;sourceID=14","3.6")</f>
        <v>3.6</v>
      </c>
      <c r="G4190" s="4" t="str">
        <f>HYPERLINK("http://141.218.60.56/~jnz1568/getInfo.php?workbook=12_04.xlsx&amp;sheet=U0&amp;row=4190&amp;col=7&amp;number=0.0438&amp;sourceID=14","0.0438")</f>
        <v>0.0438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HYPERLINK("http://141.218.60.56/~jnz1568/getInfo.php?workbook=12_04.xlsx&amp;sheet=U0&amp;row=4191&amp;col=6&amp;number=3.7&amp;sourceID=14","3.7")</f>
        <v>3.7</v>
      </c>
      <c r="G4191" s="4" t="str">
        <f>HYPERLINK("http://141.218.60.56/~jnz1568/getInfo.php?workbook=12_04.xlsx&amp;sheet=U0&amp;row=4191&amp;col=7&amp;number=0.0439&amp;sourceID=14","0.0439")</f>
        <v>0.0439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HYPERLINK("http://141.218.60.56/~jnz1568/getInfo.php?workbook=12_04.xlsx&amp;sheet=U0&amp;row=4192&amp;col=6&amp;number=3.8&amp;sourceID=14","3.8")</f>
        <v>3.8</v>
      </c>
      <c r="G4192" s="4" t="str">
        <f>HYPERLINK("http://141.218.60.56/~jnz1568/getInfo.php?workbook=12_04.xlsx&amp;sheet=U0&amp;row=4192&amp;col=7&amp;number=0.0439&amp;sourceID=14","0.0439")</f>
        <v>0.0439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HYPERLINK("http://141.218.60.56/~jnz1568/getInfo.php?workbook=12_04.xlsx&amp;sheet=U0&amp;row=4193&amp;col=6&amp;number=3.9&amp;sourceID=14","3.9")</f>
        <v>3.9</v>
      </c>
      <c r="G4193" s="4" t="str">
        <f>HYPERLINK("http://141.218.60.56/~jnz1568/getInfo.php?workbook=12_04.xlsx&amp;sheet=U0&amp;row=4193&amp;col=7&amp;number=0.044&amp;sourceID=14","0.044")</f>
        <v>0.044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HYPERLINK("http://141.218.60.56/~jnz1568/getInfo.php?workbook=12_04.xlsx&amp;sheet=U0&amp;row=4194&amp;col=6&amp;number=4&amp;sourceID=14","4")</f>
        <v>4</v>
      </c>
      <c r="G4194" s="4" t="str">
        <f>HYPERLINK("http://141.218.60.56/~jnz1568/getInfo.php?workbook=12_04.xlsx&amp;sheet=U0&amp;row=4194&amp;col=7&amp;number=0.0442&amp;sourceID=14","0.0442")</f>
        <v>0.0442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HYPERLINK("http://141.218.60.56/~jnz1568/getInfo.php?workbook=12_04.xlsx&amp;sheet=U0&amp;row=4195&amp;col=6&amp;number=4.1&amp;sourceID=14","4.1")</f>
        <v>4.1</v>
      </c>
      <c r="G4195" s="4" t="str">
        <f>HYPERLINK("http://141.218.60.56/~jnz1568/getInfo.php?workbook=12_04.xlsx&amp;sheet=U0&amp;row=4195&amp;col=7&amp;number=0.0443&amp;sourceID=14","0.0443")</f>
        <v>0.0443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HYPERLINK("http://141.218.60.56/~jnz1568/getInfo.php?workbook=12_04.xlsx&amp;sheet=U0&amp;row=4196&amp;col=6&amp;number=4.2&amp;sourceID=14","4.2")</f>
        <v>4.2</v>
      </c>
      <c r="G4196" s="4" t="str">
        <f>HYPERLINK("http://141.218.60.56/~jnz1568/getInfo.php?workbook=12_04.xlsx&amp;sheet=U0&amp;row=4196&amp;col=7&amp;number=0.0445&amp;sourceID=14","0.0445")</f>
        <v>0.0445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HYPERLINK("http://141.218.60.56/~jnz1568/getInfo.php?workbook=12_04.xlsx&amp;sheet=U0&amp;row=4197&amp;col=6&amp;number=4.3&amp;sourceID=14","4.3")</f>
        <v>4.3</v>
      </c>
      <c r="G4197" s="4" t="str">
        <f>HYPERLINK("http://141.218.60.56/~jnz1568/getInfo.php?workbook=12_04.xlsx&amp;sheet=U0&amp;row=4197&amp;col=7&amp;number=0.0448&amp;sourceID=14","0.0448")</f>
        <v>0.0448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HYPERLINK("http://141.218.60.56/~jnz1568/getInfo.php?workbook=12_04.xlsx&amp;sheet=U0&amp;row=4198&amp;col=6&amp;number=4.4&amp;sourceID=14","4.4")</f>
        <v>4.4</v>
      </c>
      <c r="G4198" s="4" t="str">
        <f>HYPERLINK("http://141.218.60.56/~jnz1568/getInfo.php?workbook=12_04.xlsx&amp;sheet=U0&amp;row=4198&amp;col=7&amp;number=0.0451&amp;sourceID=14","0.0451")</f>
        <v>0.0451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HYPERLINK("http://141.218.60.56/~jnz1568/getInfo.php?workbook=12_04.xlsx&amp;sheet=U0&amp;row=4199&amp;col=6&amp;number=4.5&amp;sourceID=14","4.5")</f>
        <v>4.5</v>
      </c>
      <c r="G4199" s="4" t="str">
        <f>HYPERLINK("http://141.218.60.56/~jnz1568/getInfo.php?workbook=12_04.xlsx&amp;sheet=U0&amp;row=4199&amp;col=7&amp;number=0.0454&amp;sourceID=14","0.0454")</f>
        <v>0.0454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HYPERLINK("http://141.218.60.56/~jnz1568/getInfo.php?workbook=12_04.xlsx&amp;sheet=U0&amp;row=4200&amp;col=6&amp;number=4.6&amp;sourceID=14","4.6")</f>
        <v>4.6</v>
      </c>
      <c r="G4200" s="4" t="str">
        <f>HYPERLINK("http://141.218.60.56/~jnz1568/getInfo.php?workbook=12_04.xlsx&amp;sheet=U0&amp;row=4200&amp;col=7&amp;number=0.0459&amp;sourceID=14","0.0459")</f>
        <v>0.0459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HYPERLINK("http://141.218.60.56/~jnz1568/getInfo.php?workbook=12_04.xlsx&amp;sheet=U0&amp;row=4201&amp;col=6&amp;number=4.7&amp;sourceID=14","4.7")</f>
        <v>4.7</v>
      </c>
      <c r="G4201" s="4" t="str">
        <f>HYPERLINK("http://141.218.60.56/~jnz1568/getInfo.php?workbook=12_04.xlsx&amp;sheet=U0&amp;row=4201&amp;col=7&amp;number=0.0464&amp;sourceID=14","0.0464")</f>
        <v>0.0464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HYPERLINK("http://141.218.60.56/~jnz1568/getInfo.php?workbook=12_04.xlsx&amp;sheet=U0&amp;row=4202&amp;col=6&amp;number=4.8&amp;sourceID=14","4.8")</f>
        <v>4.8</v>
      </c>
      <c r="G4202" s="4" t="str">
        <f>HYPERLINK("http://141.218.60.56/~jnz1568/getInfo.php?workbook=12_04.xlsx&amp;sheet=U0&amp;row=4202&amp;col=7&amp;number=0.0471&amp;sourceID=14","0.0471")</f>
        <v>0.0471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HYPERLINK("http://141.218.60.56/~jnz1568/getInfo.php?workbook=12_04.xlsx&amp;sheet=U0&amp;row=4203&amp;col=6&amp;number=4.9&amp;sourceID=14","4.9")</f>
        <v>4.9</v>
      </c>
      <c r="G4203" s="4" t="str">
        <f>HYPERLINK("http://141.218.60.56/~jnz1568/getInfo.php?workbook=12_04.xlsx&amp;sheet=U0&amp;row=4203&amp;col=7&amp;number=0.0478&amp;sourceID=14","0.0478")</f>
        <v>0.0478</v>
      </c>
    </row>
    <row r="4204" spans="1:7">
      <c r="A4204" s="3">
        <v>12</v>
      </c>
      <c r="B4204" s="3">
        <v>4</v>
      </c>
      <c r="C4204" s="3">
        <v>3</v>
      </c>
      <c r="D4204" s="3">
        <v>21</v>
      </c>
      <c r="E4204" s="3">
        <v>1</v>
      </c>
      <c r="F4204" s="4" t="str">
        <f>HYPERLINK("http://141.218.60.56/~jnz1568/getInfo.php?workbook=12_04.xlsx&amp;sheet=U0&amp;row=4204&amp;col=6&amp;number=3&amp;sourceID=14","3")</f>
        <v>3</v>
      </c>
      <c r="G4204" s="4" t="str">
        <f>HYPERLINK("http://141.218.60.56/~jnz1568/getInfo.php?workbook=12_04.xlsx&amp;sheet=U0&amp;row=4204&amp;col=7&amp;number=0.0368&amp;sourceID=14","0.0368")</f>
        <v>0.0368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HYPERLINK("http://141.218.60.56/~jnz1568/getInfo.php?workbook=12_04.xlsx&amp;sheet=U0&amp;row=4205&amp;col=6&amp;number=3.1&amp;sourceID=14","3.1")</f>
        <v>3.1</v>
      </c>
      <c r="G4205" s="4" t="str">
        <f>HYPERLINK("http://141.218.60.56/~jnz1568/getInfo.php?workbook=12_04.xlsx&amp;sheet=U0&amp;row=4205&amp;col=7&amp;number=0.0367&amp;sourceID=14","0.0367")</f>
        <v>0.0367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HYPERLINK("http://141.218.60.56/~jnz1568/getInfo.php?workbook=12_04.xlsx&amp;sheet=U0&amp;row=4206&amp;col=6&amp;number=3.2&amp;sourceID=14","3.2")</f>
        <v>3.2</v>
      </c>
      <c r="G4206" s="4" t="str">
        <f>HYPERLINK("http://141.218.60.56/~jnz1568/getInfo.php?workbook=12_04.xlsx&amp;sheet=U0&amp;row=4206&amp;col=7&amp;number=0.0367&amp;sourceID=14","0.0367")</f>
        <v>0.0367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HYPERLINK("http://141.218.60.56/~jnz1568/getInfo.php?workbook=12_04.xlsx&amp;sheet=U0&amp;row=4207&amp;col=6&amp;number=3.3&amp;sourceID=14","3.3")</f>
        <v>3.3</v>
      </c>
      <c r="G4207" s="4" t="str">
        <f>HYPERLINK("http://141.218.60.56/~jnz1568/getInfo.php?workbook=12_04.xlsx&amp;sheet=U0&amp;row=4207&amp;col=7&amp;number=0.0366&amp;sourceID=14","0.0366")</f>
        <v>0.0366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HYPERLINK("http://141.218.60.56/~jnz1568/getInfo.php?workbook=12_04.xlsx&amp;sheet=U0&amp;row=4208&amp;col=6&amp;number=3.4&amp;sourceID=14","3.4")</f>
        <v>3.4</v>
      </c>
      <c r="G4208" s="4" t="str">
        <f>HYPERLINK("http://141.218.60.56/~jnz1568/getInfo.php?workbook=12_04.xlsx&amp;sheet=U0&amp;row=4208&amp;col=7&amp;number=0.0364&amp;sourceID=14","0.0364")</f>
        <v>0.0364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HYPERLINK("http://141.218.60.56/~jnz1568/getInfo.php?workbook=12_04.xlsx&amp;sheet=U0&amp;row=4209&amp;col=6&amp;number=3.5&amp;sourceID=14","3.5")</f>
        <v>3.5</v>
      </c>
      <c r="G4209" s="4" t="str">
        <f>HYPERLINK("http://141.218.60.56/~jnz1568/getInfo.php?workbook=12_04.xlsx&amp;sheet=U0&amp;row=4209&amp;col=7&amp;number=0.0363&amp;sourceID=14","0.0363")</f>
        <v>0.0363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HYPERLINK("http://141.218.60.56/~jnz1568/getInfo.php?workbook=12_04.xlsx&amp;sheet=U0&amp;row=4210&amp;col=6&amp;number=3.6&amp;sourceID=14","3.6")</f>
        <v>3.6</v>
      </c>
      <c r="G4210" s="4" t="str">
        <f>HYPERLINK("http://141.218.60.56/~jnz1568/getInfo.php?workbook=12_04.xlsx&amp;sheet=U0&amp;row=4210&amp;col=7&amp;number=0.0361&amp;sourceID=14","0.0361")</f>
        <v>0.0361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HYPERLINK("http://141.218.60.56/~jnz1568/getInfo.php?workbook=12_04.xlsx&amp;sheet=U0&amp;row=4211&amp;col=6&amp;number=3.7&amp;sourceID=14","3.7")</f>
        <v>3.7</v>
      </c>
      <c r="G4211" s="4" t="str">
        <f>HYPERLINK("http://141.218.60.56/~jnz1568/getInfo.php?workbook=12_04.xlsx&amp;sheet=U0&amp;row=4211&amp;col=7&amp;number=0.0359&amp;sourceID=14","0.0359")</f>
        <v>0.0359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HYPERLINK("http://141.218.60.56/~jnz1568/getInfo.php?workbook=12_04.xlsx&amp;sheet=U0&amp;row=4212&amp;col=6&amp;number=3.8&amp;sourceID=14","3.8")</f>
        <v>3.8</v>
      </c>
      <c r="G4212" s="4" t="str">
        <f>HYPERLINK("http://141.218.60.56/~jnz1568/getInfo.php?workbook=12_04.xlsx&amp;sheet=U0&amp;row=4212&amp;col=7&amp;number=0.0356&amp;sourceID=14","0.0356")</f>
        <v>0.0356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HYPERLINK("http://141.218.60.56/~jnz1568/getInfo.php?workbook=12_04.xlsx&amp;sheet=U0&amp;row=4213&amp;col=6&amp;number=3.9&amp;sourceID=14","3.9")</f>
        <v>3.9</v>
      </c>
      <c r="G4213" s="4" t="str">
        <f>HYPERLINK("http://141.218.60.56/~jnz1568/getInfo.php?workbook=12_04.xlsx&amp;sheet=U0&amp;row=4213&amp;col=7&amp;number=0.0353&amp;sourceID=14","0.0353")</f>
        <v>0.0353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HYPERLINK("http://141.218.60.56/~jnz1568/getInfo.php?workbook=12_04.xlsx&amp;sheet=U0&amp;row=4214&amp;col=6&amp;number=4&amp;sourceID=14","4")</f>
        <v>4</v>
      </c>
      <c r="G4214" s="4" t="str">
        <f>HYPERLINK("http://141.218.60.56/~jnz1568/getInfo.php?workbook=12_04.xlsx&amp;sheet=U0&amp;row=4214&amp;col=7&amp;number=0.0348&amp;sourceID=14","0.0348")</f>
        <v>0.0348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HYPERLINK("http://141.218.60.56/~jnz1568/getInfo.php?workbook=12_04.xlsx&amp;sheet=U0&amp;row=4215&amp;col=6&amp;number=4.1&amp;sourceID=14","4.1")</f>
        <v>4.1</v>
      </c>
      <c r="G4215" s="4" t="str">
        <f>HYPERLINK("http://141.218.60.56/~jnz1568/getInfo.php?workbook=12_04.xlsx&amp;sheet=U0&amp;row=4215&amp;col=7&amp;number=0.0343&amp;sourceID=14","0.0343")</f>
        <v>0.0343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HYPERLINK("http://141.218.60.56/~jnz1568/getInfo.php?workbook=12_04.xlsx&amp;sheet=U0&amp;row=4216&amp;col=6&amp;number=4.2&amp;sourceID=14","4.2")</f>
        <v>4.2</v>
      </c>
      <c r="G4216" s="4" t="str">
        <f>HYPERLINK("http://141.218.60.56/~jnz1568/getInfo.php?workbook=12_04.xlsx&amp;sheet=U0&amp;row=4216&amp;col=7&amp;number=0.0336&amp;sourceID=14","0.0336")</f>
        <v>0.0336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HYPERLINK("http://141.218.60.56/~jnz1568/getInfo.php?workbook=12_04.xlsx&amp;sheet=U0&amp;row=4217&amp;col=6&amp;number=4.3&amp;sourceID=14","4.3")</f>
        <v>4.3</v>
      </c>
      <c r="G4217" s="4" t="str">
        <f>HYPERLINK("http://141.218.60.56/~jnz1568/getInfo.php?workbook=12_04.xlsx&amp;sheet=U0&amp;row=4217&amp;col=7&amp;number=0.0327&amp;sourceID=14","0.0327")</f>
        <v>0.0327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HYPERLINK("http://141.218.60.56/~jnz1568/getInfo.php?workbook=12_04.xlsx&amp;sheet=U0&amp;row=4218&amp;col=6&amp;number=4.4&amp;sourceID=14","4.4")</f>
        <v>4.4</v>
      </c>
      <c r="G4218" s="4" t="str">
        <f>HYPERLINK("http://141.218.60.56/~jnz1568/getInfo.php?workbook=12_04.xlsx&amp;sheet=U0&amp;row=4218&amp;col=7&amp;number=0.0316&amp;sourceID=14","0.0316")</f>
        <v>0.0316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HYPERLINK("http://141.218.60.56/~jnz1568/getInfo.php?workbook=12_04.xlsx&amp;sheet=U0&amp;row=4219&amp;col=6&amp;number=4.5&amp;sourceID=14","4.5")</f>
        <v>4.5</v>
      </c>
      <c r="G4219" s="4" t="str">
        <f>HYPERLINK("http://141.218.60.56/~jnz1568/getInfo.php?workbook=12_04.xlsx&amp;sheet=U0&amp;row=4219&amp;col=7&amp;number=0.0303&amp;sourceID=14","0.0303")</f>
        <v>0.0303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HYPERLINK("http://141.218.60.56/~jnz1568/getInfo.php?workbook=12_04.xlsx&amp;sheet=U0&amp;row=4220&amp;col=6&amp;number=4.6&amp;sourceID=14","4.6")</f>
        <v>4.6</v>
      </c>
      <c r="G4220" s="4" t="str">
        <f>HYPERLINK("http://141.218.60.56/~jnz1568/getInfo.php?workbook=12_04.xlsx&amp;sheet=U0&amp;row=4220&amp;col=7&amp;number=0.0286&amp;sourceID=14","0.0286")</f>
        <v>0.0286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HYPERLINK("http://141.218.60.56/~jnz1568/getInfo.php?workbook=12_04.xlsx&amp;sheet=U0&amp;row=4221&amp;col=6&amp;number=4.7&amp;sourceID=14","4.7")</f>
        <v>4.7</v>
      </c>
      <c r="G4221" s="4" t="str">
        <f>HYPERLINK("http://141.218.60.56/~jnz1568/getInfo.php?workbook=12_04.xlsx&amp;sheet=U0&amp;row=4221&amp;col=7&amp;number=0.0266&amp;sourceID=14","0.0266")</f>
        <v>0.0266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HYPERLINK("http://141.218.60.56/~jnz1568/getInfo.php?workbook=12_04.xlsx&amp;sheet=U0&amp;row=4222&amp;col=6&amp;number=4.8&amp;sourceID=14","4.8")</f>
        <v>4.8</v>
      </c>
      <c r="G4222" s="4" t="str">
        <f>HYPERLINK("http://141.218.60.56/~jnz1568/getInfo.php?workbook=12_04.xlsx&amp;sheet=U0&amp;row=4222&amp;col=7&amp;number=0.0242&amp;sourceID=14","0.0242")</f>
        <v>0.0242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HYPERLINK("http://141.218.60.56/~jnz1568/getInfo.php?workbook=12_04.xlsx&amp;sheet=U0&amp;row=4223&amp;col=6&amp;number=4.9&amp;sourceID=14","4.9")</f>
        <v>4.9</v>
      </c>
      <c r="G4223" s="4" t="str">
        <f>HYPERLINK("http://141.218.60.56/~jnz1568/getInfo.php?workbook=12_04.xlsx&amp;sheet=U0&amp;row=4223&amp;col=7&amp;number=0.0213&amp;sourceID=14","0.0213")</f>
        <v>0.0213</v>
      </c>
    </row>
    <row r="4224" spans="1:7">
      <c r="A4224" s="3">
        <v>12</v>
      </c>
      <c r="B4224" s="3">
        <v>4</v>
      </c>
      <c r="C4224" s="3">
        <v>3</v>
      </c>
      <c r="D4224" s="3">
        <v>22</v>
      </c>
      <c r="E4224" s="3">
        <v>1</v>
      </c>
      <c r="F4224" s="4" t="str">
        <f>HYPERLINK("http://141.218.60.56/~jnz1568/getInfo.php?workbook=12_04.xlsx&amp;sheet=U0&amp;row=4224&amp;col=6&amp;number=3&amp;sourceID=14","3")</f>
        <v>3</v>
      </c>
      <c r="G4224" s="4" t="str">
        <f>HYPERLINK("http://141.218.60.56/~jnz1568/getInfo.php?workbook=12_04.xlsx&amp;sheet=U0&amp;row=4224&amp;col=7&amp;number=0.145&amp;sourceID=14","0.145")</f>
        <v>0.145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HYPERLINK("http://141.218.60.56/~jnz1568/getInfo.php?workbook=12_04.xlsx&amp;sheet=U0&amp;row=4225&amp;col=6&amp;number=3.1&amp;sourceID=14","3.1")</f>
        <v>3.1</v>
      </c>
      <c r="G4225" s="4" t="str">
        <f>HYPERLINK("http://141.218.60.56/~jnz1568/getInfo.php?workbook=12_04.xlsx&amp;sheet=U0&amp;row=4225&amp;col=7&amp;number=0.145&amp;sourceID=14","0.145")</f>
        <v>0.145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HYPERLINK("http://141.218.60.56/~jnz1568/getInfo.php?workbook=12_04.xlsx&amp;sheet=U0&amp;row=4226&amp;col=6&amp;number=3.2&amp;sourceID=14","3.2")</f>
        <v>3.2</v>
      </c>
      <c r="G4226" s="4" t="str">
        <f>HYPERLINK("http://141.218.60.56/~jnz1568/getInfo.php?workbook=12_04.xlsx&amp;sheet=U0&amp;row=4226&amp;col=7&amp;number=0.145&amp;sourceID=14","0.145")</f>
        <v>0.145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HYPERLINK("http://141.218.60.56/~jnz1568/getInfo.php?workbook=12_04.xlsx&amp;sheet=U0&amp;row=4227&amp;col=6&amp;number=3.3&amp;sourceID=14","3.3")</f>
        <v>3.3</v>
      </c>
      <c r="G4227" s="4" t="str">
        <f>HYPERLINK("http://141.218.60.56/~jnz1568/getInfo.php?workbook=12_04.xlsx&amp;sheet=U0&amp;row=4227&amp;col=7&amp;number=0.145&amp;sourceID=14","0.145")</f>
        <v>0.145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HYPERLINK("http://141.218.60.56/~jnz1568/getInfo.php?workbook=12_04.xlsx&amp;sheet=U0&amp;row=4228&amp;col=6&amp;number=3.4&amp;sourceID=14","3.4")</f>
        <v>3.4</v>
      </c>
      <c r="G4228" s="4" t="str">
        <f>HYPERLINK("http://141.218.60.56/~jnz1568/getInfo.php?workbook=12_04.xlsx&amp;sheet=U0&amp;row=4228&amp;col=7&amp;number=0.145&amp;sourceID=14","0.145")</f>
        <v>0.145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HYPERLINK("http://141.218.60.56/~jnz1568/getInfo.php?workbook=12_04.xlsx&amp;sheet=U0&amp;row=4229&amp;col=6&amp;number=3.5&amp;sourceID=14","3.5")</f>
        <v>3.5</v>
      </c>
      <c r="G4229" s="4" t="str">
        <f>HYPERLINK("http://141.218.60.56/~jnz1568/getInfo.php?workbook=12_04.xlsx&amp;sheet=U0&amp;row=4229&amp;col=7&amp;number=0.144&amp;sourceID=14","0.144")</f>
        <v>0.144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HYPERLINK("http://141.218.60.56/~jnz1568/getInfo.php?workbook=12_04.xlsx&amp;sheet=U0&amp;row=4230&amp;col=6&amp;number=3.6&amp;sourceID=14","3.6")</f>
        <v>3.6</v>
      </c>
      <c r="G4230" s="4" t="str">
        <f>HYPERLINK("http://141.218.60.56/~jnz1568/getInfo.php?workbook=12_04.xlsx&amp;sheet=U0&amp;row=4230&amp;col=7&amp;number=0.144&amp;sourceID=14","0.144")</f>
        <v>0.144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HYPERLINK("http://141.218.60.56/~jnz1568/getInfo.php?workbook=12_04.xlsx&amp;sheet=U0&amp;row=4231&amp;col=6&amp;number=3.7&amp;sourceID=14","3.7")</f>
        <v>3.7</v>
      </c>
      <c r="G4231" s="4" t="str">
        <f>HYPERLINK("http://141.218.60.56/~jnz1568/getInfo.php?workbook=12_04.xlsx&amp;sheet=U0&amp;row=4231&amp;col=7&amp;number=0.144&amp;sourceID=14","0.144")</f>
        <v>0.144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HYPERLINK("http://141.218.60.56/~jnz1568/getInfo.php?workbook=12_04.xlsx&amp;sheet=U0&amp;row=4232&amp;col=6&amp;number=3.8&amp;sourceID=14","3.8")</f>
        <v>3.8</v>
      </c>
      <c r="G4232" s="4" t="str">
        <f>HYPERLINK("http://141.218.60.56/~jnz1568/getInfo.php?workbook=12_04.xlsx&amp;sheet=U0&amp;row=4232&amp;col=7&amp;number=0.143&amp;sourceID=14","0.143")</f>
        <v>0.143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HYPERLINK("http://141.218.60.56/~jnz1568/getInfo.php?workbook=12_04.xlsx&amp;sheet=U0&amp;row=4233&amp;col=6&amp;number=3.9&amp;sourceID=14","3.9")</f>
        <v>3.9</v>
      </c>
      <c r="G4233" s="4" t="str">
        <f>HYPERLINK("http://141.218.60.56/~jnz1568/getInfo.php?workbook=12_04.xlsx&amp;sheet=U0&amp;row=4233&amp;col=7&amp;number=0.143&amp;sourceID=14","0.143")</f>
        <v>0.143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HYPERLINK("http://141.218.60.56/~jnz1568/getInfo.php?workbook=12_04.xlsx&amp;sheet=U0&amp;row=4234&amp;col=6&amp;number=4&amp;sourceID=14","4")</f>
        <v>4</v>
      </c>
      <c r="G4234" s="4" t="str">
        <f>HYPERLINK("http://141.218.60.56/~jnz1568/getInfo.php?workbook=12_04.xlsx&amp;sheet=U0&amp;row=4234&amp;col=7&amp;number=0.142&amp;sourceID=14","0.142")</f>
        <v>0.142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HYPERLINK("http://141.218.60.56/~jnz1568/getInfo.php?workbook=12_04.xlsx&amp;sheet=U0&amp;row=4235&amp;col=6&amp;number=4.1&amp;sourceID=14","4.1")</f>
        <v>4.1</v>
      </c>
      <c r="G4235" s="4" t="str">
        <f>HYPERLINK("http://141.218.60.56/~jnz1568/getInfo.php?workbook=12_04.xlsx&amp;sheet=U0&amp;row=4235&amp;col=7&amp;number=0.141&amp;sourceID=14","0.141")</f>
        <v>0.141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HYPERLINK("http://141.218.60.56/~jnz1568/getInfo.php?workbook=12_04.xlsx&amp;sheet=U0&amp;row=4236&amp;col=6&amp;number=4.2&amp;sourceID=14","4.2")</f>
        <v>4.2</v>
      </c>
      <c r="G4236" s="4" t="str">
        <f>HYPERLINK("http://141.218.60.56/~jnz1568/getInfo.php?workbook=12_04.xlsx&amp;sheet=U0&amp;row=4236&amp;col=7&amp;number=0.14&amp;sourceID=14","0.14")</f>
        <v>0.14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HYPERLINK("http://141.218.60.56/~jnz1568/getInfo.php?workbook=12_04.xlsx&amp;sheet=U0&amp;row=4237&amp;col=6&amp;number=4.3&amp;sourceID=14","4.3")</f>
        <v>4.3</v>
      </c>
      <c r="G4237" s="4" t="str">
        <f>HYPERLINK("http://141.218.60.56/~jnz1568/getInfo.php?workbook=12_04.xlsx&amp;sheet=U0&amp;row=4237&amp;col=7&amp;number=0.139&amp;sourceID=14","0.139")</f>
        <v>0.139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HYPERLINK("http://141.218.60.56/~jnz1568/getInfo.php?workbook=12_04.xlsx&amp;sheet=U0&amp;row=4238&amp;col=6&amp;number=4.4&amp;sourceID=14","4.4")</f>
        <v>4.4</v>
      </c>
      <c r="G4238" s="4" t="str">
        <f>HYPERLINK("http://141.218.60.56/~jnz1568/getInfo.php?workbook=12_04.xlsx&amp;sheet=U0&amp;row=4238&amp;col=7&amp;number=0.137&amp;sourceID=14","0.137")</f>
        <v>0.137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HYPERLINK("http://141.218.60.56/~jnz1568/getInfo.php?workbook=12_04.xlsx&amp;sheet=U0&amp;row=4239&amp;col=6&amp;number=4.5&amp;sourceID=14","4.5")</f>
        <v>4.5</v>
      </c>
      <c r="G4239" s="4" t="str">
        <f>HYPERLINK("http://141.218.60.56/~jnz1568/getInfo.php?workbook=12_04.xlsx&amp;sheet=U0&amp;row=4239&amp;col=7&amp;number=0.135&amp;sourceID=14","0.135")</f>
        <v>0.135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HYPERLINK("http://141.218.60.56/~jnz1568/getInfo.php?workbook=12_04.xlsx&amp;sheet=U0&amp;row=4240&amp;col=6&amp;number=4.6&amp;sourceID=14","4.6")</f>
        <v>4.6</v>
      </c>
      <c r="G4240" s="4" t="str">
        <f>HYPERLINK("http://141.218.60.56/~jnz1568/getInfo.php?workbook=12_04.xlsx&amp;sheet=U0&amp;row=4240&amp;col=7&amp;number=0.132&amp;sourceID=14","0.132")</f>
        <v>0.132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HYPERLINK("http://141.218.60.56/~jnz1568/getInfo.php?workbook=12_04.xlsx&amp;sheet=U0&amp;row=4241&amp;col=6&amp;number=4.7&amp;sourceID=14","4.7")</f>
        <v>4.7</v>
      </c>
      <c r="G4241" s="4" t="str">
        <f>HYPERLINK("http://141.218.60.56/~jnz1568/getInfo.php?workbook=12_04.xlsx&amp;sheet=U0&amp;row=4241&amp;col=7&amp;number=0.129&amp;sourceID=14","0.129")</f>
        <v>0.129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HYPERLINK("http://141.218.60.56/~jnz1568/getInfo.php?workbook=12_04.xlsx&amp;sheet=U0&amp;row=4242&amp;col=6&amp;number=4.8&amp;sourceID=14","4.8")</f>
        <v>4.8</v>
      </c>
      <c r="G4242" s="4" t="str">
        <f>HYPERLINK("http://141.218.60.56/~jnz1568/getInfo.php?workbook=12_04.xlsx&amp;sheet=U0&amp;row=4242&amp;col=7&amp;number=0.126&amp;sourceID=14","0.126")</f>
        <v>0.126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HYPERLINK("http://141.218.60.56/~jnz1568/getInfo.php?workbook=12_04.xlsx&amp;sheet=U0&amp;row=4243&amp;col=6&amp;number=4.9&amp;sourceID=14","4.9")</f>
        <v>4.9</v>
      </c>
      <c r="G4243" s="4" t="str">
        <f>HYPERLINK("http://141.218.60.56/~jnz1568/getInfo.php?workbook=12_04.xlsx&amp;sheet=U0&amp;row=4243&amp;col=7&amp;number=0.122&amp;sourceID=14","0.122")</f>
        <v>0.122</v>
      </c>
    </row>
    <row r="4244" spans="1:7">
      <c r="A4244" s="3">
        <v>12</v>
      </c>
      <c r="B4244" s="3">
        <v>4</v>
      </c>
      <c r="C4244" s="3">
        <v>3</v>
      </c>
      <c r="D4244" s="3">
        <v>23</v>
      </c>
      <c r="E4244" s="3">
        <v>1</v>
      </c>
      <c r="F4244" s="4" t="str">
        <f>HYPERLINK("http://141.218.60.56/~jnz1568/getInfo.php?workbook=12_04.xlsx&amp;sheet=U0&amp;row=4244&amp;col=6&amp;number=3&amp;sourceID=14","3")</f>
        <v>3</v>
      </c>
      <c r="G4244" s="4" t="str">
        <f>HYPERLINK("http://141.218.60.56/~jnz1568/getInfo.php?workbook=12_04.xlsx&amp;sheet=U0&amp;row=4244&amp;col=7&amp;number=0.0527&amp;sourceID=14","0.0527")</f>
        <v>0.0527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HYPERLINK("http://141.218.60.56/~jnz1568/getInfo.php?workbook=12_04.xlsx&amp;sheet=U0&amp;row=4245&amp;col=6&amp;number=3.1&amp;sourceID=14","3.1")</f>
        <v>3.1</v>
      </c>
      <c r="G4245" s="4" t="str">
        <f>HYPERLINK("http://141.218.60.56/~jnz1568/getInfo.php?workbook=12_04.xlsx&amp;sheet=U0&amp;row=4245&amp;col=7&amp;number=0.0526&amp;sourceID=14","0.0526")</f>
        <v>0.0526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HYPERLINK("http://141.218.60.56/~jnz1568/getInfo.php?workbook=12_04.xlsx&amp;sheet=U0&amp;row=4246&amp;col=6&amp;number=3.2&amp;sourceID=14","3.2")</f>
        <v>3.2</v>
      </c>
      <c r="G4246" s="4" t="str">
        <f>HYPERLINK("http://141.218.60.56/~jnz1568/getInfo.php?workbook=12_04.xlsx&amp;sheet=U0&amp;row=4246&amp;col=7&amp;number=0.0526&amp;sourceID=14","0.0526")</f>
        <v>0.0526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HYPERLINK("http://141.218.60.56/~jnz1568/getInfo.php?workbook=12_04.xlsx&amp;sheet=U0&amp;row=4247&amp;col=6&amp;number=3.3&amp;sourceID=14","3.3")</f>
        <v>3.3</v>
      </c>
      <c r="G4247" s="4" t="str">
        <f>HYPERLINK("http://141.218.60.56/~jnz1568/getInfo.php?workbook=12_04.xlsx&amp;sheet=U0&amp;row=4247&amp;col=7&amp;number=0.0525&amp;sourceID=14","0.0525")</f>
        <v>0.0525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HYPERLINK("http://141.218.60.56/~jnz1568/getInfo.php?workbook=12_04.xlsx&amp;sheet=U0&amp;row=4248&amp;col=6&amp;number=3.4&amp;sourceID=14","3.4")</f>
        <v>3.4</v>
      </c>
      <c r="G4248" s="4" t="str">
        <f>HYPERLINK("http://141.218.60.56/~jnz1568/getInfo.php?workbook=12_04.xlsx&amp;sheet=U0&amp;row=4248&amp;col=7&amp;number=0.0524&amp;sourceID=14","0.0524")</f>
        <v>0.0524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HYPERLINK("http://141.218.60.56/~jnz1568/getInfo.php?workbook=12_04.xlsx&amp;sheet=U0&amp;row=4249&amp;col=6&amp;number=3.5&amp;sourceID=14","3.5")</f>
        <v>3.5</v>
      </c>
      <c r="G4249" s="4" t="str">
        <f>HYPERLINK("http://141.218.60.56/~jnz1568/getInfo.php?workbook=12_04.xlsx&amp;sheet=U0&amp;row=4249&amp;col=7&amp;number=0.0522&amp;sourceID=14","0.0522")</f>
        <v>0.0522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HYPERLINK("http://141.218.60.56/~jnz1568/getInfo.php?workbook=12_04.xlsx&amp;sheet=U0&amp;row=4250&amp;col=6&amp;number=3.6&amp;sourceID=14","3.6")</f>
        <v>3.6</v>
      </c>
      <c r="G4250" s="4" t="str">
        <f>HYPERLINK("http://141.218.60.56/~jnz1568/getInfo.php?workbook=12_04.xlsx&amp;sheet=U0&amp;row=4250&amp;col=7&amp;number=0.052&amp;sourceID=14","0.052")</f>
        <v>0.052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HYPERLINK("http://141.218.60.56/~jnz1568/getInfo.php?workbook=12_04.xlsx&amp;sheet=U0&amp;row=4251&amp;col=6&amp;number=3.7&amp;sourceID=14","3.7")</f>
        <v>3.7</v>
      </c>
      <c r="G4251" s="4" t="str">
        <f>HYPERLINK("http://141.218.60.56/~jnz1568/getInfo.php?workbook=12_04.xlsx&amp;sheet=U0&amp;row=4251&amp;col=7&amp;number=0.0518&amp;sourceID=14","0.0518")</f>
        <v>0.0518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HYPERLINK("http://141.218.60.56/~jnz1568/getInfo.php?workbook=12_04.xlsx&amp;sheet=U0&amp;row=4252&amp;col=6&amp;number=3.8&amp;sourceID=14","3.8")</f>
        <v>3.8</v>
      </c>
      <c r="G4252" s="4" t="str">
        <f>HYPERLINK("http://141.218.60.56/~jnz1568/getInfo.php?workbook=12_04.xlsx&amp;sheet=U0&amp;row=4252&amp;col=7&amp;number=0.0516&amp;sourceID=14","0.0516")</f>
        <v>0.0516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HYPERLINK("http://141.218.60.56/~jnz1568/getInfo.php?workbook=12_04.xlsx&amp;sheet=U0&amp;row=4253&amp;col=6&amp;number=3.9&amp;sourceID=14","3.9")</f>
        <v>3.9</v>
      </c>
      <c r="G4253" s="4" t="str">
        <f>HYPERLINK("http://141.218.60.56/~jnz1568/getInfo.php?workbook=12_04.xlsx&amp;sheet=U0&amp;row=4253&amp;col=7&amp;number=0.0512&amp;sourceID=14","0.0512")</f>
        <v>0.0512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HYPERLINK("http://141.218.60.56/~jnz1568/getInfo.php?workbook=12_04.xlsx&amp;sheet=U0&amp;row=4254&amp;col=6&amp;number=4&amp;sourceID=14","4")</f>
        <v>4</v>
      </c>
      <c r="G4254" s="4" t="str">
        <f>HYPERLINK("http://141.218.60.56/~jnz1568/getInfo.php?workbook=12_04.xlsx&amp;sheet=U0&amp;row=4254&amp;col=7&amp;number=0.0508&amp;sourceID=14","0.0508")</f>
        <v>0.0508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HYPERLINK("http://141.218.60.56/~jnz1568/getInfo.php?workbook=12_04.xlsx&amp;sheet=U0&amp;row=4255&amp;col=6&amp;number=4.1&amp;sourceID=14","4.1")</f>
        <v>4.1</v>
      </c>
      <c r="G4255" s="4" t="str">
        <f>HYPERLINK("http://141.218.60.56/~jnz1568/getInfo.php?workbook=12_04.xlsx&amp;sheet=U0&amp;row=4255&amp;col=7&amp;number=0.0502&amp;sourceID=14","0.0502")</f>
        <v>0.0502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HYPERLINK("http://141.218.60.56/~jnz1568/getInfo.php?workbook=12_04.xlsx&amp;sheet=U0&amp;row=4256&amp;col=6&amp;number=4.2&amp;sourceID=14","4.2")</f>
        <v>4.2</v>
      </c>
      <c r="G4256" s="4" t="str">
        <f>HYPERLINK("http://141.218.60.56/~jnz1568/getInfo.php?workbook=12_04.xlsx&amp;sheet=U0&amp;row=4256&amp;col=7&amp;number=0.0495&amp;sourceID=14","0.0495")</f>
        <v>0.0495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HYPERLINK("http://141.218.60.56/~jnz1568/getInfo.php?workbook=12_04.xlsx&amp;sheet=U0&amp;row=4257&amp;col=6&amp;number=4.3&amp;sourceID=14","4.3")</f>
        <v>4.3</v>
      </c>
      <c r="G4257" s="4" t="str">
        <f>HYPERLINK("http://141.218.60.56/~jnz1568/getInfo.php?workbook=12_04.xlsx&amp;sheet=U0&amp;row=4257&amp;col=7&amp;number=0.0487&amp;sourceID=14","0.0487")</f>
        <v>0.0487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HYPERLINK("http://141.218.60.56/~jnz1568/getInfo.php?workbook=12_04.xlsx&amp;sheet=U0&amp;row=4258&amp;col=6&amp;number=4.4&amp;sourceID=14","4.4")</f>
        <v>4.4</v>
      </c>
      <c r="G4258" s="4" t="str">
        <f>HYPERLINK("http://141.218.60.56/~jnz1568/getInfo.php?workbook=12_04.xlsx&amp;sheet=U0&amp;row=4258&amp;col=7&amp;number=0.0476&amp;sourceID=14","0.0476")</f>
        <v>0.0476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HYPERLINK("http://141.218.60.56/~jnz1568/getInfo.php?workbook=12_04.xlsx&amp;sheet=U0&amp;row=4259&amp;col=6&amp;number=4.5&amp;sourceID=14","4.5")</f>
        <v>4.5</v>
      </c>
      <c r="G4259" s="4" t="str">
        <f>HYPERLINK("http://141.218.60.56/~jnz1568/getInfo.php?workbook=12_04.xlsx&amp;sheet=U0&amp;row=4259&amp;col=7&amp;number=0.0463&amp;sourceID=14","0.0463")</f>
        <v>0.0463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HYPERLINK("http://141.218.60.56/~jnz1568/getInfo.php?workbook=12_04.xlsx&amp;sheet=U0&amp;row=4260&amp;col=6&amp;number=4.6&amp;sourceID=14","4.6")</f>
        <v>4.6</v>
      </c>
      <c r="G4260" s="4" t="str">
        <f>HYPERLINK("http://141.218.60.56/~jnz1568/getInfo.php?workbook=12_04.xlsx&amp;sheet=U0&amp;row=4260&amp;col=7&amp;number=0.0447&amp;sourceID=14","0.0447")</f>
        <v>0.0447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HYPERLINK("http://141.218.60.56/~jnz1568/getInfo.php?workbook=12_04.xlsx&amp;sheet=U0&amp;row=4261&amp;col=6&amp;number=4.7&amp;sourceID=14","4.7")</f>
        <v>4.7</v>
      </c>
      <c r="G4261" s="4" t="str">
        <f>HYPERLINK("http://141.218.60.56/~jnz1568/getInfo.php?workbook=12_04.xlsx&amp;sheet=U0&amp;row=4261&amp;col=7&amp;number=0.0427&amp;sourceID=14","0.0427")</f>
        <v>0.0427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HYPERLINK("http://141.218.60.56/~jnz1568/getInfo.php?workbook=12_04.xlsx&amp;sheet=U0&amp;row=4262&amp;col=6&amp;number=4.8&amp;sourceID=14","4.8")</f>
        <v>4.8</v>
      </c>
      <c r="G4262" s="4" t="str">
        <f>HYPERLINK("http://141.218.60.56/~jnz1568/getInfo.php?workbook=12_04.xlsx&amp;sheet=U0&amp;row=4262&amp;col=7&amp;number=0.0403&amp;sourceID=14","0.0403")</f>
        <v>0.0403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HYPERLINK("http://141.218.60.56/~jnz1568/getInfo.php?workbook=12_04.xlsx&amp;sheet=U0&amp;row=4263&amp;col=6&amp;number=4.9&amp;sourceID=14","4.9")</f>
        <v>4.9</v>
      </c>
      <c r="G4263" s="4" t="str">
        <f>HYPERLINK("http://141.218.60.56/~jnz1568/getInfo.php?workbook=12_04.xlsx&amp;sheet=U0&amp;row=4263&amp;col=7&amp;number=0.0375&amp;sourceID=14","0.0375")</f>
        <v>0.0375</v>
      </c>
    </row>
    <row r="4264" spans="1:7">
      <c r="A4264" s="3">
        <v>12</v>
      </c>
      <c r="B4264" s="3">
        <v>4</v>
      </c>
      <c r="C4264" s="3">
        <v>3</v>
      </c>
      <c r="D4264" s="3">
        <v>24</v>
      </c>
      <c r="E4264" s="3">
        <v>1</v>
      </c>
      <c r="F4264" s="4" t="str">
        <f>HYPERLINK("http://141.218.60.56/~jnz1568/getInfo.php?workbook=12_04.xlsx&amp;sheet=U0&amp;row=4264&amp;col=6&amp;number=3&amp;sourceID=14","3")</f>
        <v>3</v>
      </c>
      <c r="G4264" s="4" t="str">
        <f>HYPERLINK("http://141.218.60.56/~jnz1568/getInfo.php?workbook=12_04.xlsx&amp;sheet=U0&amp;row=4264&amp;col=7&amp;number=0.0521&amp;sourceID=14","0.0521")</f>
        <v>0.0521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HYPERLINK("http://141.218.60.56/~jnz1568/getInfo.php?workbook=12_04.xlsx&amp;sheet=U0&amp;row=4265&amp;col=6&amp;number=3.1&amp;sourceID=14","3.1")</f>
        <v>3.1</v>
      </c>
      <c r="G4265" s="4" t="str">
        <f>HYPERLINK("http://141.218.60.56/~jnz1568/getInfo.php?workbook=12_04.xlsx&amp;sheet=U0&amp;row=4265&amp;col=7&amp;number=0.052&amp;sourceID=14","0.052")</f>
        <v>0.052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HYPERLINK("http://141.218.60.56/~jnz1568/getInfo.php?workbook=12_04.xlsx&amp;sheet=U0&amp;row=4266&amp;col=6&amp;number=3.2&amp;sourceID=14","3.2")</f>
        <v>3.2</v>
      </c>
      <c r="G4266" s="4" t="str">
        <f>HYPERLINK("http://141.218.60.56/~jnz1568/getInfo.php?workbook=12_04.xlsx&amp;sheet=U0&amp;row=4266&amp;col=7&amp;number=0.0518&amp;sourceID=14","0.0518")</f>
        <v>0.0518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HYPERLINK("http://141.218.60.56/~jnz1568/getInfo.php?workbook=12_04.xlsx&amp;sheet=U0&amp;row=4267&amp;col=6&amp;number=3.3&amp;sourceID=14","3.3")</f>
        <v>3.3</v>
      </c>
      <c r="G4267" s="4" t="str">
        <f>HYPERLINK("http://141.218.60.56/~jnz1568/getInfo.php?workbook=12_04.xlsx&amp;sheet=U0&amp;row=4267&amp;col=7&amp;number=0.0517&amp;sourceID=14","0.0517")</f>
        <v>0.0517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HYPERLINK("http://141.218.60.56/~jnz1568/getInfo.php?workbook=12_04.xlsx&amp;sheet=U0&amp;row=4268&amp;col=6&amp;number=3.4&amp;sourceID=14","3.4")</f>
        <v>3.4</v>
      </c>
      <c r="G4268" s="4" t="str">
        <f>HYPERLINK("http://141.218.60.56/~jnz1568/getInfo.php?workbook=12_04.xlsx&amp;sheet=U0&amp;row=4268&amp;col=7&amp;number=0.0514&amp;sourceID=14","0.0514")</f>
        <v>0.0514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HYPERLINK("http://141.218.60.56/~jnz1568/getInfo.php?workbook=12_04.xlsx&amp;sheet=U0&amp;row=4269&amp;col=6&amp;number=3.5&amp;sourceID=14","3.5")</f>
        <v>3.5</v>
      </c>
      <c r="G4269" s="4" t="str">
        <f>HYPERLINK("http://141.218.60.56/~jnz1568/getInfo.php?workbook=12_04.xlsx&amp;sheet=U0&amp;row=4269&amp;col=7&amp;number=0.0512&amp;sourceID=14","0.0512")</f>
        <v>0.0512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HYPERLINK("http://141.218.60.56/~jnz1568/getInfo.php?workbook=12_04.xlsx&amp;sheet=U0&amp;row=4270&amp;col=6&amp;number=3.6&amp;sourceID=14","3.6")</f>
        <v>3.6</v>
      </c>
      <c r="G4270" s="4" t="str">
        <f>HYPERLINK("http://141.218.60.56/~jnz1568/getInfo.php?workbook=12_04.xlsx&amp;sheet=U0&amp;row=4270&amp;col=7&amp;number=0.0508&amp;sourceID=14","0.0508")</f>
        <v>0.0508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HYPERLINK("http://141.218.60.56/~jnz1568/getInfo.php?workbook=12_04.xlsx&amp;sheet=U0&amp;row=4271&amp;col=6&amp;number=3.7&amp;sourceID=14","3.7")</f>
        <v>3.7</v>
      </c>
      <c r="G4271" s="4" t="str">
        <f>HYPERLINK("http://141.218.60.56/~jnz1568/getInfo.php?workbook=12_04.xlsx&amp;sheet=U0&amp;row=4271&amp;col=7&amp;number=0.0504&amp;sourceID=14","0.0504")</f>
        <v>0.0504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HYPERLINK("http://141.218.60.56/~jnz1568/getInfo.php?workbook=12_04.xlsx&amp;sheet=U0&amp;row=4272&amp;col=6&amp;number=3.8&amp;sourceID=14","3.8")</f>
        <v>3.8</v>
      </c>
      <c r="G4272" s="4" t="str">
        <f>HYPERLINK("http://141.218.60.56/~jnz1568/getInfo.php?workbook=12_04.xlsx&amp;sheet=U0&amp;row=4272&amp;col=7&amp;number=0.0499&amp;sourceID=14","0.0499")</f>
        <v>0.0499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HYPERLINK("http://141.218.60.56/~jnz1568/getInfo.php?workbook=12_04.xlsx&amp;sheet=U0&amp;row=4273&amp;col=6&amp;number=3.9&amp;sourceID=14","3.9")</f>
        <v>3.9</v>
      </c>
      <c r="G4273" s="4" t="str">
        <f>HYPERLINK("http://141.218.60.56/~jnz1568/getInfo.php?workbook=12_04.xlsx&amp;sheet=U0&amp;row=4273&amp;col=7&amp;number=0.0492&amp;sourceID=14","0.0492")</f>
        <v>0.0492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HYPERLINK("http://141.218.60.56/~jnz1568/getInfo.php?workbook=12_04.xlsx&amp;sheet=U0&amp;row=4274&amp;col=6&amp;number=4&amp;sourceID=14","4")</f>
        <v>4</v>
      </c>
      <c r="G4274" s="4" t="str">
        <f>HYPERLINK("http://141.218.60.56/~jnz1568/getInfo.php?workbook=12_04.xlsx&amp;sheet=U0&amp;row=4274&amp;col=7&amp;number=0.0483&amp;sourceID=14","0.0483")</f>
        <v>0.0483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HYPERLINK("http://141.218.60.56/~jnz1568/getInfo.php?workbook=12_04.xlsx&amp;sheet=U0&amp;row=4275&amp;col=6&amp;number=4.1&amp;sourceID=14","4.1")</f>
        <v>4.1</v>
      </c>
      <c r="G4275" s="4" t="str">
        <f>HYPERLINK("http://141.218.60.56/~jnz1568/getInfo.php?workbook=12_04.xlsx&amp;sheet=U0&amp;row=4275&amp;col=7&amp;number=0.0473&amp;sourceID=14","0.0473")</f>
        <v>0.0473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HYPERLINK("http://141.218.60.56/~jnz1568/getInfo.php?workbook=12_04.xlsx&amp;sheet=U0&amp;row=4276&amp;col=6&amp;number=4.2&amp;sourceID=14","4.2")</f>
        <v>4.2</v>
      </c>
      <c r="G4276" s="4" t="str">
        <f>HYPERLINK("http://141.218.60.56/~jnz1568/getInfo.php?workbook=12_04.xlsx&amp;sheet=U0&amp;row=4276&amp;col=7&amp;number=0.046&amp;sourceID=14","0.046")</f>
        <v>0.046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HYPERLINK("http://141.218.60.56/~jnz1568/getInfo.php?workbook=12_04.xlsx&amp;sheet=U0&amp;row=4277&amp;col=6&amp;number=4.3&amp;sourceID=14","4.3")</f>
        <v>4.3</v>
      </c>
      <c r="G4277" s="4" t="str">
        <f>HYPERLINK("http://141.218.60.56/~jnz1568/getInfo.php?workbook=12_04.xlsx&amp;sheet=U0&amp;row=4277&amp;col=7&amp;number=0.0444&amp;sourceID=14","0.0444")</f>
        <v>0.0444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HYPERLINK("http://141.218.60.56/~jnz1568/getInfo.php?workbook=12_04.xlsx&amp;sheet=U0&amp;row=4278&amp;col=6&amp;number=4.4&amp;sourceID=14","4.4")</f>
        <v>4.4</v>
      </c>
      <c r="G4278" s="4" t="str">
        <f>HYPERLINK("http://141.218.60.56/~jnz1568/getInfo.php?workbook=12_04.xlsx&amp;sheet=U0&amp;row=4278&amp;col=7&amp;number=0.0424&amp;sourceID=14","0.0424")</f>
        <v>0.0424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HYPERLINK("http://141.218.60.56/~jnz1568/getInfo.php?workbook=12_04.xlsx&amp;sheet=U0&amp;row=4279&amp;col=6&amp;number=4.5&amp;sourceID=14","4.5")</f>
        <v>4.5</v>
      </c>
      <c r="G4279" s="4" t="str">
        <f>HYPERLINK("http://141.218.60.56/~jnz1568/getInfo.php?workbook=12_04.xlsx&amp;sheet=U0&amp;row=4279&amp;col=7&amp;number=0.0401&amp;sourceID=14","0.0401")</f>
        <v>0.0401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HYPERLINK("http://141.218.60.56/~jnz1568/getInfo.php?workbook=12_04.xlsx&amp;sheet=U0&amp;row=4280&amp;col=6&amp;number=4.6&amp;sourceID=14","4.6")</f>
        <v>4.6</v>
      </c>
      <c r="G4280" s="4" t="str">
        <f>HYPERLINK("http://141.218.60.56/~jnz1568/getInfo.php?workbook=12_04.xlsx&amp;sheet=U0&amp;row=4280&amp;col=7&amp;number=0.0372&amp;sourceID=14","0.0372")</f>
        <v>0.0372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HYPERLINK("http://141.218.60.56/~jnz1568/getInfo.php?workbook=12_04.xlsx&amp;sheet=U0&amp;row=4281&amp;col=6&amp;number=4.7&amp;sourceID=14","4.7")</f>
        <v>4.7</v>
      </c>
      <c r="G4281" s="4" t="str">
        <f>HYPERLINK("http://141.218.60.56/~jnz1568/getInfo.php?workbook=12_04.xlsx&amp;sheet=U0&amp;row=4281&amp;col=7&amp;number=0.0339&amp;sourceID=14","0.0339")</f>
        <v>0.0339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HYPERLINK("http://141.218.60.56/~jnz1568/getInfo.php?workbook=12_04.xlsx&amp;sheet=U0&amp;row=4282&amp;col=6&amp;number=4.8&amp;sourceID=14","4.8")</f>
        <v>4.8</v>
      </c>
      <c r="G4282" s="4" t="str">
        <f>HYPERLINK("http://141.218.60.56/~jnz1568/getInfo.php?workbook=12_04.xlsx&amp;sheet=U0&amp;row=4282&amp;col=7&amp;number=0.0302&amp;sourceID=14","0.0302")</f>
        <v>0.0302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HYPERLINK("http://141.218.60.56/~jnz1568/getInfo.php?workbook=12_04.xlsx&amp;sheet=U0&amp;row=4283&amp;col=6&amp;number=4.9&amp;sourceID=14","4.9")</f>
        <v>4.9</v>
      </c>
      <c r="G4283" s="4" t="str">
        <f>HYPERLINK("http://141.218.60.56/~jnz1568/getInfo.php?workbook=12_04.xlsx&amp;sheet=U0&amp;row=4283&amp;col=7&amp;number=0.0262&amp;sourceID=14","0.0262")</f>
        <v>0.0262</v>
      </c>
    </row>
    <row r="4284" spans="1:7">
      <c r="A4284" s="3">
        <v>12</v>
      </c>
      <c r="B4284" s="3">
        <v>4</v>
      </c>
      <c r="C4284" s="3">
        <v>3</v>
      </c>
      <c r="D4284" s="3">
        <v>25</v>
      </c>
      <c r="E4284" s="3">
        <v>1</v>
      </c>
      <c r="F4284" s="4" t="str">
        <f>HYPERLINK("http://141.218.60.56/~jnz1568/getInfo.php?workbook=12_04.xlsx&amp;sheet=U0&amp;row=4284&amp;col=6&amp;number=3&amp;sourceID=14","3")</f>
        <v>3</v>
      </c>
      <c r="G4284" s="4" t="str">
        <f>HYPERLINK("http://141.218.60.56/~jnz1568/getInfo.php?workbook=12_04.xlsx&amp;sheet=U0&amp;row=4284&amp;col=7&amp;number=0.0385&amp;sourceID=14","0.0385")</f>
        <v>0.0385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HYPERLINK("http://141.218.60.56/~jnz1568/getInfo.php?workbook=12_04.xlsx&amp;sheet=U0&amp;row=4285&amp;col=6&amp;number=3.1&amp;sourceID=14","3.1")</f>
        <v>3.1</v>
      </c>
      <c r="G4285" s="4" t="str">
        <f>HYPERLINK("http://141.218.60.56/~jnz1568/getInfo.php?workbook=12_04.xlsx&amp;sheet=U0&amp;row=4285&amp;col=7&amp;number=0.0384&amp;sourceID=14","0.0384")</f>
        <v>0.0384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HYPERLINK("http://141.218.60.56/~jnz1568/getInfo.php?workbook=12_04.xlsx&amp;sheet=U0&amp;row=4286&amp;col=6&amp;number=3.2&amp;sourceID=14","3.2")</f>
        <v>3.2</v>
      </c>
      <c r="G4286" s="4" t="str">
        <f>HYPERLINK("http://141.218.60.56/~jnz1568/getInfo.php?workbook=12_04.xlsx&amp;sheet=U0&amp;row=4286&amp;col=7&amp;number=0.0384&amp;sourceID=14","0.0384")</f>
        <v>0.0384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HYPERLINK("http://141.218.60.56/~jnz1568/getInfo.php?workbook=12_04.xlsx&amp;sheet=U0&amp;row=4287&amp;col=6&amp;number=3.3&amp;sourceID=14","3.3")</f>
        <v>3.3</v>
      </c>
      <c r="G4287" s="4" t="str">
        <f>HYPERLINK("http://141.218.60.56/~jnz1568/getInfo.php?workbook=12_04.xlsx&amp;sheet=U0&amp;row=4287&amp;col=7&amp;number=0.0383&amp;sourceID=14","0.0383")</f>
        <v>0.0383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HYPERLINK("http://141.218.60.56/~jnz1568/getInfo.php?workbook=12_04.xlsx&amp;sheet=U0&amp;row=4288&amp;col=6&amp;number=3.4&amp;sourceID=14","3.4")</f>
        <v>3.4</v>
      </c>
      <c r="G4288" s="4" t="str">
        <f>HYPERLINK("http://141.218.60.56/~jnz1568/getInfo.php?workbook=12_04.xlsx&amp;sheet=U0&amp;row=4288&amp;col=7&amp;number=0.0382&amp;sourceID=14","0.0382")</f>
        <v>0.0382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HYPERLINK("http://141.218.60.56/~jnz1568/getInfo.php?workbook=12_04.xlsx&amp;sheet=U0&amp;row=4289&amp;col=6&amp;number=3.5&amp;sourceID=14","3.5")</f>
        <v>3.5</v>
      </c>
      <c r="G4289" s="4" t="str">
        <f>HYPERLINK("http://141.218.60.56/~jnz1568/getInfo.php?workbook=12_04.xlsx&amp;sheet=U0&amp;row=4289&amp;col=7&amp;number=0.038&amp;sourceID=14","0.038")</f>
        <v>0.038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HYPERLINK("http://141.218.60.56/~jnz1568/getInfo.php?workbook=12_04.xlsx&amp;sheet=U0&amp;row=4290&amp;col=6&amp;number=3.6&amp;sourceID=14","3.6")</f>
        <v>3.6</v>
      </c>
      <c r="G4290" s="4" t="str">
        <f>HYPERLINK("http://141.218.60.56/~jnz1568/getInfo.php?workbook=12_04.xlsx&amp;sheet=U0&amp;row=4290&amp;col=7&amp;number=0.0379&amp;sourceID=14","0.0379")</f>
        <v>0.0379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HYPERLINK("http://141.218.60.56/~jnz1568/getInfo.php?workbook=12_04.xlsx&amp;sheet=U0&amp;row=4291&amp;col=6&amp;number=3.7&amp;sourceID=14","3.7")</f>
        <v>3.7</v>
      </c>
      <c r="G4291" s="4" t="str">
        <f>HYPERLINK("http://141.218.60.56/~jnz1568/getInfo.php?workbook=12_04.xlsx&amp;sheet=U0&amp;row=4291&amp;col=7&amp;number=0.0376&amp;sourceID=14","0.0376")</f>
        <v>0.0376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HYPERLINK("http://141.218.60.56/~jnz1568/getInfo.php?workbook=12_04.xlsx&amp;sheet=U0&amp;row=4292&amp;col=6&amp;number=3.8&amp;sourceID=14","3.8")</f>
        <v>3.8</v>
      </c>
      <c r="G4292" s="4" t="str">
        <f>HYPERLINK("http://141.218.60.56/~jnz1568/getInfo.php?workbook=12_04.xlsx&amp;sheet=U0&amp;row=4292&amp;col=7&amp;number=0.0374&amp;sourceID=14","0.0374")</f>
        <v>0.0374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HYPERLINK("http://141.218.60.56/~jnz1568/getInfo.php?workbook=12_04.xlsx&amp;sheet=U0&amp;row=4293&amp;col=6&amp;number=3.9&amp;sourceID=14","3.9")</f>
        <v>3.9</v>
      </c>
      <c r="G4293" s="4" t="str">
        <f>HYPERLINK("http://141.218.60.56/~jnz1568/getInfo.php?workbook=12_04.xlsx&amp;sheet=U0&amp;row=4293&amp;col=7&amp;number=0.037&amp;sourceID=14","0.037")</f>
        <v>0.037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HYPERLINK("http://141.218.60.56/~jnz1568/getInfo.php?workbook=12_04.xlsx&amp;sheet=U0&amp;row=4294&amp;col=6&amp;number=4&amp;sourceID=14","4")</f>
        <v>4</v>
      </c>
      <c r="G4294" s="4" t="str">
        <f>HYPERLINK("http://141.218.60.56/~jnz1568/getInfo.php?workbook=12_04.xlsx&amp;sheet=U0&amp;row=4294&amp;col=7&amp;number=0.0366&amp;sourceID=14","0.0366")</f>
        <v>0.0366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HYPERLINK("http://141.218.60.56/~jnz1568/getInfo.php?workbook=12_04.xlsx&amp;sheet=U0&amp;row=4295&amp;col=6&amp;number=4.1&amp;sourceID=14","4.1")</f>
        <v>4.1</v>
      </c>
      <c r="G4295" s="4" t="str">
        <f>HYPERLINK("http://141.218.60.56/~jnz1568/getInfo.php?workbook=12_04.xlsx&amp;sheet=U0&amp;row=4295&amp;col=7&amp;number=0.036&amp;sourceID=14","0.036")</f>
        <v>0.036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HYPERLINK("http://141.218.60.56/~jnz1568/getInfo.php?workbook=12_04.xlsx&amp;sheet=U0&amp;row=4296&amp;col=6&amp;number=4.2&amp;sourceID=14","4.2")</f>
        <v>4.2</v>
      </c>
      <c r="G4296" s="4" t="str">
        <f>HYPERLINK("http://141.218.60.56/~jnz1568/getInfo.php?workbook=12_04.xlsx&amp;sheet=U0&amp;row=4296&amp;col=7&amp;number=0.0353&amp;sourceID=14","0.0353")</f>
        <v>0.0353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HYPERLINK("http://141.218.60.56/~jnz1568/getInfo.php?workbook=12_04.xlsx&amp;sheet=U0&amp;row=4297&amp;col=6&amp;number=4.3&amp;sourceID=14","4.3")</f>
        <v>4.3</v>
      </c>
      <c r="G4297" s="4" t="str">
        <f>HYPERLINK("http://141.218.60.56/~jnz1568/getInfo.php?workbook=12_04.xlsx&amp;sheet=U0&amp;row=4297&amp;col=7&amp;number=0.0345&amp;sourceID=14","0.0345")</f>
        <v>0.0345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HYPERLINK("http://141.218.60.56/~jnz1568/getInfo.php?workbook=12_04.xlsx&amp;sheet=U0&amp;row=4298&amp;col=6&amp;number=4.4&amp;sourceID=14","4.4")</f>
        <v>4.4</v>
      </c>
      <c r="G4298" s="4" t="str">
        <f>HYPERLINK("http://141.218.60.56/~jnz1568/getInfo.php?workbook=12_04.xlsx&amp;sheet=U0&amp;row=4298&amp;col=7&amp;number=0.0334&amp;sourceID=14","0.0334")</f>
        <v>0.0334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HYPERLINK("http://141.218.60.56/~jnz1568/getInfo.php?workbook=12_04.xlsx&amp;sheet=U0&amp;row=4299&amp;col=6&amp;number=4.5&amp;sourceID=14","4.5")</f>
        <v>4.5</v>
      </c>
      <c r="G4299" s="4" t="str">
        <f>HYPERLINK("http://141.218.60.56/~jnz1568/getInfo.php?workbook=12_04.xlsx&amp;sheet=U0&amp;row=4299&amp;col=7&amp;number=0.0321&amp;sourceID=14","0.0321")</f>
        <v>0.0321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HYPERLINK("http://141.218.60.56/~jnz1568/getInfo.php?workbook=12_04.xlsx&amp;sheet=U0&amp;row=4300&amp;col=6&amp;number=4.6&amp;sourceID=14","4.6")</f>
        <v>4.6</v>
      </c>
      <c r="G4300" s="4" t="str">
        <f>HYPERLINK("http://141.218.60.56/~jnz1568/getInfo.php?workbook=12_04.xlsx&amp;sheet=U0&amp;row=4300&amp;col=7&amp;number=0.0305&amp;sourceID=14","0.0305")</f>
        <v>0.0305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HYPERLINK("http://141.218.60.56/~jnz1568/getInfo.php?workbook=12_04.xlsx&amp;sheet=U0&amp;row=4301&amp;col=6&amp;number=4.7&amp;sourceID=14","4.7")</f>
        <v>4.7</v>
      </c>
      <c r="G4301" s="4" t="str">
        <f>HYPERLINK("http://141.218.60.56/~jnz1568/getInfo.php?workbook=12_04.xlsx&amp;sheet=U0&amp;row=4301&amp;col=7&amp;number=0.0285&amp;sourceID=14","0.0285")</f>
        <v>0.0285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HYPERLINK("http://141.218.60.56/~jnz1568/getInfo.php?workbook=12_04.xlsx&amp;sheet=U0&amp;row=4302&amp;col=6&amp;number=4.8&amp;sourceID=14","4.8")</f>
        <v>4.8</v>
      </c>
      <c r="G4302" s="4" t="str">
        <f>HYPERLINK("http://141.218.60.56/~jnz1568/getInfo.php?workbook=12_04.xlsx&amp;sheet=U0&amp;row=4302&amp;col=7&amp;number=0.0262&amp;sourceID=14","0.0262")</f>
        <v>0.0262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HYPERLINK("http://141.218.60.56/~jnz1568/getInfo.php?workbook=12_04.xlsx&amp;sheet=U0&amp;row=4303&amp;col=6&amp;number=4.9&amp;sourceID=14","4.9")</f>
        <v>4.9</v>
      </c>
      <c r="G4303" s="4" t="str">
        <f>HYPERLINK("http://141.218.60.56/~jnz1568/getInfo.php?workbook=12_04.xlsx&amp;sheet=U0&amp;row=4303&amp;col=7&amp;number=0.0234&amp;sourceID=14","0.0234")</f>
        <v>0.0234</v>
      </c>
    </row>
    <row r="4304" spans="1:7">
      <c r="A4304" s="3">
        <v>12</v>
      </c>
      <c r="B4304" s="3">
        <v>4</v>
      </c>
      <c r="C4304" s="3">
        <v>3</v>
      </c>
      <c r="D4304" s="3">
        <v>26</v>
      </c>
      <c r="E4304" s="3">
        <v>1</v>
      </c>
      <c r="F4304" s="4" t="str">
        <f>HYPERLINK("http://141.218.60.56/~jnz1568/getInfo.php?workbook=12_04.xlsx&amp;sheet=U0&amp;row=4304&amp;col=6&amp;number=3&amp;sourceID=14","3")</f>
        <v>3</v>
      </c>
      <c r="G4304" s="4" t="str">
        <f>HYPERLINK("http://141.218.60.56/~jnz1568/getInfo.php?workbook=12_04.xlsx&amp;sheet=U0&amp;row=4304&amp;col=7&amp;number=0.0608&amp;sourceID=14","0.0608")</f>
        <v>0.0608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HYPERLINK("http://141.218.60.56/~jnz1568/getInfo.php?workbook=12_04.xlsx&amp;sheet=U0&amp;row=4305&amp;col=6&amp;number=3.1&amp;sourceID=14","3.1")</f>
        <v>3.1</v>
      </c>
      <c r="G4305" s="4" t="str">
        <f>HYPERLINK("http://141.218.60.56/~jnz1568/getInfo.php?workbook=12_04.xlsx&amp;sheet=U0&amp;row=4305&amp;col=7&amp;number=0.0607&amp;sourceID=14","0.0607")</f>
        <v>0.0607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HYPERLINK("http://141.218.60.56/~jnz1568/getInfo.php?workbook=12_04.xlsx&amp;sheet=U0&amp;row=4306&amp;col=6&amp;number=3.2&amp;sourceID=14","3.2")</f>
        <v>3.2</v>
      </c>
      <c r="G4306" s="4" t="str">
        <f>HYPERLINK("http://141.218.60.56/~jnz1568/getInfo.php?workbook=12_04.xlsx&amp;sheet=U0&amp;row=4306&amp;col=7&amp;number=0.0606&amp;sourceID=14","0.0606")</f>
        <v>0.0606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HYPERLINK("http://141.218.60.56/~jnz1568/getInfo.php?workbook=12_04.xlsx&amp;sheet=U0&amp;row=4307&amp;col=6&amp;number=3.3&amp;sourceID=14","3.3")</f>
        <v>3.3</v>
      </c>
      <c r="G4307" s="4" t="str">
        <f>HYPERLINK("http://141.218.60.56/~jnz1568/getInfo.php?workbook=12_04.xlsx&amp;sheet=U0&amp;row=4307&amp;col=7&amp;number=0.0604&amp;sourceID=14","0.0604")</f>
        <v>0.0604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HYPERLINK("http://141.218.60.56/~jnz1568/getInfo.php?workbook=12_04.xlsx&amp;sheet=U0&amp;row=4308&amp;col=6&amp;number=3.4&amp;sourceID=14","3.4")</f>
        <v>3.4</v>
      </c>
      <c r="G4308" s="4" t="str">
        <f>HYPERLINK("http://141.218.60.56/~jnz1568/getInfo.php?workbook=12_04.xlsx&amp;sheet=U0&amp;row=4308&amp;col=7&amp;number=0.0602&amp;sourceID=14","0.0602")</f>
        <v>0.0602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HYPERLINK("http://141.218.60.56/~jnz1568/getInfo.php?workbook=12_04.xlsx&amp;sheet=U0&amp;row=4309&amp;col=6&amp;number=3.5&amp;sourceID=14","3.5")</f>
        <v>3.5</v>
      </c>
      <c r="G4309" s="4" t="str">
        <f>HYPERLINK("http://141.218.60.56/~jnz1568/getInfo.php?workbook=12_04.xlsx&amp;sheet=U0&amp;row=4309&amp;col=7&amp;number=0.06&amp;sourceID=14","0.06")</f>
        <v>0.06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HYPERLINK("http://141.218.60.56/~jnz1568/getInfo.php?workbook=12_04.xlsx&amp;sheet=U0&amp;row=4310&amp;col=6&amp;number=3.6&amp;sourceID=14","3.6")</f>
        <v>3.6</v>
      </c>
      <c r="G4310" s="4" t="str">
        <f>HYPERLINK("http://141.218.60.56/~jnz1568/getInfo.php?workbook=12_04.xlsx&amp;sheet=U0&amp;row=4310&amp;col=7&amp;number=0.0597&amp;sourceID=14","0.0597")</f>
        <v>0.0597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HYPERLINK("http://141.218.60.56/~jnz1568/getInfo.php?workbook=12_04.xlsx&amp;sheet=U0&amp;row=4311&amp;col=6&amp;number=3.7&amp;sourceID=14","3.7")</f>
        <v>3.7</v>
      </c>
      <c r="G4311" s="4" t="str">
        <f>HYPERLINK("http://141.218.60.56/~jnz1568/getInfo.php?workbook=12_04.xlsx&amp;sheet=U0&amp;row=4311&amp;col=7&amp;number=0.0593&amp;sourceID=14","0.0593")</f>
        <v>0.0593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HYPERLINK("http://141.218.60.56/~jnz1568/getInfo.php?workbook=12_04.xlsx&amp;sheet=U0&amp;row=4312&amp;col=6&amp;number=3.8&amp;sourceID=14","3.8")</f>
        <v>3.8</v>
      </c>
      <c r="G4312" s="4" t="str">
        <f>HYPERLINK("http://141.218.60.56/~jnz1568/getInfo.php?workbook=12_04.xlsx&amp;sheet=U0&amp;row=4312&amp;col=7&amp;number=0.0588&amp;sourceID=14","0.0588")</f>
        <v>0.0588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HYPERLINK("http://141.218.60.56/~jnz1568/getInfo.php?workbook=12_04.xlsx&amp;sheet=U0&amp;row=4313&amp;col=6&amp;number=3.9&amp;sourceID=14","3.9")</f>
        <v>3.9</v>
      </c>
      <c r="G4313" s="4" t="str">
        <f>HYPERLINK("http://141.218.60.56/~jnz1568/getInfo.php?workbook=12_04.xlsx&amp;sheet=U0&amp;row=4313&amp;col=7&amp;number=0.0582&amp;sourceID=14","0.0582")</f>
        <v>0.0582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HYPERLINK("http://141.218.60.56/~jnz1568/getInfo.php?workbook=12_04.xlsx&amp;sheet=U0&amp;row=4314&amp;col=6&amp;number=4&amp;sourceID=14","4")</f>
        <v>4</v>
      </c>
      <c r="G4314" s="4" t="str">
        <f>HYPERLINK("http://141.218.60.56/~jnz1568/getInfo.php?workbook=12_04.xlsx&amp;sheet=U0&amp;row=4314&amp;col=7&amp;number=0.0574&amp;sourceID=14","0.0574")</f>
        <v>0.0574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HYPERLINK("http://141.218.60.56/~jnz1568/getInfo.php?workbook=12_04.xlsx&amp;sheet=U0&amp;row=4315&amp;col=6&amp;number=4.1&amp;sourceID=14","4.1")</f>
        <v>4.1</v>
      </c>
      <c r="G4315" s="4" t="str">
        <f>HYPERLINK("http://141.218.60.56/~jnz1568/getInfo.php?workbook=12_04.xlsx&amp;sheet=U0&amp;row=4315&amp;col=7&amp;number=0.0565&amp;sourceID=14","0.0565")</f>
        <v>0.0565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HYPERLINK("http://141.218.60.56/~jnz1568/getInfo.php?workbook=12_04.xlsx&amp;sheet=U0&amp;row=4316&amp;col=6&amp;number=4.2&amp;sourceID=14","4.2")</f>
        <v>4.2</v>
      </c>
      <c r="G4316" s="4" t="str">
        <f>HYPERLINK("http://141.218.60.56/~jnz1568/getInfo.php?workbook=12_04.xlsx&amp;sheet=U0&amp;row=4316&amp;col=7&amp;number=0.0553&amp;sourceID=14","0.0553")</f>
        <v>0.0553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HYPERLINK("http://141.218.60.56/~jnz1568/getInfo.php?workbook=12_04.xlsx&amp;sheet=U0&amp;row=4317&amp;col=6&amp;number=4.3&amp;sourceID=14","4.3")</f>
        <v>4.3</v>
      </c>
      <c r="G4317" s="4" t="str">
        <f>HYPERLINK("http://141.218.60.56/~jnz1568/getInfo.php?workbook=12_04.xlsx&amp;sheet=U0&amp;row=4317&amp;col=7&amp;number=0.0538&amp;sourceID=14","0.0538")</f>
        <v>0.0538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HYPERLINK("http://141.218.60.56/~jnz1568/getInfo.php?workbook=12_04.xlsx&amp;sheet=U0&amp;row=4318&amp;col=6&amp;number=4.4&amp;sourceID=14","4.4")</f>
        <v>4.4</v>
      </c>
      <c r="G4318" s="4" t="str">
        <f>HYPERLINK("http://141.218.60.56/~jnz1568/getInfo.php?workbook=12_04.xlsx&amp;sheet=U0&amp;row=4318&amp;col=7&amp;number=0.0519&amp;sourceID=14","0.0519")</f>
        <v>0.0519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HYPERLINK("http://141.218.60.56/~jnz1568/getInfo.php?workbook=12_04.xlsx&amp;sheet=U0&amp;row=4319&amp;col=6&amp;number=4.5&amp;sourceID=14","4.5")</f>
        <v>4.5</v>
      </c>
      <c r="G4319" s="4" t="str">
        <f>HYPERLINK("http://141.218.60.56/~jnz1568/getInfo.php?workbook=12_04.xlsx&amp;sheet=U0&amp;row=4319&amp;col=7&amp;number=0.0496&amp;sourceID=14","0.0496")</f>
        <v>0.0496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HYPERLINK("http://141.218.60.56/~jnz1568/getInfo.php?workbook=12_04.xlsx&amp;sheet=U0&amp;row=4320&amp;col=6&amp;number=4.6&amp;sourceID=14","4.6")</f>
        <v>4.6</v>
      </c>
      <c r="G4320" s="4" t="str">
        <f>HYPERLINK("http://141.218.60.56/~jnz1568/getInfo.php?workbook=12_04.xlsx&amp;sheet=U0&amp;row=4320&amp;col=7&amp;number=0.0468&amp;sourceID=14","0.0468")</f>
        <v>0.0468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HYPERLINK("http://141.218.60.56/~jnz1568/getInfo.php?workbook=12_04.xlsx&amp;sheet=U0&amp;row=4321&amp;col=6&amp;number=4.7&amp;sourceID=14","4.7")</f>
        <v>4.7</v>
      </c>
      <c r="G4321" s="4" t="str">
        <f>HYPERLINK("http://141.218.60.56/~jnz1568/getInfo.php?workbook=12_04.xlsx&amp;sheet=U0&amp;row=4321&amp;col=7&amp;number=0.0434&amp;sourceID=14","0.0434")</f>
        <v>0.0434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HYPERLINK("http://141.218.60.56/~jnz1568/getInfo.php?workbook=12_04.xlsx&amp;sheet=U0&amp;row=4322&amp;col=6&amp;number=4.8&amp;sourceID=14","4.8")</f>
        <v>4.8</v>
      </c>
      <c r="G4322" s="4" t="str">
        <f>HYPERLINK("http://141.218.60.56/~jnz1568/getInfo.php?workbook=12_04.xlsx&amp;sheet=U0&amp;row=4322&amp;col=7&amp;number=0.0393&amp;sourceID=14","0.0393")</f>
        <v>0.0393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HYPERLINK("http://141.218.60.56/~jnz1568/getInfo.php?workbook=12_04.xlsx&amp;sheet=U0&amp;row=4323&amp;col=6&amp;number=4.9&amp;sourceID=14","4.9")</f>
        <v>4.9</v>
      </c>
      <c r="G4323" s="4" t="str">
        <f>HYPERLINK("http://141.218.60.56/~jnz1568/getInfo.php?workbook=12_04.xlsx&amp;sheet=U0&amp;row=4323&amp;col=7&amp;number=0.0344&amp;sourceID=14","0.0344")</f>
        <v>0.0344</v>
      </c>
    </row>
    <row r="4324" spans="1:7">
      <c r="A4324" s="3">
        <v>12</v>
      </c>
      <c r="B4324" s="3">
        <v>4</v>
      </c>
      <c r="C4324" s="3">
        <v>3</v>
      </c>
      <c r="D4324" s="3">
        <v>27</v>
      </c>
      <c r="E4324" s="3">
        <v>1</v>
      </c>
      <c r="F4324" s="4" t="str">
        <f>HYPERLINK("http://141.218.60.56/~jnz1568/getInfo.php?workbook=12_04.xlsx&amp;sheet=U0&amp;row=4324&amp;col=6&amp;number=3&amp;sourceID=14","3")</f>
        <v>3</v>
      </c>
      <c r="G4324" s="4" t="str">
        <f>HYPERLINK("http://141.218.60.56/~jnz1568/getInfo.php?workbook=12_04.xlsx&amp;sheet=U0&amp;row=4324&amp;col=7&amp;number=0.139&amp;sourceID=14","0.139")</f>
        <v>0.139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HYPERLINK("http://141.218.60.56/~jnz1568/getInfo.php?workbook=12_04.xlsx&amp;sheet=U0&amp;row=4325&amp;col=6&amp;number=3.1&amp;sourceID=14","3.1")</f>
        <v>3.1</v>
      </c>
      <c r="G4325" s="4" t="str">
        <f>HYPERLINK("http://141.218.60.56/~jnz1568/getInfo.php?workbook=12_04.xlsx&amp;sheet=U0&amp;row=4325&amp;col=7&amp;number=0.139&amp;sourceID=14","0.139")</f>
        <v>0.139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HYPERLINK("http://141.218.60.56/~jnz1568/getInfo.php?workbook=12_04.xlsx&amp;sheet=U0&amp;row=4326&amp;col=6&amp;number=3.2&amp;sourceID=14","3.2")</f>
        <v>3.2</v>
      </c>
      <c r="G4326" s="4" t="str">
        <f>HYPERLINK("http://141.218.60.56/~jnz1568/getInfo.php?workbook=12_04.xlsx&amp;sheet=U0&amp;row=4326&amp;col=7&amp;number=0.138&amp;sourceID=14","0.138")</f>
        <v>0.138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HYPERLINK("http://141.218.60.56/~jnz1568/getInfo.php?workbook=12_04.xlsx&amp;sheet=U0&amp;row=4327&amp;col=6&amp;number=3.3&amp;sourceID=14","3.3")</f>
        <v>3.3</v>
      </c>
      <c r="G4327" s="4" t="str">
        <f>HYPERLINK("http://141.218.60.56/~jnz1568/getInfo.php?workbook=12_04.xlsx&amp;sheet=U0&amp;row=4327&amp;col=7&amp;number=0.138&amp;sourceID=14","0.138")</f>
        <v>0.138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HYPERLINK("http://141.218.60.56/~jnz1568/getInfo.php?workbook=12_04.xlsx&amp;sheet=U0&amp;row=4328&amp;col=6&amp;number=3.4&amp;sourceID=14","3.4")</f>
        <v>3.4</v>
      </c>
      <c r="G4328" s="4" t="str">
        <f>HYPERLINK("http://141.218.60.56/~jnz1568/getInfo.php?workbook=12_04.xlsx&amp;sheet=U0&amp;row=4328&amp;col=7&amp;number=0.138&amp;sourceID=14","0.138")</f>
        <v>0.138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HYPERLINK("http://141.218.60.56/~jnz1568/getInfo.php?workbook=12_04.xlsx&amp;sheet=U0&amp;row=4329&amp;col=6&amp;number=3.5&amp;sourceID=14","3.5")</f>
        <v>3.5</v>
      </c>
      <c r="G4329" s="4" t="str">
        <f>HYPERLINK("http://141.218.60.56/~jnz1568/getInfo.php?workbook=12_04.xlsx&amp;sheet=U0&amp;row=4329&amp;col=7&amp;number=0.137&amp;sourceID=14","0.137")</f>
        <v>0.137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HYPERLINK("http://141.218.60.56/~jnz1568/getInfo.php?workbook=12_04.xlsx&amp;sheet=U0&amp;row=4330&amp;col=6&amp;number=3.6&amp;sourceID=14","3.6")</f>
        <v>3.6</v>
      </c>
      <c r="G4330" s="4" t="str">
        <f>HYPERLINK("http://141.218.60.56/~jnz1568/getInfo.php?workbook=12_04.xlsx&amp;sheet=U0&amp;row=4330&amp;col=7&amp;number=0.136&amp;sourceID=14","0.136")</f>
        <v>0.136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HYPERLINK("http://141.218.60.56/~jnz1568/getInfo.php?workbook=12_04.xlsx&amp;sheet=U0&amp;row=4331&amp;col=6&amp;number=3.7&amp;sourceID=14","3.7")</f>
        <v>3.7</v>
      </c>
      <c r="G4331" s="4" t="str">
        <f>HYPERLINK("http://141.218.60.56/~jnz1568/getInfo.php?workbook=12_04.xlsx&amp;sheet=U0&amp;row=4331&amp;col=7&amp;number=0.135&amp;sourceID=14","0.135")</f>
        <v>0.135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HYPERLINK("http://141.218.60.56/~jnz1568/getInfo.php?workbook=12_04.xlsx&amp;sheet=U0&amp;row=4332&amp;col=6&amp;number=3.8&amp;sourceID=14","3.8")</f>
        <v>3.8</v>
      </c>
      <c r="G4332" s="4" t="str">
        <f>HYPERLINK("http://141.218.60.56/~jnz1568/getInfo.php?workbook=12_04.xlsx&amp;sheet=U0&amp;row=4332&amp;col=7&amp;number=0.134&amp;sourceID=14","0.134")</f>
        <v>0.134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HYPERLINK("http://141.218.60.56/~jnz1568/getInfo.php?workbook=12_04.xlsx&amp;sheet=U0&amp;row=4333&amp;col=6&amp;number=3.9&amp;sourceID=14","3.9")</f>
        <v>3.9</v>
      </c>
      <c r="G4333" s="4" t="str">
        <f>HYPERLINK("http://141.218.60.56/~jnz1568/getInfo.php?workbook=12_04.xlsx&amp;sheet=U0&amp;row=4333&amp;col=7&amp;number=0.133&amp;sourceID=14","0.133")</f>
        <v>0.133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HYPERLINK("http://141.218.60.56/~jnz1568/getInfo.php?workbook=12_04.xlsx&amp;sheet=U0&amp;row=4334&amp;col=6&amp;number=4&amp;sourceID=14","4")</f>
        <v>4</v>
      </c>
      <c r="G4334" s="4" t="str">
        <f>HYPERLINK("http://141.218.60.56/~jnz1568/getInfo.php?workbook=12_04.xlsx&amp;sheet=U0&amp;row=4334&amp;col=7&amp;number=0.131&amp;sourceID=14","0.131")</f>
        <v>0.131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HYPERLINK("http://141.218.60.56/~jnz1568/getInfo.php?workbook=12_04.xlsx&amp;sheet=U0&amp;row=4335&amp;col=6&amp;number=4.1&amp;sourceID=14","4.1")</f>
        <v>4.1</v>
      </c>
      <c r="G4335" s="4" t="str">
        <f>HYPERLINK("http://141.218.60.56/~jnz1568/getInfo.php?workbook=12_04.xlsx&amp;sheet=U0&amp;row=4335&amp;col=7&amp;number=0.129&amp;sourceID=14","0.129")</f>
        <v>0.129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HYPERLINK("http://141.218.60.56/~jnz1568/getInfo.php?workbook=12_04.xlsx&amp;sheet=U0&amp;row=4336&amp;col=6&amp;number=4.2&amp;sourceID=14","4.2")</f>
        <v>4.2</v>
      </c>
      <c r="G4336" s="4" t="str">
        <f>HYPERLINK("http://141.218.60.56/~jnz1568/getInfo.php?workbook=12_04.xlsx&amp;sheet=U0&amp;row=4336&amp;col=7&amp;number=0.126&amp;sourceID=14","0.126")</f>
        <v>0.126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HYPERLINK("http://141.218.60.56/~jnz1568/getInfo.php?workbook=12_04.xlsx&amp;sheet=U0&amp;row=4337&amp;col=6&amp;number=4.3&amp;sourceID=14","4.3")</f>
        <v>4.3</v>
      </c>
      <c r="G4337" s="4" t="str">
        <f>HYPERLINK("http://141.218.60.56/~jnz1568/getInfo.php?workbook=12_04.xlsx&amp;sheet=U0&amp;row=4337&amp;col=7&amp;number=0.122&amp;sourceID=14","0.122")</f>
        <v>0.122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HYPERLINK("http://141.218.60.56/~jnz1568/getInfo.php?workbook=12_04.xlsx&amp;sheet=U0&amp;row=4338&amp;col=6&amp;number=4.4&amp;sourceID=14","4.4")</f>
        <v>4.4</v>
      </c>
      <c r="G4338" s="4" t="str">
        <f>HYPERLINK("http://141.218.60.56/~jnz1568/getInfo.php?workbook=12_04.xlsx&amp;sheet=U0&amp;row=4338&amp;col=7&amp;number=0.118&amp;sourceID=14","0.118")</f>
        <v>0.118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HYPERLINK("http://141.218.60.56/~jnz1568/getInfo.php?workbook=12_04.xlsx&amp;sheet=U0&amp;row=4339&amp;col=6&amp;number=4.5&amp;sourceID=14","4.5")</f>
        <v>4.5</v>
      </c>
      <c r="G4339" s="4" t="str">
        <f>HYPERLINK("http://141.218.60.56/~jnz1568/getInfo.php?workbook=12_04.xlsx&amp;sheet=U0&amp;row=4339&amp;col=7&amp;number=0.112&amp;sourceID=14","0.112")</f>
        <v>0.112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HYPERLINK("http://141.218.60.56/~jnz1568/getInfo.php?workbook=12_04.xlsx&amp;sheet=U0&amp;row=4340&amp;col=6&amp;number=4.6&amp;sourceID=14","4.6")</f>
        <v>4.6</v>
      </c>
      <c r="G4340" s="4" t="str">
        <f>HYPERLINK("http://141.218.60.56/~jnz1568/getInfo.php?workbook=12_04.xlsx&amp;sheet=U0&amp;row=4340&amp;col=7&amp;number=0.106&amp;sourceID=14","0.106")</f>
        <v>0.106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HYPERLINK("http://141.218.60.56/~jnz1568/getInfo.php?workbook=12_04.xlsx&amp;sheet=U0&amp;row=4341&amp;col=6&amp;number=4.7&amp;sourceID=14","4.7")</f>
        <v>4.7</v>
      </c>
      <c r="G4341" s="4" t="str">
        <f>HYPERLINK("http://141.218.60.56/~jnz1568/getInfo.php?workbook=12_04.xlsx&amp;sheet=U0&amp;row=4341&amp;col=7&amp;number=0.0976&amp;sourceID=14","0.0976")</f>
        <v>0.0976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HYPERLINK("http://141.218.60.56/~jnz1568/getInfo.php?workbook=12_04.xlsx&amp;sheet=U0&amp;row=4342&amp;col=6&amp;number=4.8&amp;sourceID=14","4.8")</f>
        <v>4.8</v>
      </c>
      <c r="G4342" s="4" t="str">
        <f>HYPERLINK("http://141.218.60.56/~jnz1568/getInfo.php?workbook=12_04.xlsx&amp;sheet=U0&amp;row=4342&amp;col=7&amp;number=0.0878&amp;sourceID=14","0.0878")</f>
        <v>0.0878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HYPERLINK("http://141.218.60.56/~jnz1568/getInfo.php?workbook=12_04.xlsx&amp;sheet=U0&amp;row=4343&amp;col=6&amp;number=4.9&amp;sourceID=14","4.9")</f>
        <v>4.9</v>
      </c>
      <c r="G4343" s="4" t="str">
        <f>HYPERLINK("http://141.218.60.56/~jnz1568/getInfo.php?workbook=12_04.xlsx&amp;sheet=U0&amp;row=4343&amp;col=7&amp;number=0.0763&amp;sourceID=14","0.0763")</f>
        <v>0.0763</v>
      </c>
    </row>
    <row r="4344" spans="1:7">
      <c r="A4344" s="3">
        <v>12</v>
      </c>
      <c r="B4344" s="3">
        <v>4</v>
      </c>
      <c r="C4344" s="3">
        <v>3</v>
      </c>
      <c r="D4344" s="3">
        <v>28</v>
      </c>
      <c r="E4344" s="3">
        <v>1</v>
      </c>
      <c r="F4344" s="4" t="str">
        <f>HYPERLINK("http://141.218.60.56/~jnz1568/getInfo.php?workbook=12_04.xlsx&amp;sheet=U0&amp;row=4344&amp;col=6&amp;number=3&amp;sourceID=14","3")</f>
        <v>3</v>
      </c>
      <c r="G4344" s="4" t="str">
        <f>HYPERLINK("http://141.218.60.56/~jnz1568/getInfo.php?workbook=12_04.xlsx&amp;sheet=U0&amp;row=4344&amp;col=7&amp;number=0.0618&amp;sourceID=14","0.0618")</f>
        <v>0.0618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HYPERLINK("http://141.218.60.56/~jnz1568/getInfo.php?workbook=12_04.xlsx&amp;sheet=U0&amp;row=4345&amp;col=6&amp;number=3.1&amp;sourceID=14","3.1")</f>
        <v>3.1</v>
      </c>
      <c r="G4345" s="4" t="str">
        <f>HYPERLINK("http://141.218.60.56/~jnz1568/getInfo.php?workbook=12_04.xlsx&amp;sheet=U0&amp;row=4345&amp;col=7&amp;number=0.0616&amp;sourceID=14","0.0616")</f>
        <v>0.0616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HYPERLINK("http://141.218.60.56/~jnz1568/getInfo.php?workbook=12_04.xlsx&amp;sheet=U0&amp;row=4346&amp;col=6&amp;number=3.2&amp;sourceID=14","3.2")</f>
        <v>3.2</v>
      </c>
      <c r="G4346" s="4" t="str">
        <f>HYPERLINK("http://141.218.60.56/~jnz1568/getInfo.php?workbook=12_04.xlsx&amp;sheet=U0&amp;row=4346&amp;col=7&amp;number=0.0614&amp;sourceID=14","0.0614")</f>
        <v>0.0614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HYPERLINK("http://141.218.60.56/~jnz1568/getInfo.php?workbook=12_04.xlsx&amp;sheet=U0&amp;row=4347&amp;col=6&amp;number=3.3&amp;sourceID=14","3.3")</f>
        <v>3.3</v>
      </c>
      <c r="G4347" s="4" t="str">
        <f>HYPERLINK("http://141.218.60.56/~jnz1568/getInfo.php?workbook=12_04.xlsx&amp;sheet=U0&amp;row=4347&amp;col=7&amp;number=0.0612&amp;sourceID=14","0.0612")</f>
        <v>0.0612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HYPERLINK("http://141.218.60.56/~jnz1568/getInfo.php?workbook=12_04.xlsx&amp;sheet=U0&amp;row=4348&amp;col=6&amp;number=3.4&amp;sourceID=14","3.4")</f>
        <v>3.4</v>
      </c>
      <c r="G4348" s="4" t="str">
        <f>HYPERLINK("http://141.218.60.56/~jnz1568/getInfo.php?workbook=12_04.xlsx&amp;sheet=U0&amp;row=4348&amp;col=7&amp;number=0.0609&amp;sourceID=14","0.0609")</f>
        <v>0.0609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HYPERLINK("http://141.218.60.56/~jnz1568/getInfo.php?workbook=12_04.xlsx&amp;sheet=U0&amp;row=4349&amp;col=6&amp;number=3.5&amp;sourceID=14","3.5")</f>
        <v>3.5</v>
      </c>
      <c r="G4349" s="4" t="str">
        <f>HYPERLINK("http://141.218.60.56/~jnz1568/getInfo.php?workbook=12_04.xlsx&amp;sheet=U0&amp;row=4349&amp;col=7&amp;number=0.0605&amp;sourceID=14","0.0605")</f>
        <v>0.0605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HYPERLINK("http://141.218.60.56/~jnz1568/getInfo.php?workbook=12_04.xlsx&amp;sheet=U0&amp;row=4350&amp;col=6&amp;number=3.6&amp;sourceID=14","3.6")</f>
        <v>3.6</v>
      </c>
      <c r="G4350" s="4" t="str">
        <f>HYPERLINK("http://141.218.60.56/~jnz1568/getInfo.php?workbook=12_04.xlsx&amp;sheet=U0&amp;row=4350&amp;col=7&amp;number=0.06&amp;sourceID=14","0.06")</f>
        <v>0.06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HYPERLINK("http://141.218.60.56/~jnz1568/getInfo.php?workbook=12_04.xlsx&amp;sheet=U0&amp;row=4351&amp;col=6&amp;number=3.7&amp;sourceID=14","3.7")</f>
        <v>3.7</v>
      </c>
      <c r="G4351" s="4" t="str">
        <f>HYPERLINK("http://141.218.60.56/~jnz1568/getInfo.php?workbook=12_04.xlsx&amp;sheet=U0&amp;row=4351&amp;col=7&amp;number=0.0594&amp;sourceID=14","0.0594")</f>
        <v>0.0594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HYPERLINK("http://141.218.60.56/~jnz1568/getInfo.php?workbook=12_04.xlsx&amp;sheet=U0&amp;row=4352&amp;col=6&amp;number=3.8&amp;sourceID=14","3.8")</f>
        <v>3.8</v>
      </c>
      <c r="G4352" s="4" t="str">
        <f>HYPERLINK("http://141.218.60.56/~jnz1568/getInfo.php?workbook=12_04.xlsx&amp;sheet=U0&amp;row=4352&amp;col=7&amp;number=0.0587&amp;sourceID=14","0.0587")</f>
        <v>0.0587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HYPERLINK("http://141.218.60.56/~jnz1568/getInfo.php?workbook=12_04.xlsx&amp;sheet=U0&amp;row=4353&amp;col=6&amp;number=3.9&amp;sourceID=14","3.9")</f>
        <v>3.9</v>
      </c>
      <c r="G4353" s="4" t="str">
        <f>HYPERLINK("http://141.218.60.56/~jnz1568/getInfo.php?workbook=12_04.xlsx&amp;sheet=U0&amp;row=4353&amp;col=7&amp;number=0.0577&amp;sourceID=14","0.0577")</f>
        <v>0.0577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HYPERLINK("http://141.218.60.56/~jnz1568/getInfo.php?workbook=12_04.xlsx&amp;sheet=U0&amp;row=4354&amp;col=6&amp;number=4&amp;sourceID=14","4")</f>
        <v>4</v>
      </c>
      <c r="G4354" s="4" t="str">
        <f>HYPERLINK("http://141.218.60.56/~jnz1568/getInfo.php?workbook=12_04.xlsx&amp;sheet=U0&amp;row=4354&amp;col=7&amp;number=0.0565&amp;sourceID=14","0.0565")</f>
        <v>0.0565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HYPERLINK("http://141.218.60.56/~jnz1568/getInfo.php?workbook=12_04.xlsx&amp;sheet=U0&amp;row=4355&amp;col=6&amp;number=4.1&amp;sourceID=14","4.1")</f>
        <v>4.1</v>
      </c>
      <c r="G4355" s="4" t="str">
        <f>HYPERLINK("http://141.218.60.56/~jnz1568/getInfo.php?workbook=12_04.xlsx&amp;sheet=U0&amp;row=4355&amp;col=7&amp;number=0.0551&amp;sourceID=14","0.0551")</f>
        <v>0.0551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HYPERLINK("http://141.218.60.56/~jnz1568/getInfo.php?workbook=12_04.xlsx&amp;sheet=U0&amp;row=4356&amp;col=6&amp;number=4.2&amp;sourceID=14","4.2")</f>
        <v>4.2</v>
      </c>
      <c r="G4356" s="4" t="str">
        <f>HYPERLINK("http://141.218.60.56/~jnz1568/getInfo.php?workbook=12_04.xlsx&amp;sheet=U0&amp;row=4356&amp;col=7&amp;number=0.0532&amp;sourceID=14","0.0532")</f>
        <v>0.0532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HYPERLINK("http://141.218.60.56/~jnz1568/getInfo.php?workbook=12_04.xlsx&amp;sheet=U0&amp;row=4357&amp;col=6&amp;number=4.3&amp;sourceID=14","4.3")</f>
        <v>4.3</v>
      </c>
      <c r="G4357" s="4" t="str">
        <f>HYPERLINK("http://141.218.60.56/~jnz1568/getInfo.php?workbook=12_04.xlsx&amp;sheet=U0&amp;row=4357&amp;col=7&amp;number=0.051&amp;sourceID=14","0.051")</f>
        <v>0.051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HYPERLINK("http://141.218.60.56/~jnz1568/getInfo.php?workbook=12_04.xlsx&amp;sheet=U0&amp;row=4358&amp;col=6&amp;number=4.4&amp;sourceID=14","4.4")</f>
        <v>4.4</v>
      </c>
      <c r="G4358" s="4" t="str">
        <f>HYPERLINK("http://141.218.60.56/~jnz1568/getInfo.php?workbook=12_04.xlsx&amp;sheet=U0&amp;row=4358&amp;col=7&amp;number=0.0482&amp;sourceID=14","0.0482")</f>
        <v>0.0482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HYPERLINK("http://141.218.60.56/~jnz1568/getInfo.php?workbook=12_04.xlsx&amp;sheet=U0&amp;row=4359&amp;col=6&amp;number=4.5&amp;sourceID=14","4.5")</f>
        <v>4.5</v>
      </c>
      <c r="G4359" s="4" t="str">
        <f>HYPERLINK("http://141.218.60.56/~jnz1568/getInfo.php?workbook=12_04.xlsx&amp;sheet=U0&amp;row=4359&amp;col=7&amp;number=0.0449&amp;sourceID=14","0.0449")</f>
        <v>0.0449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HYPERLINK("http://141.218.60.56/~jnz1568/getInfo.php?workbook=12_04.xlsx&amp;sheet=U0&amp;row=4360&amp;col=6&amp;number=4.6&amp;sourceID=14","4.6")</f>
        <v>4.6</v>
      </c>
      <c r="G4360" s="4" t="str">
        <f>HYPERLINK("http://141.218.60.56/~jnz1568/getInfo.php?workbook=12_04.xlsx&amp;sheet=U0&amp;row=4360&amp;col=7&amp;number=0.0409&amp;sourceID=14","0.0409")</f>
        <v>0.0409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HYPERLINK("http://141.218.60.56/~jnz1568/getInfo.php?workbook=12_04.xlsx&amp;sheet=U0&amp;row=4361&amp;col=6&amp;number=4.7&amp;sourceID=14","4.7")</f>
        <v>4.7</v>
      </c>
      <c r="G4361" s="4" t="str">
        <f>HYPERLINK("http://141.218.60.56/~jnz1568/getInfo.php?workbook=12_04.xlsx&amp;sheet=U0&amp;row=4361&amp;col=7&amp;number=0.0363&amp;sourceID=14","0.0363")</f>
        <v>0.0363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HYPERLINK("http://141.218.60.56/~jnz1568/getInfo.php?workbook=12_04.xlsx&amp;sheet=U0&amp;row=4362&amp;col=6&amp;number=4.8&amp;sourceID=14","4.8")</f>
        <v>4.8</v>
      </c>
      <c r="G4362" s="4" t="str">
        <f>HYPERLINK("http://141.218.60.56/~jnz1568/getInfo.php?workbook=12_04.xlsx&amp;sheet=U0&amp;row=4362&amp;col=7&amp;number=0.0311&amp;sourceID=14","0.0311")</f>
        <v>0.0311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HYPERLINK("http://141.218.60.56/~jnz1568/getInfo.php?workbook=12_04.xlsx&amp;sheet=U0&amp;row=4363&amp;col=6&amp;number=4.9&amp;sourceID=14","4.9")</f>
        <v>4.9</v>
      </c>
      <c r="G4363" s="4" t="str">
        <f>HYPERLINK("http://141.218.60.56/~jnz1568/getInfo.php?workbook=12_04.xlsx&amp;sheet=U0&amp;row=4363&amp;col=7&amp;number=0.0258&amp;sourceID=14","0.0258")</f>
        <v>0.0258</v>
      </c>
    </row>
    <row r="4364" spans="1:7">
      <c r="A4364" s="3">
        <v>12</v>
      </c>
      <c r="B4364" s="3">
        <v>4</v>
      </c>
      <c r="C4364" s="3">
        <v>3</v>
      </c>
      <c r="D4364" s="3">
        <v>29</v>
      </c>
      <c r="E4364" s="3">
        <v>1</v>
      </c>
      <c r="F4364" s="4" t="str">
        <f>HYPERLINK("http://141.218.60.56/~jnz1568/getInfo.php?workbook=12_04.xlsx&amp;sheet=U0&amp;row=4364&amp;col=6&amp;number=3&amp;sourceID=14","3")</f>
        <v>3</v>
      </c>
      <c r="G4364" s="4" t="str">
        <f>HYPERLINK("http://141.218.60.56/~jnz1568/getInfo.php?workbook=12_04.xlsx&amp;sheet=U0&amp;row=4364&amp;col=7&amp;number=0.0368&amp;sourceID=14","0.0368")</f>
        <v>0.0368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HYPERLINK("http://141.218.60.56/~jnz1568/getInfo.php?workbook=12_04.xlsx&amp;sheet=U0&amp;row=4365&amp;col=6&amp;number=3.1&amp;sourceID=14","3.1")</f>
        <v>3.1</v>
      </c>
      <c r="G4365" s="4" t="str">
        <f>HYPERLINK("http://141.218.60.56/~jnz1568/getInfo.php?workbook=12_04.xlsx&amp;sheet=U0&amp;row=4365&amp;col=7&amp;number=0.0368&amp;sourceID=14","0.0368")</f>
        <v>0.0368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HYPERLINK("http://141.218.60.56/~jnz1568/getInfo.php?workbook=12_04.xlsx&amp;sheet=U0&amp;row=4366&amp;col=6&amp;number=3.2&amp;sourceID=14","3.2")</f>
        <v>3.2</v>
      </c>
      <c r="G4366" s="4" t="str">
        <f>HYPERLINK("http://141.218.60.56/~jnz1568/getInfo.php?workbook=12_04.xlsx&amp;sheet=U0&amp;row=4366&amp;col=7&amp;number=0.0367&amp;sourceID=14","0.0367")</f>
        <v>0.0367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HYPERLINK("http://141.218.60.56/~jnz1568/getInfo.php?workbook=12_04.xlsx&amp;sheet=U0&amp;row=4367&amp;col=6&amp;number=3.3&amp;sourceID=14","3.3")</f>
        <v>3.3</v>
      </c>
      <c r="G4367" s="4" t="str">
        <f>HYPERLINK("http://141.218.60.56/~jnz1568/getInfo.php?workbook=12_04.xlsx&amp;sheet=U0&amp;row=4367&amp;col=7&amp;number=0.0366&amp;sourceID=14","0.0366")</f>
        <v>0.0366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HYPERLINK("http://141.218.60.56/~jnz1568/getInfo.php?workbook=12_04.xlsx&amp;sheet=U0&amp;row=4368&amp;col=6&amp;number=3.4&amp;sourceID=14","3.4")</f>
        <v>3.4</v>
      </c>
      <c r="G4368" s="4" t="str">
        <f>HYPERLINK("http://141.218.60.56/~jnz1568/getInfo.php?workbook=12_04.xlsx&amp;sheet=U0&amp;row=4368&amp;col=7&amp;number=0.0365&amp;sourceID=14","0.0365")</f>
        <v>0.0365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HYPERLINK("http://141.218.60.56/~jnz1568/getInfo.php?workbook=12_04.xlsx&amp;sheet=U0&amp;row=4369&amp;col=6&amp;number=3.5&amp;sourceID=14","3.5")</f>
        <v>3.5</v>
      </c>
      <c r="G4369" s="4" t="str">
        <f>HYPERLINK("http://141.218.60.56/~jnz1568/getInfo.php?workbook=12_04.xlsx&amp;sheet=U0&amp;row=4369&amp;col=7&amp;number=0.0364&amp;sourceID=14","0.0364")</f>
        <v>0.0364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HYPERLINK("http://141.218.60.56/~jnz1568/getInfo.php?workbook=12_04.xlsx&amp;sheet=U0&amp;row=4370&amp;col=6&amp;number=3.6&amp;sourceID=14","3.6")</f>
        <v>3.6</v>
      </c>
      <c r="G4370" s="4" t="str">
        <f>HYPERLINK("http://141.218.60.56/~jnz1568/getInfo.php?workbook=12_04.xlsx&amp;sheet=U0&amp;row=4370&amp;col=7&amp;number=0.0363&amp;sourceID=14","0.0363")</f>
        <v>0.0363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HYPERLINK("http://141.218.60.56/~jnz1568/getInfo.php?workbook=12_04.xlsx&amp;sheet=U0&amp;row=4371&amp;col=6&amp;number=3.7&amp;sourceID=14","3.7")</f>
        <v>3.7</v>
      </c>
      <c r="G4371" s="4" t="str">
        <f>HYPERLINK("http://141.218.60.56/~jnz1568/getInfo.php?workbook=12_04.xlsx&amp;sheet=U0&amp;row=4371&amp;col=7&amp;number=0.0361&amp;sourceID=14","0.0361")</f>
        <v>0.0361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HYPERLINK("http://141.218.60.56/~jnz1568/getInfo.php?workbook=12_04.xlsx&amp;sheet=U0&amp;row=4372&amp;col=6&amp;number=3.8&amp;sourceID=14","3.8")</f>
        <v>3.8</v>
      </c>
      <c r="G4372" s="4" t="str">
        <f>HYPERLINK("http://141.218.60.56/~jnz1568/getInfo.php?workbook=12_04.xlsx&amp;sheet=U0&amp;row=4372&amp;col=7&amp;number=0.0358&amp;sourceID=14","0.0358")</f>
        <v>0.0358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HYPERLINK("http://141.218.60.56/~jnz1568/getInfo.php?workbook=12_04.xlsx&amp;sheet=U0&amp;row=4373&amp;col=6&amp;number=3.9&amp;sourceID=14","3.9")</f>
        <v>3.9</v>
      </c>
      <c r="G4373" s="4" t="str">
        <f>HYPERLINK("http://141.218.60.56/~jnz1568/getInfo.php?workbook=12_04.xlsx&amp;sheet=U0&amp;row=4373&amp;col=7&amp;number=0.0355&amp;sourceID=14","0.0355")</f>
        <v>0.0355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HYPERLINK("http://141.218.60.56/~jnz1568/getInfo.php?workbook=12_04.xlsx&amp;sheet=U0&amp;row=4374&amp;col=6&amp;number=4&amp;sourceID=14","4")</f>
        <v>4</v>
      </c>
      <c r="G4374" s="4" t="str">
        <f>HYPERLINK("http://141.218.60.56/~jnz1568/getInfo.php?workbook=12_04.xlsx&amp;sheet=U0&amp;row=4374&amp;col=7&amp;number=0.0352&amp;sourceID=14","0.0352")</f>
        <v>0.0352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HYPERLINK("http://141.218.60.56/~jnz1568/getInfo.php?workbook=12_04.xlsx&amp;sheet=U0&amp;row=4375&amp;col=6&amp;number=4.1&amp;sourceID=14","4.1")</f>
        <v>4.1</v>
      </c>
      <c r="G4375" s="4" t="str">
        <f>HYPERLINK("http://141.218.60.56/~jnz1568/getInfo.php?workbook=12_04.xlsx&amp;sheet=U0&amp;row=4375&amp;col=7&amp;number=0.0347&amp;sourceID=14","0.0347")</f>
        <v>0.0347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HYPERLINK("http://141.218.60.56/~jnz1568/getInfo.php?workbook=12_04.xlsx&amp;sheet=U0&amp;row=4376&amp;col=6&amp;number=4.2&amp;sourceID=14","4.2")</f>
        <v>4.2</v>
      </c>
      <c r="G4376" s="4" t="str">
        <f>HYPERLINK("http://141.218.60.56/~jnz1568/getInfo.php?workbook=12_04.xlsx&amp;sheet=U0&amp;row=4376&amp;col=7&amp;number=0.0341&amp;sourceID=14","0.0341")</f>
        <v>0.0341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HYPERLINK("http://141.218.60.56/~jnz1568/getInfo.php?workbook=12_04.xlsx&amp;sheet=U0&amp;row=4377&amp;col=6&amp;number=4.3&amp;sourceID=14","4.3")</f>
        <v>4.3</v>
      </c>
      <c r="G4377" s="4" t="str">
        <f>HYPERLINK("http://141.218.60.56/~jnz1568/getInfo.php?workbook=12_04.xlsx&amp;sheet=U0&amp;row=4377&amp;col=7&amp;number=0.0334&amp;sourceID=14","0.0334")</f>
        <v>0.0334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HYPERLINK("http://141.218.60.56/~jnz1568/getInfo.php?workbook=12_04.xlsx&amp;sheet=U0&amp;row=4378&amp;col=6&amp;number=4.4&amp;sourceID=14","4.4")</f>
        <v>4.4</v>
      </c>
      <c r="G4378" s="4" t="str">
        <f>HYPERLINK("http://141.218.60.56/~jnz1568/getInfo.php?workbook=12_04.xlsx&amp;sheet=U0&amp;row=4378&amp;col=7&amp;number=0.0325&amp;sourceID=14","0.0325")</f>
        <v>0.0325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HYPERLINK("http://141.218.60.56/~jnz1568/getInfo.php?workbook=12_04.xlsx&amp;sheet=U0&amp;row=4379&amp;col=6&amp;number=4.5&amp;sourceID=14","4.5")</f>
        <v>4.5</v>
      </c>
      <c r="G4379" s="4" t="str">
        <f>HYPERLINK("http://141.218.60.56/~jnz1568/getInfo.php?workbook=12_04.xlsx&amp;sheet=U0&amp;row=4379&amp;col=7&amp;number=0.0314&amp;sourceID=14","0.0314")</f>
        <v>0.0314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HYPERLINK("http://141.218.60.56/~jnz1568/getInfo.php?workbook=12_04.xlsx&amp;sheet=U0&amp;row=4380&amp;col=6&amp;number=4.6&amp;sourceID=14","4.6")</f>
        <v>4.6</v>
      </c>
      <c r="G4380" s="4" t="str">
        <f>HYPERLINK("http://141.218.60.56/~jnz1568/getInfo.php?workbook=12_04.xlsx&amp;sheet=U0&amp;row=4380&amp;col=7&amp;number=0.03&amp;sourceID=14","0.03")</f>
        <v>0.03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HYPERLINK("http://141.218.60.56/~jnz1568/getInfo.php?workbook=12_04.xlsx&amp;sheet=U0&amp;row=4381&amp;col=6&amp;number=4.7&amp;sourceID=14","4.7")</f>
        <v>4.7</v>
      </c>
      <c r="G4381" s="4" t="str">
        <f>HYPERLINK("http://141.218.60.56/~jnz1568/getInfo.php?workbook=12_04.xlsx&amp;sheet=U0&amp;row=4381&amp;col=7&amp;number=0.0283&amp;sourceID=14","0.0283")</f>
        <v>0.0283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HYPERLINK("http://141.218.60.56/~jnz1568/getInfo.php?workbook=12_04.xlsx&amp;sheet=U0&amp;row=4382&amp;col=6&amp;number=4.8&amp;sourceID=14","4.8")</f>
        <v>4.8</v>
      </c>
      <c r="G4382" s="4" t="str">
        <f>HYPERLINK("http://141.218.60.56/~jnz1568/getInfo.php?workbook=12_04.xlsx&amp;sheet=U0&amp;row=4382&amp;col=7&amp;number=0.0263&amp;sourceID=14","0.0263")</f>
        <v>0.0263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HYPERLINK("http://141.218.60.56/~jnz1568/getInfo.php?workbook=12_04.xlsx&amp;sheet=U0&amp;row=4383&amp;col=6&amp;number=4.9&amp;sourceID=14","4.9")</f>
        <v>4.9</v>
      </c>
      <c r="G4383" s="4" t="str">
        <f>HYPERLINK("http://141.218.60.56/~jnz1568/getInfo.php?workbook=12_04.xlsx&amp;sheet=U0&amp;row=4383&amp;col=7&amp;number=0.0239&amp;sourceID=14","0.0239")</f>
        <v>0.0239</v>
      </c>
    </row>
    <row r="4384" spans="1:7">
      <c r="A4384" s="3">
        <v>12</v>
      </c>
      <c r="B4384" s="3">
        <v>4</v>
      </c>
      <c r="C4384" s="3">
        <v>3</v>
      </c>
      <c r="D4384" s="3">
        <v>30</v>
      </c>
      <c r="E4384" s="3">
        <v>1</v>
      </c>
      <c r="F4384" s="4" t="str">
        <f>HYPERLINK("http://141.218.60.56/~jnz1568/getInfo.php?workbook=12_04.xlsx&amp;sheet=U0&amp;row=4384&amp;col=6&amp;number=3&amp;sourceID=14","3")</f>
        <v>3</v>
      </c>
      <c r="G4384" s="4" t="str">
        <f>HYPERLINK("http://141.218.60.56/~jnz1568/getInfo.php?workbook=12_04.xlsx&amp;sheet=U0&amp;row=4384&amp;col=7&amp;number=0.0125&amp;sourceID=14","0.0125")</f>
        <v>0.0125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HYPERLINK("http://141.218.60.56/~jnz1568/getInfo.php?workbook=12_04.xlsx&amp;sheet=U0&amp;row=4385&amp;col=6&amp;number=3.1&amp;sourceID=14","3.1")</f>
        <v>3.1</v>
      </c>
      <c r="G4385" s="4" t="str">
        <f>HYPERLINK("http://141.218.60.56/~jnz1568/getInfo.php?workbook=12_04.xlsx&amp;sheet=U0&amp;row=4385&amp;col=7&amp;number=0.0125&amp;sourceID=14","0.0125")</f>
        <v>0.0125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HYPERLINK("http://141.218.60.56/~jnz1568/getInfo.php?workbook=12_04.xlsx&amp;sheet=U0&amp;row=4386&amp;col=6&amp;number=3.2&amp;sourceID=14","3.2")</f>
        <v>3.2</v>
      </c>
      <c r="G4386" s="4" t="str">
        <f>HYPERLINK("http://141.218.60.56/~jnz1568/getInfo.php?workbook=12_04.xlsx&amp;sheet=U0&amp;row=4386&amp;col=7&amp;number=0.0125&amp;sourceID=14","0.0125")</f>
        <v>0.0125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HYPERLINK("http://141.218.60.56/~jnz1568/getInfo.php?workbook=12_04.xlsx&amp;sheet=U0&amp;row=4387&amp;col=6&amp;number=3.3&amp;sourceID=14","3.3")</f>
        <v>3.3</v>
      </c>
      <c r="G4387" s="4" t="str">
        <f>HYPERLINK("http://141.218.60.56/~jnz1568/getInfo.php?workbook=12_04.xlsx&amp;sheet=U0&amp;row=4387&amp;col=7&amp;number=0.0125&amp;sourceID=14","0.0125")</f>
        <v>0.0125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HYPERLINK("http://141.218.60.56/~jnz1568/getInfo.php?workbook=12_04.xlsx&amp;sheet=U0&amp;row=4388&amp;col=6&amp;number=3.4&amp;sourceID=14","3.4")</f>
        <v>3.4</v>
      </c>
      <c r="G4388" s="4" t="str">
        <f>HYPERLINK("http://141.218.60.56/~jnz1568/getInfo.php?workbook=12_04.xlsx&amp;sheet=U0&amp;row=4388&amp;col=7&amp;number=0.0125&amp;sourceID=14","0.0125")</f>
        <v>0.0125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HYPERLINK("http://141.218.60.56/~jnz1568/getInfo.php?workbook=12_04.xlsx&amp;sheet=U0&amp;row=4389&amp;col=6&amp;number=3.5&amp;sourceID=14","3.5")</f>
        <v>3.5</v>
      </c>
      <c r="G4389" s="4" t="str">
        <f>HYPERLINK("http://141.218.60.56/~jnz1568/getInfo.php?workbook=12_04.xlsx&amp;sheet=U0&amp;row=4389&amp;col=7&amp;number=0.0124&amp;sourceID=14","0.0124")</f>
        <v>0.0124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HYPERLINK("http://141.218.60.56/~jnz1568/getInfo.php?workbook=12_04.xlsx&amp;sheet=U0&amp;row=4390&amp;col=6&amp;number=3.6&amp;sourceID=14","3.6")</f>
        <v>3.6</v>
      </c>
      <c r="G4390" s="4" t="str">
        <f>HYPERLINK("http://141.218.60.56/~jnz1568/getInfo.php?workbook=12_04.xlsx&amp;sheet=U0&amp;row=4390&amp;col=7&amp;number=0.0124&amp;sourceID=14","0.0124")</f>
        <v>0.0124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HYPERLINK("http://141.218.60.56/~jnz1568/getInfo.php?workbook=12_04.xlsx&amp;sheet=U0&amp;row=4391&amp;col=6&amp;number=3.7&amp;sourceID=14","3.7")</f>
        <v>3.7</v>
      </c>
      <c r="G4391" s="4" t="str">
        <f>HYPERLINK("http://141.218.60.56/~jnz1568/getInfo.php?workbook=12_04.xlsx&amp;sheet=U0&amp;row=4391&amp;col=7&amp;number=0.0123&amp;sourceID=14","0.0123")</f>
        <v>0.0123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HYPERLINK("http://141.218.60.56/~jnz1568/getInfo.php?workbook=12_04.xlsx&amp;sheet=U0&amp;row=4392&amp;col=6&amp;number=3.8&amp;sourceID=14","3.8")</f>
        <v>3.8</v>
      </c>
      <c r="G4392" s="4" t="str">
        <f>HYPERLINK("http://141.218.60.56/~jnz1568/getInfo.php?workbook=12_04.xlsx&amp;sheet=U0&amp;row=4392&amp;col=7&amp;number=0.0123&amp;sourceID=14","0.0123")</f>
        <v>0.0123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HYPERLINK("http://141.218.60.56/~jnz1568/getInfo.php?workbook=12_04.xlsx&amp;sheet=U0&amp;row=4393&amp;col=6&amp;number=3.9&amp;sourceID=14","3.9")</f>
        <v>3.9</v>
      </c>
      <c r="G4393" s="4" t="str">
        <f>HYPERLINK("http://141.218.60.56/~jnz1568/getInfo.php?workbook=12_04.xlsx&amp;sheet=U0&amp;row=4393&amp;col=7&amp;number=0.0122&amp;sourceID=14","0.0122")</f>
        <v>0.0122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HYPERLINK("http://141.218.60.56/~jnz1568/getInfo.php?workbook=12_04.xlsx&amp;sheet=U0&amp;row=4394&amp;col=6&amp;number=4&amp;sourceID=14","4")</f>
        <v>4</v>
      </c>
      <c r="G4394" s="4" t="str">
        <f>HYPERLINK("http://141.218.60.56/~jnz1568/getInfo.php?workbook=12_04.xlsx&amp;sheet=U0&amp;row=4394&amp;col=7&amp;number=0.0121&amp;sourceID=14","0.0121")</f>
        <v>0.0121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HYPERLINK("http://141.218.60.56/~jnz1568/getInfo.php?workbook=12_04.xlsx&amp;sheet=U0&amp;row=4395&amp;col=6&amp;number=4.1&amp;sourceID=14","4.1")</f>
        <v>4.1</v>
      </c>
      <c r="G4395" s="4" t="str">
        <f>HYPERLINK("http://141.218.60.56/~jnz1568/getInfo.php?workbook=12_04.xlsx&amp;sheet=U0&amp;row=4395&amp;col=7&amp;number=0.012&amp;sourceID=14","0.012")</f>
        <v>0.012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HYPERLINK("http://141.218.60.56/~jnz1568/getInfo.php?workbook=12_04.xlsx&amp;sheet=U0&amp;row=4396&amp;col=6&amp;number=4.2&amp;sourceID=14","4.2")</f>
        <v>4.2</v>
      </c>
      <c r="G4396" s="4" t="str">
        <f>HYPERLINK("http://141.218.60.56/~jnz1568/getInfo.php?workbook=12_04.xlsx&amp;sheet=U0&amp;row=4396&amp;col=7&amp;number=0.0118&amp;sourceID=14","0.0118")</f>
        <v>0.0118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HYPERLINK("http://141.218.60.56/~jnz1568/getInfo.php?workbook=12_04.xlsx&amp;sheet=U0&amp;row=4397&amp;col=6&amp;number=4.3&amp;sourceID=14","4.3")</f>
        <v>4.3</v>
      </c>
      <c r="G4397" s="4" t="str">
        <f>HYPERLINK("http://141.218.60.56/~jnz1568/getInfo.php?workbook=12_04.xlsx&amp;sheet=U0&amp;row=4397&amp;col=7&amp;number=0.0116&amp;sourceID=14","0.0116")</f>
        <v>0.0116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HYPERLINK("http://141.218.60.56/~jnz1568/getInfo.php?workbook=12_04.xlsx&amp;sheet=U0&amp;row=4398&amp;col=6&amp;number=4.4&amp;sourceID=14","4.4")</f>
        <v>4.4</v>
      </c>
      <c r="G4398" s="4" t="str">
        <f>HYPERLINK("http://141.218.60.56/~jnz1568/getInfo.php?workbook=12_04.xlsx&amp;sheet=U0&amp;row=4398&amp;col=7&amp;number=0.0114&amp;sourceID=14","0.0114")</f>
        <v>0.0114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HYPERLINK("http://141.218.60.56/~jnz1568/getInfo.php?workbook=12_04.xlsx&amp;sheet=U0&amp;row=4399&amp;col=6&amp;number=4.5&amp;sourceID=14","4.5")</f>
        <v>4.5</v>
      </c>
      <c r="G4399" s="4" t="str">
        <f>HYPERLINK("http://141.218.60.56/~jnz1568/getInfo.php?workbook=12_04.xlsx&amp;sheet=U0&amp;row=4399&amp;col=7&amp;number=0.0111&amp;sourceID=14","0.0111")</f>
        <v>0.0111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HYPERLINK("http://141.218.60.56/~jnz1568/getInfo.php?workbook=12_04.xlsx&amp;sheet=U0&amp;row=4400&amp;col=6&amp;number=4.6&amp;sourceID=14","4.6")</f>
        <v>4.6</v>
      </c>
      <c r="G4400" s="4" t="str">
        <f>HYPERLINK("http://141.218.60.56/~jnz1568/getInfo.php?workbook=12_04.xlsx&amp;sheet=U0&amp;row=4400&amp;col=7&amp;number=0.0108&amp;sourceID=14","0.0108")</f>
        <v>0.0108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HYPERLINK("http://141.218.60.56/~jnz1568/getInfo.php?workbook=12_04.xlsx&amp;sheet=U0&amp;row=4401&amp;col=6&amp;number=4.7&amp;sourceID=14","4.7")</f>
        <v>4.7</v>
      </c>
      <c r="G4401" s="4" t="str">
        <f>HYPERLINK("http://141.218.60.56/~jnz1568/getInfo.php?workbook=12_04.xlsx&amp;sheet=U0&amp;row=4401&amp;col=7&amp;number=0.0103&amp;sourceID=14","0.0103")</f>
        <v>0.0103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HYPERLINK("http://141.218.60.56/~jnz1568/getInfo.php?workbook=12_04.xlsx&amp;sheet=U0&amp;row=4402&amp;col=6&amp;number=4.8&amp;sourceID=14","4.8")</f>
        <v>4.8</v>
      </c>
      <c r="G4402" s="4" t="str">
        <f>HYPERLINK("http://141.218.60.56/~jnz1568/getInfo.php?workbook=12_04.xlsx&amp;sheet=U0&amp;row=4402&amp;col=7&amp;number=0.0098&amp;sourceID=14","0.0098")</f>
        <v>0.0098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HYPERLINK("http://141.218.60.56/~jnz1568/getInfo.php?workbook=12_04.xlsx&amp;sheet=U0&amp;row=4403&amp;col=6&amp;number=4.9&amp;sourceID=14","4.9")</f>
        <v>4.9</v>
      </c>
      <c r="G4403" s="4" t="str">
        <f>HYPERLINK("http://141.218.60.56/~jnz1568/getInfo.php?workbook=12_04.xlsx&amp;sheet=U0&amp;row=4403&amp;col=7&amp;number=0.00919&amp;sourceID=14","0.00919")</f>
        <v>0.00919</v>
      </c>
    </row>
    <row r="4404" spans="1:7">
      <c r="A4404" s="3">
        <v>12</v>
      </c>
      <c r="B4404" s="3">
        <v>4</v>
      </c>
      <c r="C4404" s="3">
        <v>3</v>
      </c>
      <c r="D4404" s="3">
        <v>31</v>
      </c>
      <c r="E4404" s="3">
        <v>1</v>
      </c>
      <c r="F4404" s="4" t="str">
        <f>HYPERLINK("http://141.218.60.56/~jnz1568/getInfo.php?workbook=12_04.xlsx&amp;sheet=U0&amp;row=4404&amp;col=6&amp;number=3&amp;sourceID=14","3")</f>
        <v>3</v>
      </c>
      <c r="G4404" s="4" t="str">
        <f>HYPERLINK("http://141.218.60.56/~jnz1568/getInfo.php?workbook=12_04.xlsx&amp;sheet=U0&amp;row=4404&amp;col=7&amp;number=0.0236&amp;sourceID=14","0.0236")</f>
        <v>0.0236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HYPERLINK("http://141.218.60.56/~jnz1568/getInfo.php?workbook=12_04.xlsx&amp;sheet=U0&amp;row=4405&amp;col=6&amp;number=3.1&amp;sourceID=14","3.1")</f>
        <v>3.1</v>
      </c>
      <c r="G4405" s="4" t="str">
        <f>HYPERLINK("http://141.218.60.56/~jnz1568/getInfo.php?workbook=12_04.xlsx&amp;sheet=U0&amp;row=4405&amp;col=7&amp;number=0.0235&amp;sourceID=14","0.0235")</f>
        <v>0.0235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HYPERLINK("http://141.218.60.56/~jnz1568/getInfo.php?workbook=12_04.xlsx&amp;sheet=U0&amp;row=4406&amp;col=6&amp;number=3.2&amp;sourceID=14","3.2")</f>
        <v>3.2</v>
      </c>
      <c r="G4406" s="4" t="str">
        <f>HYPERLINK("http://141.218.60.56/~jnz1568/getInfo.php?workbook=12_04.xlsx&amp;sheet=U0&amp;row=4406&amp;col=7&amp;number=0.0235&amp;sourceID=14","0.0235")</f>
        <v>0.0235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HYPERLINK("http://141.218.60.56/~jnz1568/getInfo.php?workbook=12_04.xlsx&amp;sheet=U0&amp;row=4407&amp;col=6&amp;number=3.3&amp;sourceID=14","3.3")</f>
        <v>3.3</v>
      </c>
      <c r="G4407" s="4" t="str">
        <f>HYPERLINK("http://141.218.60.56/~jnz1568/getInfo.php?workbook=12_04.xlsx&amp;sheet=U0&amp;row=4407&amp;col=7&amp;number=0.0234&amp;sourceID=14","0.0234")</f>
        <v>0.0234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HYPERLINK("http://141.218.60.56/~jnz1568/getInfo.php?workbook=12_04.xlsx&amp;sheet=U0&amp;row=4408&amp;col=6&amp;number=3.4&amp;sourceID=14","3.4")</f>
        <v>3.4</v>
      </c>
      <c r="G4408" s="4" t="str">
        <f>HYPERLINK("http://141.218.60.56/~jnz1568/getInfo.php?workbook=12_04.xlsx&amp;sheet=U0&amp;row=4408&amp;col=7&amp;number=0.0234&amp;sourceID=14","0.0234")</f>
        <v>0.0234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HYPERLINK("http://141.218.60.56/~jnz1568/getInfo.php?workbook=12_04.xlsx&amp;sheet=U0&amp;row=4409&amp;col=6&amp;number=3.5&amp;sourceID=14","3.5")</f>
        <v>3.5</v>
      </c>
      <c r="G4409" s="4" t="str">
        <f>HYPERLINK("http://141.218.60.56/~jnz1568/getInfo.php?workbook=12_04.xlsx&amp;sheet=U0&amp;row=4409&amp;col=7&amp;number=0.0233&amp;sourceID=14","0.0233")</f>
        <v>0.0233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HYPERLINK("http://141.218.60.56/~jnz1568/getInfo.php?workbook=12_04.xlsx&amp;sheet=U0&amp;row=4410&amp;col=6&amp;number=3.6&amp;sourceID=14","3.6")</f>
        <v>3.6</v>
      </c>
      <c r="G4410" s="4" t="str">
        <f>HYPERLINK("http://141.218.60.56/~jnz1568/getInfo.php?workbook=12_04.xlsx&amp;sheet=U0&amp;row=4410&amp;col=7&amp;number=0.0232&amp;sourceID=14","0.0232")</f>
        <v>0.0232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HYPERLINK("http://141.218.60.56/~jnz1568/getInfo.php?workbook=12_04.xlsx&amp;sheet=U0&amp;row=4411&amp;col=6&amp;number=3.7&amp;sourceID=14","3.7")</f>
        <v>3.7</v>
      </c>
      <c r="G4411" s="4" t="str">
        <f>HYPERLINK("http://141.218.60.56/~jnz1568/getInfo.php?workbook=12_04.xlsx&amp;sheet=U0&amp;row=4411&amp;col=7&amp;number=0.0231&amp;sourceID=14","0.0231")</f>
        <v>0.0231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HYPERLINK("http://141.218.60.56/~jnz1568/getInfo.php?workbook=12_04.xlsx&amp;sheet=U0&amp;row=4412&amp;col=6&amp;number=3.8&amp;sourceID=14","3.8")</f>
        <v>3.8</v>
      </c>
      <c r="G4412" s="4" t="str">
        <f>HYPERLINK("http://141.218.60.56/~jnz1568/getInfo.php?workbook=12_04.xlsx&amp;sheet=U0&amp;row=4412&amp;col=7&amp;number=0.0229&amp;sourceID=14","0.0229")</f>
        <v>0.0229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HYPERLINK("http://141.218.60.56/~jnz1568/getInfo.php?workbook=12_04.xlsx&amp;sheet=U0&amp;row=4413&amp;col=6&amp;number=3.9&amp;sourceID=14","3.9")</f>
        <v>3.9</v>
      </c>
      <c r="G4413" s="4" t="str">
        <f>HYPERLINK("http://141.218.60.56/~jnz1568/getInfo.php?workbook=12_04.xlsx&amp;sheet=U0&amp;row=4413&amp;col=7&amp;number=0.0227&amp;sourceID=14","0.0227")</f>
        <v>0.0227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HYPERLINK("http://141.218.60.56/~jnz1568/getInfo.php?workbook=12_04.xlsx&amp;sheet=U0&amp;row=4414&amp;col=6&amp;number=4&amp;sourceID=14","4")</f>
        <v>4</v>
      </c>
      <c r="G4414" s="4" t="str">
        <f>HYPERLINK("http://141.218.60.56/~jnz1568/getInfo.php?workbook=12_04.xlsx&amp;sheet=U0&amp;row=4414&amp;col=7&amp;number=0.0225&amp;sourceID=14","0.0225")</f>
        <v>0.0225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HYPERLINK("http://141.218.60.56/~jnz1568/getInfo.php?workbook=12_04.xlsx&amp;sheet=U0&amp;row=4415&amp;col=6&amp;number=4.1&amp;sourceID=14","4.1")</f>
        <v>4.1</v>
      </c>
      <c r="G4415" s="4" t="str">
        <f>HYPERLINK("http://141.218.60.56/~jnz1568/getInfo.php?workbook=12_04.xlsx&amp;sheet=U0&amp;row=4415&amp;col=7&amp;number=0.0222&amp;sourceID=14","0.0222")</f>
        <v>0.0222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HYPERLINK("http://141.218.60.56/~jnz1568/getInfo.php?workbook=12_04.xlsx&amp;sheet=U0&amp;row=4416&amp;col=6&amp;number=4.2&amp;sourceID=14","4.2")</f>
        <v>4.2</v>
      </c>
      <c r="G4416" s="4" t="str">
        <f>HYPERLINK("http://141.218.60.56/~jnz1568/getInfo.php?workbook=12_04.xlsx&amp;sheet=U0&amp;row=4416&amp;col=7&amp;number=0.0218&amp;sourceID=14","0.0218")</f>
        <v>0.0218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HYPERLINK("http://141.218.60.56/~jnz1568/getInfo.php?workbook=12_04.xlsx&amp;sheet=U0&amp;row=4417&amp;col=6&amp;number=4.3&amp;sourceID=14","4.3")</f>
        <v>4.3</v>
      </c>
      <c r="G4417" s="4" t="str">
        <f>HYPERLINK("http://141.218.60.56/~jnz1568/getInfo.php?workbook=12_04.xlsx&amp;sheet=U0&amp;row=4417&amp;col=7&amp;number=0.0214&amp;sourceID=14","0.0214")</f>
        <v>0.0214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HYPERLINK("http://141.218.60.56/~jnz1568/getInfo.php?workbook=12_04.xlsx&amp;sheet=U0&amp;row=4418&amp;col=6&amp;number=4.4&amp;sourceID=14","4.4")</f>
        <v>4.4</v>
      </c>
      <c r="G4418" s="4" t="str">
        <f>HYPERLINK("http://141.218.60.56/~jnz1568/getInfo.php?workbook=12_04.xlsx&amp;sheet=U0&amp;row=4418&amp;col=7&amp;number=0.0208&amp;sourceID=14","0.0208")</f>
        <v>0.0208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HYPERLINK("http://141.218.60.56/~jnz1568/getInfo.php?workbook=12_04.xlsx&amp;sheet=U0&amp;row=4419&amp;col=6&amp;number=4.5&amp;sourceID=14","4.5")</f>
        <v>4.5</v>
      </c>
      <c r="G4419" s="4" t="str">
        <f>HYPERLINK("http://141.218.60.56/~jnz1568/getInfo.php?workbook=12_04.xlsx&amp;sheet=U0&amp;row=4419&amp;col=7&amp;number=0.0201&amp;sourceID=14","0.0201")</f>
        <v>0.0201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HYPERLINK("http://141.218.60.56/~jnz1568/getInfo.php?workbook=12_04.xlsx&amp;sheet=U0&amp;row=4420&amp;col=6&amp;number=4.6&amp;sourceID=14","4.6")</f>
        <v>4.6</v>
      </c>
      <c r="G4420" s="4" t="str">
        <f>HYPERLINK("http://141.218.60.56/~jnz1568/getInfo.php?workbook=12_04.xlsx&amp;sheet=U0&amp;row=4420&amp;col=7&amp;number=0.0192&amp;sourceID=14","0.0192")</f>
        <v>0.0192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HYPERLINK("http://141.218.60.56/~jnz1568/getInfo.php?workbook=12_04.xlsx&amp;sheet=U0&amp;row=4421&amp;col=6&amp;number=4.7&amp;sourceID=14","4.7")</f>
        <v>4.7</v>
      </c>
      <c r="G4421" s="4" t="str">
        <f>HYPERLINK("http://141.218.60.56/~jnz1568/getInfo.php?workbook=12_04.xlsx&amp;sheet=U0&amp;row=4421&amp;col=7&amp;number=0.0181&amp;sourceID=14","0.0181")</f>
        <v>0.0181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HYPERLINK("http://141.218.60.56/~jnz1568/getInfo.php?workbook=12_04.xlsx&amp;sheet=U0&amp;row=4422&amp;col=6&amp;number=4.8&amp;sourceID=14","4.8")</f>
        <v>4.8</v>
      </c>
      <c r="G4422" s="4" t="str">
        <f>HYPERLINK("http://141.218.60.56/~jnz1568/getInfo.php?workbook=12_04.xlsx&amp;sheet=U0&amp;row=4422&amp;col=7&amp;number=0.0168&amp;sourceID=14","0.0168")</f>
        <v>0.0168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HYPERLINK("http://141.218.60.56/~jnz1568/getInfo.php?workbook=12_04.xlsx&amp;sheet=U0&amp;row=4423&amp;col=6&amp;number=4.9&amp;sourceID=14","4.9")</f>
        <v>4.9</v>
      </c>
      <c r="G4423" s="4" t="str">
        <f>HYPERLINK("http://141.218.60.56/~jnz1568/getInfo.php?workbook=12_04.xlsx&amp;sheet=U0&amp;row=4423&amp;col=7&amp;number=0.0153&amp;sourceID=14","0.0153")</f>
        <v>0.0153</v>
      </c>
    </row>
    <row r="4424" spans="1:7">
      <c r="A4424" s="3">
        <v>12</v>
      </c>
      <c r="B4424" s="3">
        <v>4</v>
      </c>
      <c r="C4424" s="3">
        <v>3</v>
      </c>
      <c r="D4424" s="3">
        <v>32</v>
      </c>
      <c r="E4424" s="3">
        <v>1</v>
      </c>
      <c r="F4424" s="4" t="str">
        <f>HYPERLINK("http://141.218.60.56/~jnz1568/getInfo.php?workbook=12_04.xlsx&amp;sheet=U0&amp;row=4424&amp;col=6&amp;number=3&amp;sourceID=14","3")</f>
        <v>3</v>
      </c>
      <c r="G4424" s="4" t="str">
        <f>HYPERLINK("http://141.218.60.56/~jnz1568/getInfo.php?workbook=12_04.xlsx&amp;sheet=U0&amp;row=4424&amp;col=7&amp;number=0.0352&amp;sourceID=14","0.0352")</f>
        <v>0.0352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HYPERLINK("http://141.218.60.56/~jnz1568/getInfo.php?workbook=12_04.xlsx&amp;sheet=U0&amp;row=4425&amp;col=6&amp;number=3.1&amp;sourceID=14","3.1")</f>
        <v>3.1</v>
      </c>
      <c r="G4425" s="4" t="str">
        <f>HYPERLINK("http://141.218.60.56/~jnz1568/getInfo.php?workbook=12_04.xlsx&amp;sheet=U0&amp;row=4425&amp;col=7&amp;number=0.0351&amp;sourceID=14","0.0351")</f>
        <v>0.0351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HYPERLINK("http://141.218.60.56/~jnz1568/getInfo.php?workbook=12_04.xlsx&amp;sheet=U0&amp;row=4426&amp;col=6&amp;number=3.2&amp;sourceID=14","3.2")</f>
        <v>3.2</v>
      </c>
      <c r="G4426" s="4" t="str">
        <f>HYPERLINK("http://141.218.60.56/~jnz1568/getInfo.php?workbook=12_04.xlsx&amp;sheet=U0&amp;row=4426&amp;col=7&amp;number=0.0351&amp;sourceID=14","0.0351")</f>
        <v>0.0351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HYPERLINK("http://141.218.60.56/~jnz1568/getInfo.php?workbook=12_04.xlsx&amp;sheet=U0&amp;row=4427&amp;col=6&amp;number=3.3&amp;sourceID=14","3.3")</f>
        <v>3.3</v>
      </c>
      <c r="G4427" s="4" t="str">
        <f>HYPERLINK("http://141.218.60.56/~jnz1568/getInfo.php?workbook=12_04.xlsx&amp;sheet=U0&amp;row=4427&amp;col=7&amp;number=0.035&amp;sourceID=14","0.035")</f>
        <v>0.035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HYPERLINK("http://141.218.60.56/~jnz1568/getInfo.php?workbook=12_04.xlsx&amp;sheet=U0&amp;row=4428&amp;col=6&amp;number=3.4&amp;sourceID=14","3.4")</f>
        <v>3.4</v>
      </c>
      <c r="G4428" s="4" t="str">
        <f>HYPERLINK("http://141.218.60.56/~jnz1568/getInfo.php?workbook=12_04.xlsx&amp;sheet=U0&amp;row=4428&amp;col=7&amp;number=0.0349&amp;sourceID=14","0.0349")</f>
        <v>0.0349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HYPERLINK("http://141.218.60.56/~jnz1568/getInfo.php?workbook=12_04.xlsx&amp;sheet=U0&amp;row=4429&amp;col=6&amp;number=3.5&amp;sourceID=14","3.5")</f>
        <v>3.5</v>
      </c>
      <c r="G4429" s="4" t="str">
        <f>HYPERLINK("http://141.218.60.56/~jnz1568/getInfo.php?workbook=12_04.xlsx&amp;sheet=U0&amp;row=4429&amp;col=7&amp;number=0.0348&amp;sourceID=14","0.0348")</f>
        <v>0.0348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HYPERLINK("http://141.218.60.56/~jnz1568/getInfo.php?workbook=12_04.xlsx&amp;sheet=U0&amp;row=4430&amp;col=6&amp;number=3.6&amp;sourceID=14","3.6")</f>
        <v>3.6</v>
      </c>
      <c r="G4430" s="4" t="str">
        <f>HYPERLINK("http://141.218.60.56/~jnz1568/getInfo.php?workbook=12_04.xlsx&amp;sheet=U0&amp;row=4430&amp;col=7&amp;number=0.0347&amp;sourceID=14","0.0347")</f>
        <v>0.0347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HYPERLINK("http://141.218.60.56/~jnz1568/getInfo.php?workbook=12_04.xlsx&amp;sheet=U0&amp;row=4431&amp;col=6&amp;number=3.7&amp;sourceID=14","3.7")</f>
        <v>3.7</v>
      </c>
      <c r="G4431" s="4" t="str">
        <f>HYPERLINK("http://141.218.60.56/~jnz1568/getInfo.php?workbook=12_04.xlsx&amp;sheet=U0&amp;row=4431&amp;col=7&amp;number=0.0345&amp;sourceID=14","0.0345")</f>
        <v>0.0345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HYPERLINK("http://141.218.60.56/~jnz1568/getInfo.php?workbook=12_04.xlsx&amp;sheet=U0&amp;row=4432&amp;col=6&amp;number=3.8&amp;sourceID=14","3.8")</f>
        <v>3.8</v>
      </c>
      <c r="G4432" s="4" t="str">
        <f>HYPERLINK("http://141.218.60.56/~jnz1568/getInfo.php?workbook=12_04.xlsx&amp;sheet=U0&amp;row=4432&amp;col=7&amp;number=0.0342&amp;sourceID=14","0.0342")</f>
        <v>0.0342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HYPERLINK("http://141.218.60.56/~jnz1568/getInfo.php?workbook=12_04.xlsx&amp;sheet=U0&amp;row=4433&amp;col=6&amp;number=3.9&amp;sourceID=14","3.9")</f>
        <v>3.9</v>
      </c>
      <c r="G4433" s="4" t="str">
        <f>HYPERLINK("http://141.218.60.56/~jnz1568/getInfo.php?workbook=12_04.xlsx&amp;sheet=U0&amp;row=4433&amp;col=7&amp;number=0.034&amp;sourceID=14","0.034")</f>
        <v>0.034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HYPERLINK("http://141.218.60.56/~jnz1568/getInfo.php?workbook=12_04.xlsx&amp;sheet=U0&amp;row=4434&amp;col=6&amp;number=4&amp;sourceID=14","4")</f>
        <v>4</v>
      </c>
      <c r="G4434" s="4" t="str">
        <f>HYPERLINK("http://141.218.60.56/~jnz1568/getInfo.php?workbook=12_04.xlsx&amp;sheet=U0&amp;row=4434&amp;col=7&amp;number=0.0336&amp;sourceID=14","0.0336")</f>
        <v>0.0336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HYPERLINK("http://141.218.60.56/~jnz1568/getInfo.php?workbook=12_04.xlsx&amp;sheet=U0&amp;row=4435&amp;col=6&amp;number=4.1&amp;sourceID=14","4.1")</f>
        <v>4.1</v>
      </c>
      <c r="G4435" s="4" t="str">
        <f>HYPERLINK("http://141.218.60.56/~jnz1568/getInfo.php?workbook=12_04.xlsx&amp;sheet=U0&amp;row=4435&amp;col=7&amp;number=0.0332&amp;sourceID=14","0.0332")</f>
        <v>0.0332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HYPERLINK("http://141.218.60.56/~jnz1568/getInfo.php?workbook=12_04.xlsx&amp;sheet=U0&amp;row=4436&amp;col=6&amp;number=4.2&amp;sourceID=14","4.2")</f>
        <v>4.2</v>
      </c>
      <c r="G4436" s="4" t="str">
        <f>HYPERLINK("http://141.218.60.56/~jnz1568/getInfo.php?workbook=12_04.xlsx&amp;sheet=U0&amp;row=4436&amp;col=7&amp;number=0.0326&amp;sourceID=14","0.0326")</f>
        <v>0.0326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HYPERLINK("http://141.218.60.56/~jnz1568/getInfo.php?workbook=12_04.xlsx&amp;sheet=U0&amp;row=4437&amp;col=6&amp;number=4.3&amp;sourceID=14","4.3")</f>
        <v>4.3</v>
      </c>
      <c r="G4437" s="4" t="str">
        <f>HYPERLINK("http://141.218.60.56/~jnz1568/getInfo.php?workbook=12_04.xlsx&amp;sheet=U0&amp;row=4437&amp;col=7&amp;number=0.0319&amp;sourceID=14","0.0319")</f>
        <v>0.0319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HYPERLINK("http://141.218.60.56/~jnz1568/getInfo.php?workbook=12_04.xlsx&amp;sheet=U0&amp;row=4438&amp;col=6&amp;number=4.4&amp;sourceID=14","4.4")</f>
        <v>4.4</v>
      </c>
      <c r="G4438" s="4" t="str">
        <f>HYPERLINK("http://141.218.60.56/~jnz1568/getInfo.php?workbook=12_04.xlsx&amp;sheet=U0&amp;row=4438&amp;col=7&amp;number=0.031&amp;sourceID=14","0.031")</f>
        <v>0.031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HYPERLINK("http://141.218.60.56/~jnz1568/getInfo.php?workbook=12_04.xlsx&amp;sheet=U0&amp;row=4439&amp;col=6&amp;number=4.5&amp;sourceID=14","4.5")</f>
        <v>4.5</v>
      </c>
      <c r="G4439" s="4" t="str">
        <f>HYPERLINK("http://141.218.60.56/~jnz1568/getInfo.php?workbook=12_04.xlsx&amp;sheet=U0&amp;row=4439&amp;col=7&amp;number=0.03&amp;sourceID=14","0.03")</f>
        <v>0.03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HYPERLINK("http://141.218.60.56/~jnz1568/getInfo.php?workbook=12_04.xlsx&amp;sheet=U0&amp;row=4440&amp;col=6&amp;number=4.6&amp;sourceID=14","4.6")</f>
        <v>4.6</v>
      </c>
      <c r="G4440" s="4" t="str">
        <f>HYPERLINK("http://141.218.60.56/~jnz1568/getInfo.php?workbook=12_04.xlsx&amp;sheet=U0&amp;row=4440&amp;col=7&amp;number=0.0287&amp;sourceID=14","0.0287")</f>
        <v>0.0287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HYPERLINK("http://141.218.60.56/~jnz1568/getInfo.php?workbook=12_04.xlsx&amp;sheet=U0&amp;row=4441&amp;col=6&amp;number=4.7&amp;sourceID=14","4.7")</f>
        <v>4.7</v>
      </c>
      <c r="G4441" s="4" t="str">
        <f>HYPERLINK("http://141.218.60.56/~jnz1568/getInfo.php?workbook=12_04.xlsx&amp;sheet=U0&amp;row=4441&amp;col=7&amp;number=0.0271&amp;sourceID=14","0.0271")</f>
        <v>0.0271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HYPERLINK("http://141.218.60.56/~jnz1568/getInfo.php?workbook=12_04.xlsx&amp;sheet=U0&amp;row=4442&amp;col=6&amp;number=4.8&amp;sourceID=14","4.8")</f>
        <v>4.8</v>
      </c>
      <c r="G4442" s="4" t="str">
        <f>HYPERLINK("http://141.218.60.56/~jnz1568/getInfo.php?workbook=12_04.xlsx&amp;sheet=U0&amp;row=4442&amp;col=7&amp;number=0.0251&amp;sourceID=14","0.0251")</f>
        <v>0.0251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HYPERLINK("http://141.218.60.56/~jnz1568/getInfo.php?workbook=12_04.xlsx&amp;sheet=U0&amp;row=4443&amp;col=6&amp;number=4.9&amp;sourceID=14","4.9")</f>
        <v>4.9</v>
      </c>
      <c r="G4443" s="4" t="str">
        <f>HYPERLINK("http://141.218.60.56/~jnz1568/getInfo.php?workbook=12_04.xlsx&amp;sheet=U0&amp;row=4443&amp;col=7&amp;number=0.0229&amp;sourceID=14","0.0229")</f>
        <v>0.0229</v>
      </c>
    </row>
    <row r="4444" spans="1:7">
      <c r="A4444" s="3">
        <v>12</v>
      </c>
      <c r="B4444" s="3">
        <v>4</v>
      </c>
      <c r="C4444" s="3">
        <v>3</v>
      </c>
      <c r="D4444" s="3">
        <v>33</v>
      </c>
      <c r="E4444" s="3">
        <v>1</v>
      </c>
      <c r="F4444" s="4" t="str">
        <f>HYPERLINK("http://141.218.60.56/~jnz1568/getInfo.php?workbook=12_04.xlsx&amp;sheet=U0&amp;row=4444&amp;col=6&amp;number=3&amp;sourceID=14","3")</f>
        <v>3</v>
      </c>
      <c r="G4444" s="4" t="str">
        <f>HYPERLINK("http://141.218.60.56/~jnz1568/getInfo.php?workbook=12_04.xlsx&amp;sheet=U0&amp;row=4444&amp;col=7&amp;number=0.0465&amp;sourceID=14","0.0465")</f>
        <v>0.0465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HYPERLINK("http://141.218.60.56/~jnz1568/getInfo.php?workbook=12_04.xlsx&amp;sheet=U0&amp;row=4445&amp;col=6&amp;number=3.1&amp;sourceID=14","3.1")</f>
        <v>3.1</v>
      </c>
      <c r="G4445" s="4" t="str">
        <f>HYPERLINK("http://141.218.60.56/~jnz1568/getInfo.php?workbook=12_04.xlsx&amp;sheet=U0&amp;row=4445&amp;col=7&amp;number=0.0464&amp;sourceID=14","0.0464")</f>
        <v>0.0464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HYPERLINK("http://141.218.60.56/~jnz1568/getInfo.php?workbook=12_04.xlsx&amp;sheet=U0&amp;row=4446&amp;col=6&amp;number=3.2&amp;sourceID=14","3.2")</f>
        <v>3.2</v>
      </c>
      <c r="G4446" s="4" t="str">
        <f>HYPERLINK("http://141.218.60.56/~jnz1568/getInfo.php?workbook=12_04.xlsx&amp;sheet=U0&amp;row=4446&amp;col=7&amp;number=0.0464&amp;sourceID=14","0.0464")</f>
        <v>0.0464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HYPERLINK("http://141.218.60.56/~jnz1568/getInfo.php?workbook=12_04.xlsx&amp;sheet=U0&amp;row=4447&amp;col=6&amp;number=3.3&amp;sourceID=14","3.3")</f>
        <v>3.3</v>
      </c>
      <c r="G4447" s="4" t="str">
        <f>HYPERLINK("http://141.218.60.56/~jnz1568/getInfo.php?workbook=12_04.xlsx&amp;sheet=U0&amp;row=4447&amp;col=7&amp;number=0.0463&amp;sourceID=14","0.0463")</f>
        <v>0.0463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HYPERLINK("http://141.218.60.56/~jnz1568/getInfo.php?workbook=12_04.xlsx&amp;sheet=U0&amp;row=4448&amp;col=6&amp;number=3.4&amp;sourceID=14","3.4")</f>
        <v>3.4</v>
      </c>
      <c r="G4448" s="4" t="str">
        <f>HYPERLINK("http://141.218.60.56/~jnz1568/getInfo.php?workbook=12_04.xlsx&amp;sheet=U0&amp;row=4448&amp;col=7&amp;number=0.0462&amp;sourceID=14","0.0462")</f>
        <v>0.0462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HYPERLINK("http://141.218.60.56/~jnz1568/getInfo.php?workbook=12_04.xlsx&amp;sheet=U0&amp;row=4449&amp;col=6&amp;number=3.5&amp;sourceID=14","3.5")</f>
        <v>3.5</v>
      </c>
      <c r="G4449" s="4" t="str">
        <f>HYPERLINK("http://141.218.60.56/~jnz1568/getInfo.php?workbook=12_04.xlsx&amp;sheet=U0&amp;row=4449&amp;col=7&amp;number=0.0461&amp;sourceID=14","0.0461")</f>
        <v>0.0461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HYPERLINK("http://141.218.60.56/~jnz1568/getInfo.php?workbook=12_04.xlsx&amp;sheet=U0&amp;row=4450&amp;col=6&amp;number=3.6&amp;sourceID=14","3.6")</f>
        <v>3.6</v>
      </c>
      <c r="G4450" s="4" t="str">
        <f>HYPERLINK("http://141.218.60.56/~jnz1568/getInfo.php?workbook=12_04.xlsx&amp;sheet=U0&amp;row=4450&amp;col=7&amp;number=0.0459&amp;sourceID=14","0.0459")</f>
        <v>0.0459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HYPERLINK("http://141.218.60.56/~jnz1568/getInfo.php?workbook=12_04.xlsx&amp;sheet=U0&amp;row=4451&amp;col=6&amp;number=3.7&amp;sourceID=14","3.7")</f>
        <v>3.7</v>
      </c>
      <c r="G4451" s="4" t="str">
        <f>HYPERLINK("http://141.218.60.56/~jnz1568/getInfo.php?workbook=12_04.xlsx&amp;sheet=U0&amp;row=4451&amp;col=7&amp;number=0.0457&amp;sourceID=14","0.0457")</f>
        <v>0.0457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HYPERLINK("http://141.218.60.56/~jnz1568/getInfo.php?workbook=12_04.xlsx&amp;sheet=U0&amp;row=4452&amp;col=6&amp;number=3.8&amp;sourceID=14","3.8")</f>
        <v>3.8</v>
      </c>
      <c r="G4452" s="4" t="str">
        <f>HYPERLINK("http://141.218.60.56/~jnz1568/getInfo.php?workbook=12_04.xlsx&amp;sheet=U0&amp;row=4452&amp;col=7&amp;number=0.0455&amp;sourceID=14","0.0455")</f>
        <v>0.0455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HYPERLINK("http://141.218.60.56/~jnz1568/getInfo.php?workbook=12_04.xlsx&amp;sheet=U0&amp;row=4453&amp;col=6&amp;number=3.9&amp;sourceID=14","3.9")</f>
        <v>3.9</v>
      </c>
      <c r="G4453" s="4" t="str">
        <f>HYPERLINK("http://141.218.60.56/~jnz1568/getInfo.php?workbook=12_04.xlsx&amp;sheet=U0&amp;row=4453&amp;col=7&amp;number=0.0452&amp;sourceID=14","0.0452")</f>
        <v>0.0452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HYPERLINK("http://141.218.60.56/~jnz1568/getInfo.php?workbook=12_04.xlsx&amp;sheet=U0&amp;row=4454&amp;col=6&amp;number=4&amp;sourceID=14","4")</f>
        <v>4</v>
      </c>
      <c r="G4454" s="4" t="str">
        <f>HYPERLINK("http://141.218.60.56/~jnz1568/getInfo.php?workbook=12_04.xlsx&amp;sheet=U0&amp;row=4454&amp;col=7&amp;number=0.0448&amp;sourceID=14","0.0448")</f>
        <v>0.0448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HYPERLINK("http://141.218.60.56/~jnz1568/getInfo.php?workbook=12_04.xlsx&amp;sheet=U0&amp;row=4455&amp;col=6&amp;number=4.1&amp;sourceID=14","4.1")</f>
        <v>4.1</v>
      </c>
      <c r="G4455" s="4" t="str">
        <f>HYPERLINK("http://141.218.60.56/~jnz1568/getInfo.php?workbook=12_04.xlsx&amp;sheet=U0&amp;row=4455&amp;col=7&amp;number=0.0443&amp;sourceID=14","0.0443")</f>
        <v>0.0443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HYPERLINK("http://141.218.60.56/~jnz1568/getInfo.php?workbook=12_04.xlsx&amp;sheet=U0&amp;row=4456&amp;col=6&amp;number=4.2&amp;sourceID=14","4.2")</f>
        <v>4.2</v>
      </c>
      <c r="G4456" s="4" t="str">
        <f>HYPERLINK("http://141.218.60.56/~jnz1568/getInfo.php?workbook=12_04.xlsx&amp;sheet=U0&amp;row=4456&amp;col=7&amp;number=0.0437&amp;sourceID=14","0.0437")</f>
        <v>0.0437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HYPERLINK("http://141.218.60.56/~jnz1568/getInfo.php?workbook=12_04.xlsx&amp;sheet=U0&amp;row=4457&amp;col=6&amp;number=4.3&amp;sourceID=14","4.3")</f>
        <v>4.3</v>
      </c>
      <c r="G4457" s="4" t="str">
        <f>HYPERLINK("http://141.218.60.56/~jnz1568/getInfo.php?workbook=12_04.xlsx&amp;sheet=U0&amp;row=4457&amp;col=7&amp;number=0.043&amp;sourceID=14","0.043")</f>
        <v>0.043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HYPERLINK("http://141.218.60.56/~jnz1568/getInfo.php?workbook=12_04.xlsx&amp;sheet=U0&amp;row=4458&amp;col=6&amp;number=4.4&amp;sourceID=14","4.4")</f>
        <v>4.4</v>
      </c>
      <c r="G4458" s="4" t="str">
        <f>HYPERLINK("http://141.218.60.56/~jnz1568/getInfo.php?workbook=12_04.xlsx&amp;sheet=U0&amp;row=4458&amp;col=7&amp;number=0.0421&amp;sourceID=14","0.0421")</f>
        <v>0.0421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HYPERLINK("http://141.218.60.56/~jnz1568/getInfo.php?workbook=12_04.xlsx&amp;sheet=U0&amp;row=4459&amp;col=6&amp;number=4.5&amp;sourceID=14","4.5")</f>
        <v>4.5</v>
      </c>
      <c r="G4459" s="4" t="str">
        <f>HYPERLINK("http://141.218.60.56/~jnz1568/getInfo.php?workbook=12_04.xlsx&amp;sheet=U0&amp;row=4459&amp;col=7&amp;number=0.041&amp;sourceID=14","0.041")</f>
        <v>0.041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HYPERLINK("http://141.218.60.56/~jnz1568/getInfo.php?workbook=12_04.xlsx&amp;sheet=U0&amp;row=4460&amp;col=6&amp;number=4.6&amp;sourceID=14","4.6")</f>
        <v>4.6</v>
      </c>
      <c r="G4460" s="4" t="str">
        <f>HYPERLINK("http://141.218.60.56/~jnz1568/getInfo.php?workbook=12_04.xlsx&amp;sheet=U0&amp;row=4460&amp;col=7&amp;number=0.0398&amp;sourceID=14","0.0398")</f>
        <v>0.0398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HYPERLINK("http://141.218.60.56/~jnz1568/getInfo.php?workbook=12_04.xlsx&amp;sheet=U0&amp;row=4461&amp;col=6&amp;number=4.7&amp;sourceID=14","4.7")</f>
        <v>4.7</v>
      </c>
      <c r="G4461" s="4" t="str">
        <f>HYPERLINK("http://141.218.60.56/~jnz1568/getInfo.php?workbook=12_04.xlsx&amp;sheet=U0&amp;row=4461&amp;col=7&amp;number=0.0383&amp;sourceID=14","0.0383")</f>
        <v>0.0383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HYPERLINK("http://141.218.60.56/~jnz1568/getInfo.php?workbook=12_04.xlsx&amp;sheet=U0&amp;row=4462&amp;col=6&amp;number=4.8&amp;sourceID=14","4.8")</f>
        <v>4.8</v>
      </c>
      <c r="G4462" s="4" t="str">
        <f>HYPERLINK("http://141.218.60.56/~jnz1568/getInfo.php?workbook=12_04.xlsx&amp;sheet=U0&amp;row=4462&amp;col=7&amp;number=0.0367&amp;sourceID=14","0.0367")</f>
        <v>0.0367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HYPERLINK("http://141.218.60.56/~jnz1568/getInfo.php?workbook=12_04.xlsx&amp;sheet=U0&amp;row=4463&amp;col=6&amp;number=4.9&amp;sourceID=14","4.9")</f>
        <v>4.9</v>
      </c>
      <c r="G4463" s="4" t="str">
        <f>HYPERLINK("http://141.218.60.56/~jnz1568/getInfo.php?workbook=12_04.xlsx&amp;sheet=U0&amp;row=4463&amp;col=7&amp;number=0.035&amp;sourceID=14","0.035")</f>
        <v>0.035</v>
      </c>
    </row>
    <row r="4464" spans="1:7">
      <c r="A4464" s="3">
        <v>12</v>
      </c>
      <c r="B4464" s="3">
        <v>4</v>
      </c>
      <c r="C4464" s="3">
        <v>3</v>
      </c>
      <c r="D4464" s="3">
        <v>34</v>
      </c>
      <c r="E4464" s="3">
        <v>1</v>
      </c>
      <c r="F4464" s="4" t="str">
        <f>HYPERLINK("http://141.218.60.56/~jnz1568/getInfo.php?workbook=12_04.xlsx&amp;sheet=U0&amp;row=4464&amp;col=6&amp;number=3&amp;sourceID=14","3")</f>
        <v>3</v>
      </c>
      <c r="G4464" s="4" t="str">
        <f>HYPERLINK("http://141.218.60.56/~jnz1568/getInfo.php?workbook=12_04.xlsx&amp;sheet=U0&amp;row=4464&amp;col=7&amp;number=0.064&amp;sourceID=14","0.064")</f>
        <v>0.064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HYPERLINK("http://141.218.60.56/~jnz1568/getInfo.php?workbook=12_04.xlsx&amp;sheet=U0&amp;row=4465&amp;col=6&amp;number=3.1&amp;sourceID=14","3.1")</f>
        <v>3.1</v>
      </c>
      <c r="G4465" s="4" t="str">
        <f>HYPERLINK("http://141.218.60.56/~jnz1568/getInfo.php?workbook=12_04.xlsx&amp;sheet=U0&amp;row=4465&amp;col=7&amp;number=0.064&amp;sourceID=14","0.064")</f>
        <v>0.064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HYPERLINK("http://141.218.60.56/~jnz1568/getInfo.php?workbook=12_04.xlsx&amp;sheet=U0&amp;row=4466&amp;col=6&amp;number=3.2&amp;sourceID=14","3.2")</f>
        <v>3.2</v>
      </c>
      <c r="G4466" s="4" t="str">
        <f>HYPERLINK("http://141.218.60.56/~jnz1568/getInfo.php?workbook=12_04.xlsx&amp;sheet=U0&amp;row=4466&amp;col=7&amp;number=0.064&amp;sourceID=14","0.064")</f>
        <v>0.064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HYPERLINK("http://141.218.60.56/~jnz1568/getInfo.php?workbook=12_04.xlsx&amp;sheet=U0&amp;row=4467&amp;col=6&amp;number=3.3&amp;sourceID=14","3.3")</f>
        <v>3.3</v>
      </c>
      <c r="G4467" s="4" t="str">
        <f>HYPERLINK("http://141.218.60.56/~jnz1568/getInfo.php?workbook=12_04.xlsx&amp;sheet=U0&amp;row=4467&amp;col=7&amp;number=0.0639&amp;sourceID=14","0.0639")</f>
        <v>0.0639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HYPERLINK("http://141.218.60.56/~jnz1568/getInfo.php?workbook=12_04.xlsx&amp;sheet=U0&amp;row=4468&amp;col=6&amp;number=3.4&amp;sourceID=14","3.4")</f>
        <v>3.4</v>
      </c>
      <c r="G4468" s="4" t="str">
        <f>HYPERLINK("http://141.218.60.56/~jnz1568/getInfo.php?workbook=12_04.xlsx&amp;sheet=U0&amp;row=4468&amp;col=7&amp;number=0.0639&amp;sourceID=14","0.0639")</f>
        <v>0.0639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HYPERLINK("http://141.218.60.56/~jnz1568/getInfo.php?workbook=12_04.xlsx&amp;sheet=U0&amp;row=4469&amp;col=6&amp;number=3.5&amp;sourceID=14","3.5")</f>
        <v>3.5</v>
      </c>
      <c r="G4469" s="4" t="str">
        <f>HYPERLINK("http://141.218.60.56/~jnz1568/getInfo.php?workbook=12_04.xlsx&amp;sheet=U0&amp;row=4469&amp;col=7&amp;number=0.0638&amp;sourceID=14","0.0638")</f>
        <v>0.0638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HYPERLINK("http://141.218.60.56/~jnz1568/getInfo.php?workbook=12_04.xlsx&amp;sheet=U0&amp;row=4470&amp;col=6&amp;number=3.6&amp;sourceID=14","3.6")</f>
        <v>3.6</v>
      </c>
      <c r="G4470" s="4" t="str">
        <f>HYPERLINK("http://141.218.60.56/~jnz1568/getInfo.php?workbook=12_04.xlsx&amp;sheet=U0&amp;row=4470&amp;col=7&amp;number=0.0637&amp;sourceID=14","0.0637")</f>
        <v>0.0637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HYPERLINK("http://141.218.60.56/~jnz1568/getInfo.php?workbook=12_04.xlsx&amp;sheet=U0&amp;row=4471&amp;col=6&amp;number=3.7&amp;sourceID=14","3.7")</f>
        <v>3.7</v>
      </c>
      <c r="G4471" s="4" t="str">
        <f>HYPERLINK("http://141.218.60.56/~jnz1568/getInfo.php?workbook=12_04.xlsx&amp;sheet=U0&amp;row=4471&amp;col=7&amp;number=0.0636&amp;sourceID=14","0.0636")</f>
        <v>0.0636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HYPERLINK("http://141.218.60.56/~jnz1568/getInfo.php?workbook=12_04.xlsx&amp;sheet=U0&amp;row=4472&amp;col=6&amp;number=3.8&amp;sourceID=14","3.8")</f>
        <v>3.8</v>
      </c>
      <c r="G4472" s="4" t="str">
        <f>HYPERLINK("http://141.218.60.56/~jnz1568/getInfo.php?workbook=12_04.xlsx&amp;sheet=U0&amp;row=4472&amp;col=7&amp;number=0.0635&amp;sourceID=14","0.0635")</f>
        <v>0.0635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HYPERLINK("http://141.218.60.56/~jnz1568/getInfo.php?workbook=12_04.xlsx&amp;sheet=U0&amp;row=4473&amp;col=6&amp;number=3.9&amp;sourceID=14","3.9")</f>
        <v>3.9</v>
      </c>
      <c r="G4473" s="4" t="str">
        <f>HYPERLINK("http://141.218.60.56/~jnz1568/getInfo.php?workbook=12_04.xlsx&amp;sheet=U0&amp;row=4473&amp;col=7&amp;number=0.0634&amp;sourceID=14","0.0634")</f>
        <v>0.0634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HYPERLINK("http://141.218.60.56/~jnz1568/getInfo.php?workbook=12_04.xlsx&amp;sheet=U0&amp;row=4474&amp;col=6&amp;number=4&amp;sourceID=14","4")</f>
        <v>4</v>
      </c>
      <c r="G4474" s="4" t="str">
        <f>HYPERLINK("http://141.218.60.56/~jnz1568/getInfo.php?workbook=12_04.xlsx&amp;sheet=U0&amp;row=4474&amp;col=7&amp;number=0.0632&amp;sourceID=14","0.0632")</f>
        <v>0.0632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HYPERLINK("http://141.218.60.56/~jnz1568/getInfo.php?workbook=12_04.xlsx&amp;sheet=U0&amp;row=4475&amp;col=6&amp;number=4.1&amp;sourceID=14","4.1")</f>
        <v>4.1</v>
      </c>
      <c r="G4475" s="4" t="str">
        <f>HYPERLINK("http://141.218.60.56/~jnz1568/getInfo.php?workbook=12_04.xlsx&amp;sheet=U0&amp;row=4475&amp;col=7&amp;number=0.0629&amp;sourceID=14","0.0629")</f>
        <v>0.0629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HYPERLINK("http://141.218.60.56/~jnz1568/getInfo.php?workbook=12_04.xlsx&amp;sheet=U0&amp;row=4476&amp;col=6&amp;number=4.2&amp;sourceID=14","4.2")</f>
        <v>4.2</v>
      </c>
      <c r="G4476" s="4" t="str">
        <f>HYPERLINK("http://141.218.60.56/~jnz1568/getInfo.php?workbook=12_04.xlsx&amp;sheet=U0&amp;row=4476&amp;col=7&amp;number=0.0626&amp;sourceID=14","0.0626")</f>
        <v>0.0626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HYPERLINK("http://141.218.60.56/~jnz1568/getInfo.php?workbook=12_04.xlsx&amp;sheet=U0&amp;row=4477&amp;col=6&amp;number=4.3&amp;sourceID=14","4.3")</f>
        <v>4.3</v>
      </c>
      <c r="G4477" s="4" t="str">
        <f>HYPERLINK("http://141.218.60.56/~jnz1568/getInfo.php?workbook=12_04.xlsx&amp;sheet=U0&amp;row=4477&amp;col=7&amp;number=0.0623&amp;sourceID=14","0.0623")</f>
        <v>0.0623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HYPERLINK("http://141.218.60.56/~jnz1568/getInfo.php?workbook=12_04.xlsx&amp;sheet=U0&amp;row=4478&amp;col=6&amp;number=4.4&amp;sourceID=14","4.4")</f>
        <v>4.4</v>
      </c>
      <c r="G4478" s="4" t="str">
        <f>HYPERLINK("http://141.218.60.56/~jnz1568/getInfo.php?workbook=12_04.xlsx&amp;sheet=U0&amp;row=4478&amp;col=7&amp;number=0.0618&amp;sourceID=14","0.0618")</f>
        <v>0.0618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HYPERLINK("http://141.218.60.56/~jnz1568/getInfo.php?workbook=12_04.xlsx&amp;sheet=U0&amp;row=4479&amp;col=6&amp;number=4.5&amp;sourceID=14","4.5")</f>
        <v>4.5</v>
      </c>
      <c r="G4479" s="4" t="str">
        <f>HYPERLINK("http://141.218.60.56/~jnz1568/getInfo.php?workbook=12_04.xlsx&amp;sheet=U0&amp;row=4479&amp;col=7&amp;number=0.0612&amp;sourceID=14","0.0612")</f>
        <v>0.0612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HYPERLINK("http://141.218.60.56/~jnz1568/getInfo.php?workbook=12_04.xlsx&amp;sheet=U0&amp;row=4480&amp;col=6&amp;number=4.6&amp;sourceID=14","4.6")</f>
        <v>4.6</v>
      </c>
      <c r="G4480" s="4" t="str">
        <f>HYPERLINK("http://141.218.60.56/~jnz1568/getInfo.php?workbook=12_04.xlsx&amp;sheet=U0&amp;row=4480&amp;col=7&amp;number=0.0605&amp;sourceID=14","0.0605")</f>
        <v>0.0605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HYPERLINK("http://141.218.60.56/~jnz1568/getInfo.php?workbook=12_04.xlsx&amp;sheet=U0&amp;row=4481&amp;col=6&amp;number=4.7&amp;sourceID=14","4.7")</f>
        <v>4.7</v>
      </c>
      <c r="G4481" s="4" t="str">
        <f>HYPERLINK("http://141.218.60.56/~jnz1568/getInfo.php?workbook=12_04.xlsx&amp;sheet=U0&amp;row=4481&amp;col=7&amp;number=0.0597&amp;sourceID=14","0.0597")</f>
        <v>0.0597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HYPERLINK("http://141.218.60.56/~jnz1568/getInfo.php?workbook=12_04.xlsx&amp;sheet=U0&amp;row=4482&amp;col=6&amp;number=4.8&amp;sourceID=14","4.8")</f>
        <v>4.8</v>
      </c>
      <c r="G4482" s="4" t="str">
        <f>HYPERLINK("http://141.218.60.56/~jnz1568/getInfo.php?workbook=12_04.xlsx&amp;sheet=U0&amp;row=4482&amp;col=7&amp;number=0.0587&amp;sourceID=14","0.0587")</f>
        <v>0.0587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HYPERLINK("http://141.218.60.56/~jnz1568/getInfo.php?workbook=12_04.xlsx&amp;sheet=U0&amp;row=4483&amp;col=6&amp;number=4.9&amp;sourceID=14","4.9")</f>
        <v>4.9</v>
      </c>
      <c r="G4483" s="4" t="str">
        <f>HYPERLINK("http://141.218.60.56/~jnz1568/getInfo.php?workbook=12_04.xlsx&amp;sheet=U0&amp;row=4483&amp;col=7&amp;number=0.0575&amp;sourceID=14","0.0575")</f>
        <v>0.0575</v>
      </c>
    </row>
    <row r="4484" spans="1:7">
      <c r="A4484" s="3">
        <v>12</v>
      </c>
      <c r="B4484" s="3">
        <v>4</v>
      </c>
      <c r="C4484" s="3">
        <v>3</v>
      </c>
      <c r="D4484" s="3">
        <v>35</v>
      </c>
      <c r="E4484" s="3">
        <v>1</v>
      </c>
      <c r="F4484" s="4" t="str">
        <f>HYPERLINK("http://141.218.60.56/~jnz1568/getInfo.php?workbook=12_04.xlsx&amp;sheet=U0&amp;row=4484&amp;col=6&amp;number=3&amp;sourceID=14","3")</f>
        <v>3</v>
      </c>
      <c r="G4484" s="4" t="str">
        <f>HYPERLINK("http://141.218.60.56/~jnz1568/getInfo.php?workbook=12_04.xlsx&amp;sheet=U0&amp;row=4484&amp;col=7&amp;number=0.0213&amp;sourceID=14","0.0213")</f>
        <v>0.0213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HYPERLINK("http://141.218.60.56/~jnz1568/getInfo.php?workbook=12_04.xlsx&amp;sheet=U0&amp;row=4485&amp;col=6&amp;number=3.1&amp;sourceID=14","3.1")</f>
        <v>3.1</v>
      </c>
      <c r="G4485" s="4" t="str">
        <f>HYPERLINK("http://141.218.60.56/~jnz1568/getInfo.php?workbook=12_04.xlsx&amp;sheet=U0&amp;row=4485&amp;col=7&amp;number=0.0213&amp;sourceID=14","0.0213")</f>
        <v>0.0213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HYPERLINK("http://141.218.60.56/~jnz1568/getInfo.php?workbook=12_04.xlsx&amp;sheet=U0&amp;row=4486&amp;col=6&amp;number=3.2&amp;sourceID=14","3.2")</f>
        <v>3.2</v>
      </c>
      <c r="G4486" s="4" t="str">
        <f>HYPERLINK("http://141.218.60.56/~jnz1568/getInfo.php?workbook=12_04.xlsx&amp;sheet=U0&amp;row=4486&amp;col=7&amp;number=0.0212&amp;sourceID=14","0.0212")</f>
        <v>0.0212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HYPERLINK("http://141.218.60.56/~jnz1568/getInfo.php?workbook=12_04.xlsx&amp;sheet=U0&amp;row=4487&amp;col=6&amp;number=3.3&amp;sourceID=14","3.3")</f>
        <v>3.3</v>
      </c>
      <c r="G4487" s="4" t="str">
        <f>HYPERLINK("http://141.218.60.56/~jnz1568/getInfo.php?workbook=12_04.xlsx&amp;sheet=U0&amp;row=4487&amp;col=7&amp;number=0.0212&amp;sourceID=14","0.0212")</f>
        <v>0.0212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HYPERLINK("http://141.218.60.56/~jnz1568/getInfo.php?workbook=12_04.xlsx&amp;sheet=U0&amp;row=4488&amp;col=6&amp;number=3.4&amp;sourceID=14","3.4")</f>
        <v>3.4</v>
      </c>
      <c r="G4488" s="4" t="str">
        <f>HYPERLINK("http://141.218.60.56/~jnz1568/getInfo.php?workbook=12_04.xlsx&amp;sheet=U0&amp;row=4488&amp;col=7&amp;number=0.0211&amp;sourceID=14","0.0211")</f>
        <v>0.0211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HYPERLINK("http://141.218.60.56/~jnz1568/getInfo.php?workbook=12_04.xlsx&amp;sheet=U0&amp;row=4489&amp;col=6&amp;number=3.5&amp;sourceID=14","3.5")</f>
        <v>3.5</v>
      </c>
      <c r="G4489" s="4" t="str">
        <f>HYPERLINK("http://141.218.60.56/~jnz1568/getInfo.php?workbook=12_04.xlsx&amp;sheet=U0&amp;row=4489&amp;col=7&amp;number=0.021&amp;sourceID=14","0.021")</f>
        <v>0.021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HYPERLINK("http://141.218.60.56/~jnz1568/getInfo.php?workbook=12_04.xlsx&amp;sheet=U0&amp;row=4490&amp;col=6&amp;number=3.6&amp;sourceID=14","3.6")</f>
        <v>3.6</v>
      </c>
      <c r="G4490" s="4" t="str">
        <f>HYPERLINK("http://141.218.60.56/~jnz1568/getInfo.php?workbook=12_04.xlsx&amp;sheet=U0&amp;row=4490&amp;col=7&amp;number=0.0209&amp;sourceID=14","0.0209")</f>
        <v>0.0209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HYPERLINK("http://141.218.60.56/~jnz1568/getInfo.php?workbook=12_04.xlsx&amp;sheet=U0&amp;row=4491&amp;col=6&amp;number=3.7&amp;sourceID=14","3.7")</f>
        <v>3.7</v>
      </c>
      <c r="G4491" s="4" t="str">
        <f>HYPERLINK("http://141.218.60.56/~jnz1568/getInfo.php?workbook=12_04.xlsx&amp;sheet=U0&amp;row=4491&amp;col=7&amp;number=0.0208&amp;sourceID=14","0.0208")</f>
        <v>0.0208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HYPERLINK("http://141.218.60.56/~jnz1568/getInfo.php?workbook=12_04.xlsx&amp;sheet=U0&amp;row=4492&amp;col=6&amp;number=3.8&amp;sourceID=14","3.8")</f>
        <v>3.8</v>
      </c>
      <c r="G4492" s="4" t="str">
        <f>HYPERLINK("http://141.218.60.56/~jnz1568/getInfo.php?workbook=12_04.xlsx&amp;sheet=U0&amp;row=4492&amp;col=7&amp;number=0.0207&amp;sourceID=14","0.0207")</f>
        <v>0.0207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HYPERLINK("http://141.218.60.56/~jnz1568/getInfo.php?workbook=12_04.xlsx&amp;sheet=U0&amp;row=4493&amp;col=6&amp;number=3.9&amp;sourceID=14","3.9")</f>
        <v>3.9</v>
      </c>
      <c r="G4493" s="4" t="str">
        <f>HYPERLINK("http://141.218.60.56/~jnz1568/getInfo.php?workbook=12_04.xlsx&amp;sheet=U0&amp;row=4493&amp;col=7&amp;number=0.0205&amp;sourceID=14","0.0205")</f>
        <v>0.0205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HYPERLINK("http://141.218.60.56/~jnz1568/getInfo.php?workbook=12_04.xlsx&amp;sheet=U0&amp;row=4494&amp;col=6&amp;number=4&amp;sourceID=14","4")</f>
        <v>4</v>
      </c>
      <c r="G4494" s="4" t="str">
        <f>HYPERLINK("http://141.218.60.56/~jnz1568/getInfo.php?workbook=12_04.xlsx&amp;sheet=U0&amp;row=4494&amp;col=7&amp;number=0.0202&amp;sourceID=14","0.0202")</f>
        <v>0.0202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HYPERLINK("http://141.218.60.56/~jnz1568/getInfo.php?workbook=12_04.xlsx&amp;sheet=U0&amp;row=4495&amp;col=6&amp;number=4.1&amp;sourceID=14","4.1")</f>
        <v>4.1</v>
      </c>
      <c r="G4495" s="4" t="str">
        <f>HYPERLINK("http://141.218.60.56/~jnz1568/getInfo.php?workbook=12_04.xlsx&amp;sheet=U0&amp;row=4495&amp;col=7&amp;number=0.0199&amp;sourceID=14","0.0199")</f>
        <v>0.0199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HYPERLINK("http://141.218.60.56/~jnz1568/getInfo.php?workbook=12_04.xlsx&amp;sheet=U0&amp;row=4496&amp;col=6&amp;number=4.2&amp;sourceID=14","4.2")</f>
        <v>4.2</v>
      </c>
      <c r="G4496" s="4" t="str">
        <f>HYPERLINK("http://141.218.60.56/~jnz1568/getInfo.php?workbook=12_04.xlsx&amp;sheet=U0&amp;row=4496&amp;col=7&amp;number=0.0195&amp;sourceID=14","0.0195")</f>
        <v>0.0195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HYPERLINK("http://141.218.60.56/~jnz1568/getInfo.php?workbook=12_04.xlsx&amp;sheet=U0&amp;row=4497&amp;col=6&amp;number=4.3&amp;sourceID=14","4.3")</f>
        <v>4.3</v>
      </c>
      <c r="G4497" s="4" t="str">
        <f>HYPERLINK("http://141.218.60.56/~jnz1568/getInfo.php?workbook=12_04.xlsx&amp;sheet=U0&amp;row=4497&amp;col=7&amp;number=0.0191&amp;sourceID=14","0.0191")</f>
        <v>0.0191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HYPERLINK("http://141.218.60.56/~jnz1568/getInfo.php?workbook=12_04.xlsx&amp;sheet=U0&amp;row=4498&amp;col=6&amp;number=4.4&amp;sourceID=14","4.4")</f>
        <v>4.4</v>
      </c>
      <c r="G4498" s="4" t="str">
        <f>HYPERLINK("http://141.218.60.56/~jnz1568/getInfo.php?workbook=12_04.xlsx&amp;sheet=U0&amp;row=4498&amp;col=7&amp;number=0.0185&amp;sourceID=14","0.0185")</f>
        <v>0.0185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HYPERLINK("http://141.218.60.56/~jnz1568/getInfo.php?workbook=12_04.xlsx&amp;sheet=U0&amp;row=4499&amp;col=6&amp;number=4.5&amp;sourceID=14","4.5")</f>
        <v>4.5</v>
      </c>
      <c r="G4499" s="4" t="str">
        <f>HYPERLINK("http://141.218.60.56/~jnz1568/getInfo.php?workbook=12_04.xlsx&amp;sheet=U0&amp;row=4499&amp;col=7&amp;number=0.0178&amp;sourceID=14","0.0178")</f>
        <v>0.0178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HYPERLINK("http://141.218.60.56/~jnz1568/getInfo.php?workbook=12_04.xlsx&amp;sheet=U0&amp;row=4500&amp;col=6&amp;number=4.6&amp;sourceID=14","4.6")</f>
        <v>4.6</v>
      </c>
      <c r="G4500" s="4" t="str">
        <f>HYPERLINK("http://141.218.60.56/~jnz1568/getInfo.php?workbook=12_04.xlsx&amp;sheet=U0&amp;row=4500&amp;col=7&amp;number=0.017&amp;sourceID=14","0.017")</f>
        <v>0.017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HYPERLINK("http://141.218.60.56/~jnz1568/getInfo.php?workbook=12_04.xlsx&amp;sheet=U0&amp;row=4501&amp;col=6&amp;number=4.7&amp;sourceID=14","4.7")</f>
        <v>4.7</v>
      </c>
      <c r="G4501" s="4" t="str">
        <f>HYPERLINK("http://141.218.60.56/~jnz1568/getInfo.php?workbook=12_04.xlsx&amp;sheet=U0&amp;row=4501&amp;col=7&amp;number=0.016&amp;sourceID=14","0.016")</f>
        <v>0.016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HYPERLINK("http://141.218.60.56/~jnz1568/getInfo.php?workbook=12_04.xlsx&amp;sheet=U0&amp;row=4502&amp;col=6&amp;number=4.8&amp;sourceID=14","4.8")</f>
        <v>4.8</v>
      </c>
      <c r="G4502" s="4" t="str">
        <f>HYPERLINK("http://141.218.60.56/~jnz1568/getInfo.php?workbook=12_04.xlsx&amp;sheet=U0&amp;row=4502&amp;col=7&amp;number=0.0149&amp;sourceID=14","0.0149")</f>
        <v>0.0149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HYPERLINK("http://141.218.60.56/~jnz1568/getInfo.php?workbook=12_04.xlsx&amp;sheet=U0&amp;row=4503&amp;col=6&amp;number=4.9&amp;sourceID=14","4.9")</f>
        <v>4.9</v>
      </c>
      <c r="G4503" s="4" t="str">
        <f>HYPERLINK("http://141.218.60.56/~jnz1568/getInfo.php?workbook=12_04.xlsx&amp;sheet=U0&amp;row=4503&amp;col=7&amp;number=0.0139&amp;sourceID=14","0.0139")</f>
        <v>0.0139</v>
      </c>
    </row>
    <row r="4504" spans="1:7">
      <c r="A4504" s="3">
        <v>12</v>
      </c>
      <c r="B4504" s="3">
        <v>4</v>
      </c>
      <c r="C4504" s="3">
        <v>3</v>
      </c>
      <c r="D4504" s="3">
        <v>36</v>
      </c>
      <c r="E4504" s="3">
        <v>1</v>
      </c>
      <c r="F4504" s="4" t="str">
        <f>HYPERLINK("http://141.218.60.56/~jnz1568/getInfo.php?workbook=12_04.xlsx&amp;sheet=U0&amp;row=4504&amp;col=6&amp;number=3&amp;sourceID=14","3")</f>
        <v>3</v>
      </c>
      <c r="G4504" s="4" t="str">
        <f>HYPERLINK("http://141.218.60.56/~jnz1568/getInfo.php?workbook=12_04.xlsx&amp;sheet=U0&amp;row=4504&amp;col=7&amp;number=0.0236&amp;sourceID=14","0.0236")</f>
        <v>0.0236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HYPERLINK("http://141.218.60.56/~jnz1568/getInfo.php?workbook=12_04.xlsx&amp;sheet=U0&amp;row=4505&amp;col=6&amp;number=3.1&amp;sourceID=14","3.1")</f>
        <v>3.1</v>
      </c>
      <c r="G4505" s="4" t="str">
        <f>HYPERLINK("http://141.218.60.56/~jnz1568/getInfo.php?workbook=12_04.xlsx&amp;sheet=U0&amp;row=4505&amp;col=7&amp;number=0.0236&amp;sourceID=14","0.0236")</f>
        <v>0.0236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HYPERLINK("http://141.218.60.56/~jnz1568/getInfo.php?workbook=12_04.xlsx&amp;sheet=U0&amp;row=4506&amp;col=6&amp;number=3.2&amp;sourceID=14","3.2")</f>
        <v>3.2</v>
      </c>
      <c r="G4506" s="4" t="str">
        <f>HYPERLINK("http://141.218.60.56/~jnz1568/getInfo.php?workbook=12_04.xlsx&amp;sheet=U0&amp;row=4506&amp;col=7&amp;number=0.0235&amp;sourceID=14","0.0235")</f>
        <v>0.0235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HYPERLINK("http://141.218.60.56/~jnz1568/getInfo.php?workbook=12_04.xlsx&amp;sheet=U0&amp;row=4507&amp;col=6&amp;number=3.3&amp;sourceID=14","3.3")</f>
        <v>3.3</v>
      </c>
      <c r="G4507" s="4" t="str">
        <f>HYPERLINK("http://141.218.60.56/~jnz1568/getInfo.php?workbook=12_04.xlsx&amp;sheet=U0&amp;row=4507&amp;col=7&amp;number=0.0235&amp;sourceID=14","0.0235")</f>
        <v>0.0235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HYPERLINK("http://141.218.60.56/~jnz1568/getInfo.php?workbook=12_04.xlsx&amp;sheet=U0&amp;row=4508&amp;col=6&amp;number=3.4&amp;sourceID=14","3.4")</f>
        <v>3.4</v>
      </c>
      <c r="G4508" s="4" t="str">
        <f>HYPERLINK("http://141.218.60.56/~jnz1568/getInfo.php?workbook=12_04.xlsx&amp;sheet=U0&amp;row=4508&amp;col=7&amp;number=0.0235&amp;sourceID=14","0.0235")</f>
        <v>0.0235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HYPERLINK("http://141.218.60.56/~jnz1568/getInfo.php?workbook=12_04.xlsx&amp;sheet=U0&amp;row=4509&amp;col=6&amp;number=3.5&amp;sourceID=14","3.5")</f>
        <v>3.5</v>
      </c>
      <c r="G4509" s="4" t="str">
        <f>HYPERLINK("http://141.218.60.56/~jnz1568/getInfo.php?workbook=12_04.xlsx&amp;sheet=U0&amp;row=4509&amp;col=7&amp;number=0.0234&amp;sourceID=14","0.0234")</f>
        <v>0.0234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HYPERLINK("http://141.218.60.56/~jnz1568/getInfo.php?workbook=12_04.xlsx&amp;sheet=U0&amp;row=4510&amp;col=6&amp;number=3.6&amp;sourceID=14","3.6")</f>
        <v>3.6</v>
      </c>
      <c r="G4510" s="4" t="str">
        <f>HYPERLINK("http://141.218.60.56/~jnz1568/getInfo.php?workbook=12_04.xlsx&amp;sheet=U0&amp;row=4510&amp;col=7&amp;number=0.0233&amp;sourceID=14","0.0233")</f>
        <v>0.0233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HYPERLINK("http://141.218.60.56/~jnz1568/getInfo.php?workbook=12_04.xlsx&amp;sheet=U0&amp;row=4511&amp;col=6&amp;number=3.7&amp;sourceID=14","3.7")</f>
        <v>3.7</v>
      </c>
      <c r="G4511" s="4" t="str">
        <f>HYPERLINK("http://141.218.60.56/~jnz1568/getInfo.php?workbook=12_04.xlsx&amp;sheet=U0&amp;row=4511&amp;col=7&amp;number=0.0232&amp;sourceID=14","0.0232")</f>
        <v>0.0232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HYPERLINK("http://141.218.60.56/~jnz1568/getInfo.php?workbook=12_04.xlsx&amp;sheet=U0&amp;row=4512&amp;col=6&amp;number=3.8&amp;sourceID=14","3.8")</f>
        <v>3.8</v>
      </c>
      <c r="G4512" s="4" t="str">
        <f>HYPERLINK("http://141.218.60.56/~jnz1568/getInfo.php?workbook=12_04.xlsx&amp;sheet=U0&amp;row=4512&amp;col=7&amp;number=0.0231&amp;sourceID=14","0.0231")</f>
        <v>0.0231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HYPERLINK("http://141.218.60.56/~jnz1568/getInfo.php?workbook=12_04.xlsx&amp;sheet=U0&amp;row=4513&amp;col=6&amp;number=3.9&amp;sourceID=14","3.9")</f>
        <v>3.9</v>
      </c>
      <c r="G4513" s="4" t="str">
        <f>HYPERLINK("http://141.218.60.56/~jnz1568/getInfo.php?workbook=12_04.xlsx&amp;sheet=U0&amp;row=4513&amp;col=7&amp;number=0.023&amp;sourceID=14","0.023")</f>
        <v>0.023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HYPERLINK("http://141.218.60.56/~jnz1568/getInfo.php?workbook=12_04.xlsx&amp;sheet=U0&amp;row=4514&amp;col=6&amp;number=4&amp;sourceID=14","4")</f>
        <v>4</v>
      </c>
      <c r="G4514" s="4" t="str">
        <f>HYPERLINK("http://141.218.60.56/~jnz1568/getInfo.php?workbook=12_04.xlsx&amp;sheet=U0&amp;row=4514&amp;col=7&amp;number=0.0228&amp;sourceID=14","0.0228")</f>
        <v>0.0228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HYPERLINK("http://141.218.60.56/~jnz1568/getInfo.php?workbook=12_04.xlsx&amp;sheet=U0&amp;row=4515&amp;col=6&amp;number=4.1&amp;sourceID=14","4.1")</f>
        <v>4.1</v>
      </c>
      <c r="G4515" s="4" t="str">
        <f>HYPERLINK("http://141.218.60.56/~jnz1568/getInfo.php?workbook=12_04.xlsx&amp;sheet=U0&amp;row=4515&amp;col=7&amp;number=0.0225&amp;sourceID=14","0.0225")</f>
        <v>0.0225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HYPERLINK("http://141.218.60.56/~jnz1568/getInfo.php?workbook=12_04.xlsx&amp;sheet=U0&amp;row=4516&amp;col=6&amp;number=4.2&amp;sourceID=14","4.2")</f>
        <v>4.2</v>
      </c>
      <c r="G4516" s="4" t="str">
        <f>HYPERLINK("http://141.218.60.56/~jnz1568/getInfo.php?workbook=12_04.xlsx&amp;sheet=U0&amp;row=4516&amp;col=7&amp;number=0.0222&amp;sourceID=14","0.0222")</f>
        <v>0.0222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HYPERLINK("http://141.218.60.56/~jnz1568/getInfo.php?workbook=12_04.xlsx&amp;sheet=U0&amp;row=4517&amp;col=6&amp;number=4.3&amp;sourceID=14","4.3")</f>
        <v>4.3</v>
      </c>
      <c r="G4517" s="4" t="str">
        <f>HYPERLINK("http://141.218.60.56/~jnz1568/getInfo.php?workbook=12_04.xlsx&amp;sheet=U0&amp;row=4517&amp;col=7&amp;number=0.0219&amp;sourceID=14","0.0219")</f>
        <v>0.0219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HYPERLINK("http://141.218.60.56/~jnz1568/getInfo.php?workbook=12_04.xlsx&amp;sheet=U0&amp;row=4518&amp;col=6&amp;number=4.4&amp;sourceID=14","4.4")</f>
        <v>4.4</v>
      </c>
      <c r="G4518" s="4" t="str">
        <f>HYPERLINK("http://141.218.60.56/~jnz1568/getInfo.php?workbook=12_04.xlsx&amp;sheet=U0&amp;row=4518&amp;col=7&amp;number=0.0214&amp;sourceID=14","0.0214")</f>
        <v>0.0214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HYPERLINK("http://141.218.60.56/~jnz1568/getInfo.php?workbook=12_04.xlsx&amp;sheet=U0&amp;row=4519&amp;col=6&amp;number=4.5&amp;sourceID=14","4.5")</f>
        <v>4.5</v>
      </c>
      <c r="G4519" s="4" t="str">
        <f>HYPERLINK("http://141.218.60.56/~jnz1568/getInfo.php?workbook=12_04.xlsx&amp;sheet=U0&amp;row=4519&amp;col=7&amp;number=0.0209&amp;sourceID=14","0.0209")</f>
        <v>0.0209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HYPERLINK("http://141.218.60.56/~jnz1568/getInfo.php?workbook=12_04.xlsx&amp;sheet=U0&amp;row=4520&amp;col=6&amp;number=4.6&amp;sourceID=14","4.6")</f>
        <v>4.6</v>
      </c>
      <c r="G4520" s="4" t="str">
        <f>HYPERLINK("http://141.218.60.56/~jnz1568/getInfo.php?workbook=12_04.xlsx&amp;sheet=U0&amp;row=4520&amp;col=7&amp;number=0.0202&amp;sourceID=14","0.0202")</f>
        <v>0.0202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HYPERLINK("http://141.218.60.56/~jnz1568/getInfo.php?workbook=12_04.xlsx&amp;sheet=U0&amp;row=4521&amp;col=6&amp;number=4.7&amp;sourceID=14","4.7")</f>
        <v>4.7</v>
      </c>
      <c r="G4521" s="4" t="str">
        <f>HYPERLINK("http://141.218.60.56/~jnz1568/getInfo.php?workbook=12_04.xlsx&amp;sheet=U0&amp;row=4521&amp;col=7&amp;number=0.0193&amp;sourceID=14","0.0193")</f>
        <v>0.0193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HYPERLINK("http://141.218.60.56/~jnz1568/getInfo.php?workbook=12_04.xlsx&amp;sheet=U0&amp;row=4522&amp;col=6&amp;number=4.8&amp;sourceID=14","4.8")</f>
        <v>4.8</v>
      </c>
      <c r="G4522" s="4" t="str">
        <f>HYPERLINK("http://141.218.60.56/~jnz1568/getInfo.php?workbook=12_04.xlsx&amp;sheet=U0&amp;row=4522&amp;col=7&amp;number=0.0183&amp;sourceID=14","0.0183")</f>
        <v>0.0183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HYPERLINK("http://141.218.60.56/~jnz1568/getInfo.php?workbook=12_04.xlsx&amp;sheet=U0&amp;row=4523&amp;col=6&amp;number=4.9&amp;sourceID=14","4.9")</f>
        <v>4.9</v>
      </c>
      <c r="G4523" s="4" t="str">
        <f>HYPERLINK("http://141.218.60.56/~jnz1568/getInfo.php?workbook=12_04.xlsx&amp;sheet=U0&amp;row=4523&amp;col=7&amp;number=0.0171&amp;sourceID=14","0.0171")</f>
        <v>0.0171</v>
      </c>
    </row>
    <row r="4524" spans="1:7">
      <c r="A4524" s="3">
        <v>12</v>
      </c>
      <c r="B4524" s="3">
        <v>4</v>
      </c>
      <c r="C4524" s="3">
        <v>3</v>
      </c>
      <c r="D4524" s="3">
        <v>37</v>
      </c>
      <c r="E4524" s="3">
        <v>1</v>
      </c>
      <c r="F4524" s="4" t="str">
        <f>HYPERLINK("http://141.218.60.56/~jnz1568/getInfo.php?workbook=12_04.xlsx&amp;sheet=U0&amp;row=4524&amp;col=6&amp;number=3&amp;sourceID=14","3")</f>
        <v>3</v>
      </c>
      <c r="G4524" s="4" t="str">
        <f>HYPERLINK("http://141.218.60.56/~jnz1568/getInfo.php?workbook=12_04.xlsx&amp;sheet=U0&amp;row=4524&amp;col=7&amp;number=0.0133&amp;sourceID=14","0.0133")</f>
        <v>0.0133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HYPERLINK("http://141.218.60.56/~jnz1568/getInfo.php?workbook=12_04.xlsx&amp;sheet=U0&amp;row=4525&amp;col=6&amp;number=3.1&amp;sourceID=14","3.1")</f>
        <v>3.1</v>
      </c>
      <c r="G4525" s="4" t="str">
        <f>HYPERLINK("http://141.218.60.56/~jnz1568/getInfo.php?workbook=12_04.xlsx&amp;sheet=U0&amp;row=4525&amp;col=7&amp;number=0.0133&amp;sourceID=14","0.0133")</f>
        <v>0.0133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HYPERLINK("http://141.218.60.56/~jnz1568/getInfo.php?workbook=12_04.xlsx&amp;sheet=U0&amp;row=4526&amp;col=6&amp;number=3.2&amp;sourceID=14","3.2")</f>
        <v>3.2</v>
      </c>
      <c r="G4526" s="4" t="str">
        <f>HYPERLINK("http://141.218.60.56/~jnz1568/getInfo.php?workbook=12_04.xlsx&amp;sheet=U0&amp;row=4526&amp;col=7&amp;number=0.0133&amp;sourceID=14","0.0133")</f>
        <v>0.0133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HYPERLINK("http://141.218.60.56/~jnz1568/getInfo.php?workbook=12_04.xlsx&amp;sheet=U0&amp;row=4527&amp;col=6&amp;number=3.3&amp;sourceID=14","3.3")</f>
        <v>3.3</v>
      </c>
      <c r="G4527" s="4" t="str">
        <f>HYPERLINK("http://141.218.60.56/~jnz1568/getInfo.php?workbook=12_04.xlsx&amp;sheet=U0&amp;row=4527&amp;col=7&amp;number=0.0133&amp;sourceID=14","0.0133")</f>
        <v>0.0133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HYPERLINK("http://141.218.60.56/~jnz1568/getInfo.php?workbook=12_04.xlsx&amp;sheet=U0&amp;row=4528&amp;col=6&amp;number=3.4&amp;sourceID=14","3.4")</f>
        <v>3.4</v>
      </c>
      <c r="G4528" s="4" t="str">
        <f>HYPERLINK("http://141.218.60.56/~jnz1568/getInfo.php?workbook=12_04.xlsx&amp;sheet=U0&amp;row=4528&amp;col=7&amp;number=0.0133&amp;sourceID=14","0.0133")</f>
        <v>0.0133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HYPERLINK("http://141.218.60.56/~jnz1568/getInfo.php?workbook=12_04.xlsx&amp;sheet=U0&amp;row=4529&amp;col=6&amp;number=3.5&amp;sourceID=14","3.5")</f>
        <v>3.5</v>
      </c>
      <c r="G4529" s="4" t="str">
        <f>HYPERLINK("http://141.218.60.56/~jnz1568/getInfo.php?workbook=12_04.xlsx&amp;sheet=U0&amp;row=4529&amp;col=7&amp;number=0.0133&amp;sourceID=14","0.0133")</f>
        <v>0.0133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HYPERLINK("http://141.218.60.56/~jnz1568/getInfo.php?workbook=12_04.xlsx&amp;sheet=U0&amp;row=4530&amp;col=6&amp;number=3.6&amp;sourceID=14","3.6")</f>
        <v>3.6</v>
      </c>
      <c r="G4530" s="4" t="str">
        <f>HYPERLINK("http://141.218.60.56/~jnz1568/getInfo.php?workbook=12_04.xlsx&amp;sheet=U0&amp;row=4530&amp;col=7&amp;number=0.0132&amp;sourceID=14","0.0132")</f>
        <v>0.0132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HYPERLINK("http://141.218.60.56/~jnz1568/getInfo.php?workbook=12_04.xlsx&amp;sheet=U0&amp;row=4531&amp;col=6&amp;number=3.7&amp;sourceID=14","3.7")</f>
        <v>3.7</v>
      </c>
      <c r="G4531" s="4" t="str">
        <f>HYPERLINK("http://141.218.60.56/~jnz1568/getInfo.php?workbook=12_04.xlsx&amp;sheet=U0&amp;row=4531&amp;col=7&amp;number=0.0132&amp;sourceID=14","0.0132")</f>
        <v>0.0132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HYPERLINK("http://141.218.60.56/~jnz1568/getInfo.php?workbook=12_04.xlsx&amp;sheet=U0&amp;row=4532&amp;col=6&amp;number=3.8&amp;sourceID=14","3.8")</f>
        <v>3.8</v>
      </c>
      <c r="G4532" s="4" t="str">
        <f>HYPERLINK("http://141.218.60.56/~jnz1568/getInfo.php?workbook=12_04.xlsx&amp;sheet=U0&amp;row=4532&amp;col=7&amp;number=0.0132&amp;sourceID=14","0.0132")</f>
        <v>0.0132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HYPERLINK("http://141.218.60.56/~jnz1568/getInfo.php?workbook=12_04.xlsx&amp;sheet=U0&amp;row=4533&amp;col=6&amp;number=3.9&amp;sourceID=14","3.9")</f>
        <v>3.9</v>
      </c>
      <c r="G4533" s="4" t="str">
        <f>HYPERLINK("http://141.218.60.56/~jnz1568/getInfo.php?workbook=12_04.xlsx&amp;sheet=U0&amp;row=4533&amp;col=7&amp;number=0.0131&amp;sourceID=14","0.0131")</f>
        <v>0.0131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HYPERLINK("http://141.218.60.56/~jnz1568/getInfo.php?workbook=12_04.xlsx&amp;sheet=U0&amp;row=4534&amp;col=6&amp;number=4&amp;sourceID=14","4")</f>
        <v>4</v>
      </c>
      <c r="G4534" s="4" t="str">
        <f>HYPERLINK("http://141.218.60.56/~jnz1568/getInfo.php?workbook=12_04.xlsx&amp;sheet=U0&amp;row=4534&amp;col=7&amp;number=0.013&amp;sourceID=14","0.013")</f>
        <v>0.013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HYPERLINK("http://141.218.60.56/~jnz1568/getInfo.php?workbook=12_04.xlsx&amp;sheet=U0&amp;row=4535&amp;col=6&amp;number=4.1&amp;sourceID=14","4.1")</f>
        <v>4.1</v>
      </c>
      <c r="G4535" s="4" t="str">
        <f>HYPERLINK("http://141.218.60.56/~jnz1568/getInfo.php?workbook=12_04.xlsx&amp;sheet=U0&amp;row=4535&amp;col=7&amp;number=0.013&amp;sourceID=14","0.013")</f>
        <v>0.013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HYPERLINK("http://141.218.60.56/~jnz1568/getInfo.php?workbook=12_04.xlsx&amp;sheet=U0&amp;row=4536&amp;col=6&amp;number=4.2&amp;sourceID=14","4.2")</f>
        <v>4.2</v>
      </c>
      <c r="G4536" s="4" t="str">
        <f>HYPERLINK("http://141.218.60.56/~jnz1568/getInfo.php?workbook=12_04.xlsx&amp;sheet=U0&amp;row=4536&amp;col=7&amp;number=0.0128&amp;sourceID=14","0.0128")</f>
        <v>0.0128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HYPERLINK("http://141.218.60.56/~jnz1568/getInfo.php?workbook=12_04.xlsx&amp;sheet=U0&amp;row=4537&amp;col=6&amp;number=4.3&amp;sourceID=14","4.3")</f>
        <v>4.3</v>
      </c>
      <c r="G4537" s="4" t="str">
        <f>HYPERLINK("http://141.218.60.56/~jnz1568/getInfo.php?workbook=12_04.xlsx&amp;sheet=U0&amp;row=4537&amp;col=7&amp;number=0.0127&amp;sourceID=14","0.0127")</f>
        <v>0.0127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HYPERLINK("http://141.218.60.56/~jnz1568/getInfo.php?workbook=12_04.xlsx&amp;sheet=U0&amp;row=4538&amp;col=6&amp;number=4.4&amp;sourceID=14","4.4")</f>
        <v>4.4</v>
      </c>
      <c r="G4538" s="4" t="str">
        <f>HYPERLINK("http://141.218.60.56/~jnz1568/getInfo.php?workbook=12_04.xlsx&amp;sheet=U0&amp;row=4538&amp;col=7&amp;number=0.0126&amp;sourceID=14","0.0126")</f>
        <v>0.0126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HYPERLINK("http://141.218.60.56/~jnz1568/getInfo.php?workbook=12_04.xlsx&amp;sheet=U0&amp;row=4539&amp;col=6&amp;number=4.5&amp;sourceID=14","4.5")</f>
        <v>4.5</v>
      </c>
      <c r="G4539" s="4" t="str">
        <f>HYPERLINK("http://141.218.60.56/~jnz1568/getInfo.php?workbook=12_04.xlsx&amp;sheet=U0&amp;row=4539&amp;col=7&amp;number=0.0124&amp;sourceID=14","0.0124")</f>
        <v>0.0124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HYPERLINK("http://141.218.60.56/~jnz1568/getInfo.php?workbook=12_04.xlsx&amp;sheet=U0&amp;row=4540&amp;col=6&amp;number=4.6&amp;sourceID=14","4.6")</f>
        <v>4.6</v>
      </c>
      <c r="G4540" s="4" t="str">
        <f>HYPERLINK("http://141.218.60.56/~jnz1568/getInfo.php?workbook=12_04.xlsx&amp;sheet=U0&amp;row=4540&amp;col=7&amp;number=0.0121&amp;sourceID=14","0.0121")</f>
        <v>0.0121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HYPERLINK("http://141.218.60.56/~jnz1568/getInfo.php?workbook=12_04.xlsx&amp;sheet=U0&amp;row=4541&amp;col=6&amp;number=4.7&amp;sourceID=14","4.7")</f>
        <v>4.7</v>
      </c>
      <c r="G4541" s="4" t="str">
        <f>HYPERLINK("http://141.218.60.56/~jnz1568/getInfo.php?workbook=12_04.xlsx&amp;sheet=U0&amp;row=4541&amp;col=7&amp;number=0.0118&amp;sourceID=14","0.0118")</f>
        <v>0.0118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HYPERLINK("http://141.218.60.56/~jnz1568/getInfo.php?workbook=12_04.xlsx&amp;sheet=U0&amp;row=4542&amp;col=6&amp;number=4.8&amp;sourceID=14","4.8")</f>
        <v>4.8</v>
      </c>
      <c r="G4542" s="4" t="str">
        <f>HYPERLINK("http://141.218.60.56/~jnz1568/getInfo.php?workbook=12_04.xlsx&amp;sheet=U0&amp;row=4542&amp;col=7&amp;number=0.0114&amp;sourceID=14","0.0114")</f>
        <v>0.0114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HYPERLINK("http://141.218.60.56/~jnz1568/getInfo.php?workbook=12_04.xlsx&amp;sheet=U0&amp;row=4543&amp;col=6&amp;number=4.9&amp;sourceID=14","4.9")</f>
        <v>4.9</v>
      </c>
      <c r="G4543" s="4" t="str">
        <f>HYPERLINK("http://141.218.60.56/~jnz1568/getInfo.php?workbook=12_04.xlsx&amp;sheet=U0&amp;row=4543&amp;col=7&amp;number=0.011&amp;sourceID=14","0.011")</f>
        <v>0.011</v>
      </c>
    </row>
    <row r="4544" spans="1:7">
      <c r="A4544" s="3">
        <v>12</v>
      </c>
      <c r="B4544" s="3">
        <v>4</v>
      </c>
      <c r="C4544" s="3">
        <v>3</v>
      </c>
      <c r="D4544" s="3">
        <v>38</v>
      </c>
      <c r="E4544" s="3">
        <v>1</v>
      </c>
      <c r="F4544" s="4" t="str">
        <f>HYPERLINK("http://141.218.60.56/~jnz1568/getInfo.php?workbook=12_04.xlsx&amp;sheet=U0&amp;row=4544&amp;col=6&amp;number=3&amp;sourceID=14","3")</f>
        <v>3</v>
      </c>
      <c r="G4544" s="4" t="str">
        <f>HYPERLINK("http://141.218.60.56/~jnz1568/getInfo.php?workbook=12_04.xlsx&amp;sheet=U0&amp;row=4544&amp;col=7&amp;number=0.0229&amp;sourceID=14","0.0229")</f>
        <v>0.0229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HYPERLINK("http://141.218.60.56/~jnz1568/getInfo.php?workbook=12_04.xlsx&amp;sheet=U0&amp;row=4545&amp;col=6&amp;number=3.1&amp;sourceID=14","3.1")</f>
        <v>3.1</v>
      </c>
      <c r="G4545" s="4" t="str">
        <f>HYPERLINK("http://141.218.60.56/~jnz1568/getInfo.php?workbook=12_04.xlsx&amp;sheet=U0&amp;row=4545&amp;col=7&amp;number=0.0229&amp;sourceID=14","0.0229")</f>
        <v>0.0229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HYPERLINK("http://141.218.60.56/~jnz1568/getInfo.php?workbook=12_04.xlsx&amp;sheet=U0&amp;row=4546&amp;col=6&amp;number=3.2&amp;sourceID=14","3.2")</f>
        <v>3.2</v>
      </c>
      <c r="G4546" s="4" t="str">
        <f>HYPERLINK("http://141.218.60.56/~jnz1568/getInfo.php?workbook=12_04.xlsx&amp;sheet=U0&amp;row=4546&amp;col=7&amp;number=0.0229&amp;sourceID=14","0.0229")</f>
        <v>0.0229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HYPERLINK("http://141.218.60.56/~jnz1568/getInfo.php?workbook=12_04.xlsx&amp;sheet=U0&amp;row=4547&amp;col=6&amp;number=3.3&amp;sourceID=14","3.3")</f>
        <v>3.3</v>
      </c>
      <c r="G4547" s="4" t="str">
        <f>HYPERLINK("http://141.218.60.56/~jnz1568/getInfo.php?workbook=12_04.xlsx&amp;sheet=U0&amp;row=4547&amp;col=7&amp;number=0.0228&amp;sourceID=14","0.0228")</f>
        <v>0.0228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HYPERLINK("http://141.218.60.56/~jnz1568/getInfo.php?workbook=12_04.xlsx&amp;sheet=U0&amp;row=4548&amp;col=6&amp;number=3.4&amp;sourceID=14","3.4")</f>
        <v>3.4</v>
      </c>
      <c r="G4548" s="4" t="str">
        <f>HYPERLINK("http://141.218.60.56/~jnz1568/getInfo.php?workbook=12_04.xlsx&amp;sheet=U0&amp;row=4548&amp;col=7&amp;number=0.0228&amp;sourceID=14","0.0228")</f>
        <v>0.0228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HYPERLINK("http://141.218.60.56/~jnz1568/getInfo.php?workbook=12_04.xlsx&amp;sheet=U0&amp;row=4549&amp;col=6&amp;number=3.5&amp;sourceID=14","3.5")</f>
        <v>3.5</v>
      </c>
      <c r="G4549" s="4" t="str">
        <f>HYPERLINK("http://141.218.60.56/~jnz1568/getInfo.php?workbook=12_04.xlsx&amp;sheet=U0&amp;row=4549&amp;col=7&amp;number=0.0228&amp;sourceID=14","0.0228")</f>
        <v>0.0228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HYPERLINK("http://141.218.60.56/~jnz1568/getInfo.php?workbook=12_04.xlsx&amp;sheet=U0&amp;row=4550&amp;col=6&amp;number=3.6&amp;sourceID=14","3.6")</f>
        <v>3.6</v>
      </c>
      <c r="G4550" s="4" t="str">
        <f>HYPERLINK("http://141.218.60.56/~jnz1568/getInfo.php?workbook=12_04.xlsx&amp;sheet=U0&amp;row=4550&amp;col=7&amp;number=0.0228&amp;sourceID=14","0.0228")</f>
        <v>0.0228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HYPERLINK("http://141.218.60.56/~jnz1568/getInfo.php?workbook=12_04.xlsx&amp;sheet=U0&amp;row=4551&amp;col=6&amp;number=3.7&amp;sourceID=14","3.7")</f>
        <v>3.7</v>
      </c>
      <c r="G4551" s="4" t="str">
        <f>HYPERLINK("http://141.218.60.56/~jnz1568/getInfo.php?workbook=12_04.xlsx&amp;sheet=U0&amp;row=4551&amp;col=7&amp;number=0.0228&amp;sourceID=14","0.0228")</f>
        <v>0.0228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HYPERLINK("http://141.218.60.56/~jnz1568/getInfo.php?workbook=12_04.xlsx&amp;sheet=U0&amp;row=4552&amp;col=6&amp;number=3.8&amp;sourceID=14","3.8")</f>
        <v>3.8</v>
      </c>
      <c r="G4552" s="4" t="str">
        <f>HYPERLINK("http://141.218.60.56/~jnz1568/getInfo.php?workbook=12_04.xlsx&amp;sheet=U0&amp;row=4552&amp;col=7&amp;number=0.0228&amp;sourceID=14","0.0228")</f>
        <v>0.0228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HYPERLINK("http://141.218.60.56/~jnz1568/getInfo.php?workbook=12_04.xlsx&amp;sheet=U0&amp;row=4553&amp;col=6&amp;number=3.9&amp;sourceID=14","3.9")</f>
        <v>3.9</v>
      </c>
      <c r="G4553" s="4" t="str">
        <f>HYPERLINK("http://141.218.60.56/~jnz1568/getInfo.php?workbook=12_04.xlsx&amp;sheet=U0&amp;row=4553&amp;col=7&amp;number=0.0228&amp;sourceID=14","0.0228")</f>
        <v>0.0228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HYPERLINK("http://141.218.60.56/~jnz1568/getInfo.php?workbook=12_04.xlsx&amp;sheet=U0&amp;row=4554&amp;col=6&amp;number=4&amp;sourceID=14","4")</f>
        <v>4</v>
      </c>
      <c r="G4554" s="4" t="str">
        <f>HYPERLINK("http://141.218.60.56/~jnz1568/getInfo.php?workbook=12_04.xlsx&amp;sheet=U0&amp;row=4554&amp;col=7&amp;number=0.0228&amp;sourceID=14","0.0228")</f>
        <v>0.0228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HYPERLINK("http://141.218.60.56/~jnz1568/getInfo.php?workbook=12_04.xlsx&amp;sheet=U0&amp;row=4555&amp;col=6&amp;number=4.1&amp;sourceID=14","4.1")</f>
        <v>4.1</v>
      </c>
      <c r="G4555" s="4" t="str">
        <f>HYPERLINK("http://141.218.60.56/~jnz1568/getInfo.php?workbook=12_04.xlsx&amp;sheet=U0&amp;row=4555&amp;col=7&amp;number=0.0228&amp;sourceID=14","0.0228")</f>
        <v>0.0228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HYPERLINK("http://141.218.60.56/~jnz1568/getInfo.php?workbook=12_04.xlsx&amp;sheet=U0&amp;row=4556&amp;col=6&amp;number=4.2&amp;sourceID=14","4.2")</f>
        <v>4.2</v>
      </c>
      <c r="G4556" s="4" t="str">
        <f>HYPERLINK("http://141.218.60.56/~jnz1568/getInfo.php?workbook=12_04.xlsx&amp;sheet=U0&amp;row=4556&amp;col=7&amp;number=0.0228&amp;sourceID=14","0.0228")</f>
        <v>0.0228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HYPERLINK("http://141.218.60.56/~jnz1568/getInfo.php?workbook=12_04.xlsx&amp;sheet=U0&amp;row=4557&amp;col=6&amp;number=4.3&amp;sourceID=14","4.3")</f>
        <v>4.3</v>
      </c>
      <c r="G4557" s="4" t="str">
        <f>HYPERLINK("http://141.218.60.56/~jnz1568/getInfo.php?workbook=12_04.xlsx&amp;sheet=U0&amp;row=4557&amp;col=7&amp;number=0.0227&amp;sourceID=14","0.0227")</f>
        <v>0.0227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HYPERLINK("http://141.218.60.56/~jnz1568/getInfo.php?workbook=12_04.xlsx&amp;sheet=U0&amp;row=4558&amp;col=6&amp;number=4.4&amp;sourceID=14","4.4")</f>
        <v>4.4</v>
      </c>
      <c r="G4558" s="4" t="str">
        <f>HYPERLINK("http://141.218.60.56/~jnz1568/getInfo.php?workbook=12_04.xlsx&amp;sheet=U0&amp;row=4558&amp;col=7&amp;number=0.0227&amp;sourceID=14","0.0227")</f>
        <v>0.0227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HYPERLINK("http://141.218.60.56/~jnz1568/getInfo.php?workbook=12_04.xlsx&amp;sheet=U0&amp;row=4559&amp;col=6&amp;number=4.5&amp;sourceID=14","4.5")</f>
        <v>4.5</v>
      </c>
      <c r="G4559" s="4" t="str">
        <f>HYPERLINK("http://141.218.60.56/~jnz1568/getInfo.php?workbook=12_04.xlsx&amp;sheet=U0&amp;row=4559&amp;col=7&amp;number=0.0227&amp;sourceID=14","0.0227")</f>
        <v>0.0227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HYPERLINK("http://141.218.60.56/~jnz1568/getInfo.php?workbook=12_04.xlsx&amp;sheet=U0&amp;row=4560&amp;col=6&amp;number=4.6&amp;sourceID=14","4.6")</f>
        <v>4.6</v>
      </c>
      <c r="G4560" s="4" t="str">
        <f>HYPERLINK("http://141.218.60.56/~jnz1568/getInfo.php?workbook=12_04.xlsx&amp;sheet=U0&amp;row=4560&amp;col=7&amp;number=0.0226&amp;sourceID=14","0.0226")</f>
        <v>0.0226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HYPERLINK("http://141.218.60.56/~jnz1568/getInfo.php?workbook=12_04.xlsx&amp;sheet=U0&amp;row=4561&amp;col=6&amp;number=4.7&amp;sourceID=14","4.7")</f>
        <v>4.7</v>
      </c>
      <c r="G4561" s="4" t="str">
        <f>HYPERLINK("http://141.218.60.56/~jnz1568/getInfo.php?workbook=12_04.xlsx&amp;sheet=U0&amp;row=4561&amp;col=7&amp;number=0.0226&amp;sourceID=14","0.0226")</f>
        <v>0.0226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HYPERLINK("http://141.218.60.56/~jnz1568/getInfo.php?workbook=12_04.xlsx&amp;sheet=U0&amp;row=4562&amp;col=6&amp;number=4.8&amp;sourceID=14","4.8")</f>
        <v>4.8</v>
      </c>
      <c r="G4562" s="4" t="str">
        <f>HYPERLINK("http://141.218.60.56/~jnz1568/getInfo.php?workbook=12_04.xlsx&amp;sheet=U0&amp;row=4562&amp;col=7&amp;number=0.0225&amp;sourceID=14","0.0225")</f>
        <v>0.0225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HYPERLINK("http://141.218.60.56/~jnz1568/getInfo.php?workbook=12_04.xlsx&amp;sheet=U0&amp;row=4563&amp;col=6&amp;number=4.9&amp;sourceID=14","4.9")</f>
        <v>4.9</v>
      </c>
      <c r="G4563" s="4" t="str">
        <f>HYPERLINK("http://141.218.60.56/~jnz1568/getInfo.php?workbook=12_04.xlsx&amp;sheet=U0&amp;row=4563&amp;col=7&amp;number=0.0225&amp;sourceID=14","0.0225")</f>
        <v>0.0225</v>
      </c>
    </row>
    <row r="4564" spans="1:7">
      <c r="A4564" s="3">
        <v>12</v>
      </c>
      <c r="B4564" s="3">
        <v>4</v>
      </c>
      <c r="C4564" s="3">
        <v>3</v>
      </c>
      <c r="D4564" s="3">
        <v>39</v>
      </c>
      <c r="E4564" s="3">
        <v>1</v>
      </c>
      <c r="F4564" s="4" t="str">
        <f>HYPERLINK("http://141.218.60.56/~jnz1568/getInfo.php?workbook=12_04.xlsx&amp;sheet=U0&amp;row=4564&amp;col=6&amp;number=3&amp;sourceID=14","3")</f>
        <v>3</v>
      </c>
      <c r="G4564" s="4" t="str">
        <f>HYPERLINK("http://141.218.60.56/~jnz1568/getInfo.php?workbook=12_04.xlsx&amp;sheet=U0&amp;row=4564&amp;col=7&amp;number=0.0186&amp;sourceID=14","0.0186")</f>
        <v>0.0186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HYPERLINK("http://141.218.60.56/~jnz1568/getInfo.php?workbook=12_04.xlsx&amp;sheet=U0&amp;row=4565&amp;col=6&amp;number=3.1&amp;sourceID=14","3.1")</f>
        <v>3.1</v>
      </c>
      <c r="G4565" s="4" t="str">
        <f>HYPERLINK("http://141.218.60.56/~jnz1568/getInfo.php?workbook=12_04.xlsx&amp;sheet=U0&amp;row=4565&amp;col=7&amp;number=0.0186&amp;sourceID=14","0.0186")</f>
        <v>0.0186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HYPERLINK("http://141.218.60.56/~jnz1568/getInfo.php?workbook=12_04.xlsx&amp;sheet=U0&amp;row=4566&amp;col=6&amp;number=3.2&amp;sourceID=14","3.2")</f>
        <v>3.2</v>
      </c>
      <c r="G4566" s="4" t="str">
        <f>HYPERLINK("http://141.218.60.56/~jnz1568/getInfo.php?workbook=12_04.xlsx&amp;sheet=U0&amp;row=4566&amp;col=7&amp;number=0.0186&amp;sourceID=14","0.0186")</f>
        <v>0.0186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HYPERLINK("http://141.218.60.56/~jnz1568/getInfo.php?workbook=12_04.xlsx&amp;sheet=U0&amp;row=4567&amp;col=6&amp;number=3.3&amp;sourceID=14","3.3")</f>
        <v>3.3</v>
      </c>
      <c r="G4567" s="4" t="str">
        <f>HYPERLINK("http://141.218.60.56/~jnz1568/getInfo.php?workbook=12_04.xlsx&amp;sheet=U0&amp;row=4567&amp;col=7&amp;number=0.0186&amp;sourceID=14","0.0186")</f>
        <v>0.0186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HYPERLINK("http://141.218.60.56/~jnz1568/getInfo.php?workbook=12_04.xlsx&amp;sheet=U0&amp;row=4568&amp;col=6&amp;number=3.4&amp;sourceID=14","3.4")</f>
        <v>3.4</v>
      </c>
      <c r="G4568" s="4" t="str">
        <f>HYPERLINK("http://141.218.60.56/~jnz1568/getInfo.php?workbook=12_04.xlsx&amp;sheet=U0&amp;row=4568&amp;col=7&amp;number=0.0186&amp;sourceID=14","0.0186")</f>
        <v>0.0186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HYPERLINK("http://141.218.60.56/~jnz1568/getInfo.php?workbook=12_04.xlsx&amp;sheet=U0&amp;row=4569&amp;col=6&amp;number=3.5&amp;sourceID=14","3.5")</f>
        <v>3.5</v>
      </c>
      <c r="G4569" s="4" t="str">
        <f>HYPERLINK("http://141.218.60.56/~jnz1568/getInfo.php?workbook=12_04.xlsx&amp;sheet=U0&amp;row=4569&amp;col=7&amp;number=0.0186&amp;sourceID=14","0.0186")</f>
        <v>0.0186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HYPERLINK("http://141.218.60.56/~jnz1568/getInfo.php?workbook=12_04.xlsx&amp;sheet=U0&amp;row=4570&amp;col=6&amp;number=3.6&amp;sourceID=14","3.6")</f>
        <v>3.6</v>
      </c>
      <c r="G4570" s="4" t="str">
        <f>HYPERLINK("http://141.218.60.56/~jnz1568/getInfo.php?workbook=12_04.xlsx&amp;sheet=U0&amp;row=4570&amp;col=7&amp;number=0.0186&amp;sourceID=14","0.0186")</f>
        <v>0.0186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HYPERLINK("http://141.218.60.56/~jnz1568/getInfo.php?workbook=12_04.xlsx&amp;sheet=U0&amp;row=4571&amp;col=6&amp;number=3.7&amp;sourceID=14","3.7")</f>
        <v>3.7</v>
      </c>
      <c r="G4571" s="4" t="str">
        <f>HYPERLINK("http://141.218.60.56/~jnz1568/getInfo.php?workbook=12_04.xlsx&amp;sheet=U0&amp;row=4571&amp;col=7&amp;number=0.0185&amp;sourceID=14","0.0185")</f>
        <v>0.0185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HYPERLINK("http://141.218.60.56/~jnz1568/getInfo.php?workbook=12_04.xlsx&amp;sheet=U0&amp;row=4572&amp;col=6&amp;number=3.8&amp;sourceID=14","3.8")</f>
        <v>3.8</v>
      </c>
      <c r="G4572" s="4" t="str">
        <f>HYPERLINK("http://141.218.60.56/~jnz1568/getInfo.php?workbook=12_04.xlsx&amp;sheet=U0&amp;row=4572&amp;col=7&amp;number=0.0185&amp;sourceID=14","0.0185")</f>
        <v>0.0185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HYPERLINK("http://141.218.60.56/~jnz1568/getInfo.php?workbook=12_04.xlsx&amp;sheet=U0&amp;row=4573&amp;col=6&amp;number=3.9&amp;sourceID=14","3.9")</f>
        <v>3.9</v>
      </c>
      <c r="G4573" s="4" t="str">
        <f>HYPERLINK("http://141.218.60.56/~jnz1568/getInfo.php?workbook=12_04.xlsx&amp;sheet=U0&amp;row=4573&amp;col=7&amp;number=0.0185&amp;sourceID=14","0.0185")</f>
        <v>0.0185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HYPERLINK("http://141.218.60.56/~jnz1568/getInfo.php?workbook=12_04.xlsx&amp;sheet=U0&amp;row=4574&amp;col=6&amp;number=4&amp;sourceID=14","4")</f>
        <v>4</v>
      </c>
      <c r="G4574" s="4" t="str">
        <f>HYPERLINK("http://141.218.60.56/~jnz1568/getInfo.php?workbook=12_04.xlsx&amp;sheet=U0&amp;row=4574&amp;col=7&amp;number=0.0185&amp;sourceID=14","0.0185")</f>
        <v>0.0185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HYPERLINK("http://141.218.60.56/~jnz1568/getInfo.php?workbook=12_04.xlsx&amp;sheet=U0&amp;row=4575&amp;col=6&amp;number=4.1&amp;sourceID=14","4.1")</f>
        <v>4.1</v>
      </c>
      <c r="G4575" s="4" t="str">
        <f>HYPERLINK("http://141.218.60.56/~jnz1568/getInfo.php?workbook=12_04.xlsx&amp;sheet=U0&amp;row=4575&amp;col=7&amp;number=0.0185&amp;sourceID=14","0.0185")</f>
        <v>0.0185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HYPERLINK("http://141.218.60.56/~jnz1568/getInfo.php?workbook=12_04.xlsx&amp;sheet=U0&amp;row=4576&amp;col=6&amp;number=4.2&amp;sourceID=14","4.2")</f>
        <v>4.2</v>
      </c>
      <c r="G4576" s="4" t="str">
        <f>HYPERLINK("http://141.218.60.56/~jnz1568/getInfo.php?workbook=12_04.xlsx&amp;sheet=U0&amp;row=4576&amp;col=7&amp;number=0.0184&amp;sourceID=14","0.0184")</f>
        <v>0.0184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HYPERLINK("http://141.218.60.56/~jnz1568/getInfo.php?workbook=12_04.xlsx&amp;sheet=U0&amp;row=4577&amp;col=6&amp;number=4.3&amp;sourceID=14","4.3")</f>
        <v>4.3</v>
      </c>
      <c r="G4577" s="4" t="str">
        <f>HYPERLINK("http://141.218.60.56/~jnz1568/getInfo.php?workbook=12_04.xlsx&amp;sheet=U0&amp;row=4577&amp;col=7&amp;number=0.0184&amp;sourceID=14","0.0184")</f>
        <v>0.0184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HYPERLINK("http://141.218.60.56/~jnz1568/getInfo.php?workbook=12_04.xlsx&amp;sheet=U0&amp;row=4578&amp;col=6&amp;number=4.4&amp;sourceID=14","4.4")</f>
        <v>4.4</v>
      </c>
      <c r="G4578" s="4" t="str">
        <f>HYPERLINK("http://141.218.60.56/~jnz1568/getInfo.php?workbook=12_04.xlsx&amp;sheet=U0&amp;row=4578&amp;col=7&amp;number=0.0183&amp;sourceID=14","0.0183")</f>
        <v>0.0183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HYPERLINK("http://141.218.60.56/~jnz1568/getInfo.php?workbook=12_04.xlsx&amp;sheet=U0&amp;row=4579&amp;col=6&amp;number=4.5&amp;sourceID=14","4.5")</f>
        <v>4.5</v>
      </c>
      <c r="G4579" s="4" t="str">
        <f>HYPERLINK("http://141.218.60.56/~jnz1568/getInfo.php?workbook=12_04.xlsx&amp;sheet=U0&amp;row=4579&amp;col=7&amp;number=0.0182&amp;sourceID=14","0.0182")</f>
        <v>0.0182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HYPERLINK("http://141.218.60.56/~jnz1568/getInfo.php?workbook=12_04.xlsx&amp;sheet=U0&amp;row=4580&amp;col=6&amp;number=4.6&amp;sourceID=14","4.6")</f>
        <v>4.6</v>
      </c>
      <c r="G4580" s="4" t="str">
        <f>HYPERLINK("http://141.218.60.56/~jnz1568/getInfo.php?workbook=12_04.xlsx&amp;sheet=U0&amp;row=4580&amp;col=7&amp;number=0.0181&amp;sourceID=14","0.0181")</f>
        <v>0.0181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HYPERLINK("http://141.218.60.56/~jnz1568/getInfo.php?workbook=12_04.xlsx&amp;sheet=U0&amp;row=4581&amp;col=6&amp;number=4.7&amp;sourceID=14","4.7")</f>
        <v>4.7</v>
      </c>
      <c r="G4581" s="4" t="str">
        <f>HYPERLINK("http://141.218.60.56/~jnz1568/getInfo.php?workbook=12_04.xlsx&amp;sheet=U0&amp;row=4581&amp;col=7&amp;number=0.018&amp;sourceID=14","0.018")</f>
        <v>0.018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HYPERLINK("http://141.218.60.56/~jnz1568/getInfo.php?workbook=12_04.xlsx&amp;sheet=U0&amp;row=4582&amp;col=6&amp;number=4.8&amp;sourceID=14","4.8")</f>
        <v>4.8</v>
      </c>
      <c r="G4582" s="4" t="str">
        <f>HYPERLINK("http://141.218.60.56/~jnz1568/getInfo.php?workbook=12_04.xlsx&amp;sheet=U0&amp;row=4582&amp;col=7&amp;number=0.0179&amp;sourceID=14","0.0179")</f>
        <v>0.0179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HYPERLINK("http://141.218.60.56/~jnz1568/getInfo.php?workbook=12_04.xlsx&amp;sheet=U0&amp;row=4583&amp;col=6&amp;number=4.9&amp;sourceID=14","4.9")</f>
        <v>4.9</v>
      </c>
      <c r="G4583" s="4" t="str">
        <f>HYPERLINK("http://141.218.60.56/~jnz1568/getInfo.php?workbook=12_04.xlsx&amp;sheet=U0&amp;row=4583&amp;col=7&amp;number=0.0178&amp;sourceID=14","0.0178")</f>
        <v>0.0178</v>
      </c>
    </row>
    <row r="4584" spans="1:7">
      <c r="A4584" s="3">
        <v>12</v>
      </c>
      <c r="B4584" s="3">
        <v>4</v>
      </c>
      <c r="C4584" s="3">
        <v>3</v>
      </c>
      <c r="D4584" s="3">
        <v>40</v>
      </c>
      <c r="E4584" s="3">
        <v>1</v>
      </c>
      <c r="F4584" s="4" t="str">
        <f>HYPERLINK("http://141.218.60.56/~jnz1568/getInfo.php?workbook=12_04.xlsx&amp;sheet=U0&amp;row=4584&amp;col=6&amp;number=3&amp;sourceID=14","3")</f>
        <v>3</v>
      </c>
      <c r="G4584" s="4" t="str">
        <f>HYPERLINK("http://141.218.60.56/~jnz1568/getInfo.php?workbook=12_04.xlsx&amp;sheet=U0&amp;row=4584&amp;col=7&amp;number=0.0232&amp;sourceID=14","0.0232")</f>
        <v>0.0232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HYPERLINK("http://141.218.60.56/~jnz1568/getInfo.php?workbook=12_04.xlsx&amp;sheet=U0&amp;row=4585&amp;col=6&amp;number=3.1&amp;sourceID=14","3.1")</f>
        <v>3.1</v>
      </c>
      <c r="G4585" s="4" t="str">
        <f>HYPERLINK("http://141.218.60.56/~jnz1568/getInfo.php?workbook=12_04.xlsx&amp;sheet=U0&amp;row=4585&amp;col=7&amp;number=0.0232&amp;sourceID=14","0.0232")</f>
        <v>0.0232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HYPERLINK("http://141.218.60.56/~jnz1568/getInfo.php?workbook=12_04.xlsx&amp;sheet=U0&amp;row=4586&amp;col=6&amp;number=3.2&amp;sourceID=14","3.2")</f>
        <v>3.2</v>
      </c>
      <c r="G4586" s="4" t="str">
        <f>HYPERLINK("http://141.218.60.56/~jnz1568/getInfo.php?workbook=12_04.xlsx&amp;sheet=U0&amp;row=4586&amp;col=7&amp;number=0.0232&amp;sourceID=14","0.0232")</f>
        <v>0.0232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HYPERLINK("http://141.218.60.56/~jnz1568/getInfo.php?workbook=12_04.xlsx&amp;sheet=U0&amp;row=4587&amp;col=6&amp;number=3.3&amp;sourceID=14","3.3")</f>
        <v>3.3</v>
      </c>
      <c r="G4587" s="4" t="str">
        <f>HYPERLINK("http://141.218.60.56/~jnz1568/getInfo.php?workbook=12_04.xlsx&amp;sheet=U0&amp;row=4587&amp;col=7&amp;number=0.0232&amp;sourceID=14","0.0232")</f>
        <v>0.0232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HYPERLINK("http://141.218.60.56/~jnz1568/getInfo.php?workbook=12_04.xlsx&amp;sheet=U0&amp;row=4588&amp;col=6&amp;number=3.4&amp;sourceID=14","3.4")</f>
        <v>3.4</v>
      </c>
      <c r="G4588" s="4" t="str">
        <f>HYPERLINK("http://141.218.60.56/~jnz1568/getInfo.php?workbook=12_04.xlsx&amp;sheet=U0&amp;row=4588&amp;col=7&amp;number=0.0232&amp;sourceID=14","0.0232")</f>
        <v>0.0232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HYPERLINK("http://141.218.60.56/~jnz1568/getInfo.php?workbook=12_04.xlsx&amp;sheet=U0&amp;row=4589&amp;col=6&amp;number=3.5&amp;sourceID=14","3.5")</f>
        <v>3.5</v>
      </c>
      <c r="G4589" s="4" t="str">
        <f>HYPERLINK("http://141.218.60.56/~jnz1568/getInfo.php?workbook=12_04.xlsx&amp;sheet=U0&amp;row=4589&amp;col=7&amp;number=0.0231&amp;sourceID=14","0.0231")</f>
        <v>0.0231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HYPERLINK("http://141.218.60.56/~jnz1568/getInfo.php?workbook=12_04.xlsx&amp;sheet=U0&amp;row=4590&amp;col=6&amp;number=3.6&amp;sourceID=14","3.6")</f>
        <v>3.6</v>
      </c>
      <c r="G4590" s="4" t="str">
        <f>HYPERLINK("http://141.218.60.56/~jnz1568/getInfo.php?workbook=12_04.xlsx&amp;sheet=U0&amp;row=4590&amp;col=7&amp;number=0.0231&amp;sourceID=14","0.0231")</f>
        <v>0.0231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HYPERLINK("http://141.218.60.56/~jnz1568/getInfo.php?workbook=12_04.xlsx&amp;sheet=U0&amp;row=4591&amp;col=6&amp;number=3.7&amp;sourceID=14","3.7")</f>
        <v>3.7</v>
      </c>
      <c r="G4591" s="4" t="str">
        <f>HYPERLINK("http://141.218.60.56/~jnz1568/getInfo.php?workbook=12_04.xlsx&amp;sheet=U0&amp;row=4591&amp;col=7&amp;number=0.0231&amp;sourceID=14","0.0231")</f>
        <v>0.0231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HYPERLINK("http://141.218.60.56/~jnz1568/getInfo.php?workbook=12_04.xlsx&amp;sheet=U0&amp;row=4592&amp;col=6&amp;number=3.8&amp;sourceID=14","3.8")</f>
        <v>3.8</v>
      </c>
      <c r="G4592" s="4" t="str">
        <f>HYPERLINK("http://141.218.60.56/~jnz1568/getInfo.php?workbook=12_04.xlsx&amp;sheet=U0&amp;row=4592&amp;col=7&amp;number=0.0231&amp;sourceID=14","0.0231")</f>
        <v>0.0231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HYPERLINK("http://141.218.60.56/~jnz1568/getInfo.php?workbook=12_04.xlsx&amp;sheet=U0&amp;row=4593&amp;col=6&amp;number=3.9&amp;sourceID=14","3.9")</f>
        <v>3.9</v>
      </c>
      <c r="G4593" s="4" t="str">
        <f>HYPERLINK("http://141.218.60.56/~jnz1568/getInfo.php?workbook=12_04.xlsx&amp;sheet=U0&amp;row=4593&amp;col=7&amp;number=0.0231&amp;sourceID=14","0.0231")</f>
        <v>0.0231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HYPERLINK("http://141.218.60.56/~jnz1568/getInfo.php?workbook=12_04.xlsx&amp;sheet=U0&amp;row=4594&amp;col=6&amp;number=4&amp;sourceID=14","4")</f>
        <v>4</v>
      </c>
      <c r="G4594" s="4" t="str">
        <f>HYPERLINK("http://141.218.60.56/~jnz1568/getInfo.php?workbook=12_04.xlsx&amp;sheet=U0&amp;row=4594&amp;col=7&amp;number=0.0231&amp;sourceID=14","0.0231")</f>
        <v>0.0231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HYPERLINK("http://141.218.60.56/~jnz1568/getInfo.php?workbook=12_04.xlsx&amp;sheet=U0&amp;row=4595&amp;col=6&amp;number=4.1&amp;sourceID=14","4.1")</f>
        <v>4.1</v>
      </c>
      <c r="G4595" s="4" t="str">
        <f>HYPERLINK("http://141.218.60.56/~jnz1568/getInfo.php?workbook=12_04.xlsx&amp;sheet=U0&amp;row=4595&amp;col=7&amp;number=0.0231&amp;sourceID=14","0.0231")</f>
        <v>0.0231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HYPERLINK("http://141.218.60.56/~jnz1568/getInfo.php?workbook=12_04.xlsx&amp;sheet=U0&amp;row=4596&amp;col=6&amp;number=4.2&amp;sourceID=14","4.2")</f>
        <v>4.2</v>
      </c>
      <c r="G4596" s="4" t="str">
        <f>HYPERLINK("http://141.218.60.56/~jnz1568/getInfo.php?workbook=12_04.xlsx&amp;sheet=U0&amp;row=4596&amp;col=7&amp;number=0.0231&amp;sourceID=14","0.0231")</f>
        <v>0.0231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HYPERLINK("http://141.218.60.56/~jnz1568/getInfo.php?workbook=12_04.xlsx&amp;sheet=U0&amp;row=4597&amp;col=6&amp;number=4.3&amp;sourceID=14","4.3")</f>
        <v>4.3</v>
      </c>
      <c r="G4597" s="4" t="str">
        <f>HYPERLINK("http://141.218.60.56/~jnz1568/getInfo.php?workbook=12_04.xlsx&amp;sheet=U0&amp;row=4597&amp;col=7&amp;number=0.0231&amp;sourceID=14","0.0231")</f>
        <v>0.0231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HYPERLINK("http://141.218.60.56/~jnz1568/getInfo.php?workbook=12_04.xlsx&amp;sheet=U0&amp;row=4598&amp;col=6&amp;number=4.4&amp;sourceID=14","4.4")</f>
        <v>4.4</v>
      </c>
      <c r="G4598" s="4" t="str">
        <f>HYPERLINK("http://141.218.60.56/~jnz1568/getInfo.php?workbook=12_04.xlsx&amp;sheet=U0&amp;row=4598&amp;col=7&amp;number=0.0231&amp;sourceID=14","0.0231")</f>
        <v>0.0231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HYPERLINK("http://141.218.60.56/~jnz1568/getInfo.php?workbook=12_04.xlsx&amp;sheet=U0&amp;row=4599&amp;col=6&amp;number=4.5&amp;sourceID=14","4.5")</f>
        <v>4.5</v>
      </c>
      <c r="G4599" s="4" t="str">
        <f>HYPERLINK("http://141.218.60.56/~jnz1568/getInfo.php?workbook=12_04.xlsx&amp;sheet=U0&amp;row=4599&amp;col=7&amp;number=0.0231&amp;sourceID=14","0.0231")</f>
        <v>0.0231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HYPERLINK("http://141.218.60.56/~jnz1568/getInfo.php?workbook=12_04.xlsx&amp;sheet=U0&amp;row=4600&amp;col=6&amp;number=4.6&amp;sourceID=14","4.6")</f>
        <v>4.6</v>
      </c>
      <c r="G4600" s="4" t="str">
        <f>HYPERLINK("http://141.218.60.56/~jnz1568/getInfo.php?workbook=12_04.xlsx&amp;sheet=U0&amp;row=4600&amp;col=7&amp;number=0.023&amp;sourceID=14","0.023")</f>
        <v>0.023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HYPERLINK("http://141.218.60.56/~jnz1568/getInfo.php?workbook=12_04.xlsx&amp;sheet=U0&amp;row=4601&amp;col=6&amp;number=4.7&amp;sourceID=14","4.7")</f>
        <v>4.7</v>
      </c>
      <c r="G4601" s="4" t="str">
        <f>HYPERLINK("http://141.218.60.56/~jnz1568/getInfo.php?workbook=12_04.xlsx&amp;sheet=U0&amp;row=4601&amp;col=7&amp;number=0.023&amp;sourceID=14","0.023")</f>
        <v>0.023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HYPERLINK("http://141.218.60.56/~jnz1568/getInfo.php?workbook=12_04.xlsx&amp;sheet=U0&amp;row=4602&amp;col=6&amp;number=4.8&amp;sourceID=14","4.8")</f>
        <v>4.8</v>
      </c>
      <c r="G4602" s="4" t="str">
        <f>HYPERLINK("http://141.218.60.56/~jnz1568/getInfo.php?workbook=12_04.xlsx&amp;sheet=U0&amp;row=4602&amp;col=7&amp;number=0.023&amp;sourceID=14","0.023")</f>
        <v>0.023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HYPERLINK("http://141.218.60.56/~jnz1568/getInfo.php?workbook=12_04.xlsx&amp;sheet=U0&amp;row=4603&amp;col=6&amp;number=4.9&amp;sourceID=14","4.9")</f>
        <v>4.9</v>
      </c>
      <c r="G4603" s="4" t="str">
        <f>HYPERLINK("http://141.218.60.56/~jnz1568/getInfo.php?workbook=12_04.xlsx&amp;sheet=U0&amp;row=4603&amp;col=7&amp;number=0.0229&amp;sourceID=14","0.0229")</f>
        <v>0.0229</v>
      </c>
    </row>
    <row r="4604" spans="1:7">
      <c r="A4604" s="3">
        <v>12</v>
      </c>
      <c r="B4604" s="3">
        <v>4</v>
      </c>
      <c r="C4604" s="3">
        <v>3</v>
      </c>
      <c r="D4604" s="3">
        <v>41</v>
      </c>
      <c r="E4604" s="3">
        <v>1</v>
      </c>
      <c r="F4604" s="4" t="str">
        <f>HYPERLINK("http://141.218.60.56/~jnz1568/getInfo.php?workbook=12_04.xlsx&amp;sheet=U0&amp;row=4604&amp;col=6&amp;number=3&amp;sourceID=14","3")</f>
        <v>3</v>
      </c>
      <c r="G4604" s="4" t="str">
        <f>HYPERLINK("http://141.218.60.56/~jnz1568/getInfo.php?workbook=12_04.xlsx&amp;sheet=U0&amp;row=4604&amp;col=7&amp;number=0.0169&amp;sourceID=14","0.0169")</f>
        <v>0.0169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HYPERLINK("http://141.218.60.56/~jnz1568/getInfo.php?workbook=12_04.xlsx&amp;sheet=U0&amp;row=4605&amp;col=6&amp;number=3.1&amp;sourceID=14","3.1")</f>
        <v>3.1</v>
      </c>
      <c r="G4605" s="4" t="str">
        <f>HYPERLINK("http://141.218.60.56/~jnz1568/getInfo.php?workbook=12_04.xlsx&amp;sheet=U0&amp;row=4605&amp;col=7&amp;number=0.0169&amp;sourceID=14","0.0169")</f>
        <v>0.0169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HYPERLINK("http://141.218.60.56/~jnz1568/getInfo.php?workbook=12_04.xlsx&amp;sheet=U0&amp;row=4606&amp;col=6&amp;number=3.2&amp;sourceID=14","3.2")</f>
        <v>3.2</v>
      </c>
      <c r="G4606" s="4" t="str">
        <f>HYPERLINK("http://141.218.60.56/~jnz1568/getInfo.php?workbook=12_04.xlsx&amp;sheet=U0&amp;row=4606&amp;col=7&amp;number=0.0169&amp;sourceID=14","0.0169")</f>
        <v>0.0169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HYPERLINK("http://141.218.60.56/~jnz1568/getInfo.php?workbook=12_04.xlsx&amp;sheet=U0&amp;row=4607&amp;col=6&amp;number=3.3&amp;sourceID=14","3.3")</f>
        <v>3.3</v>
      </c>
      <c r="G4607" s="4" t="str">
        <f>HYPERLINK("http://141.218.60.56/~jnz1568/getInfo.php?workbook=12_04.xlsx&amp;sheet=U0&amp;row=4607&amp;col=7&amp;number=0.017&amp;sourceID=14","0.017")</f>
        <v>0.017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HYPERLINK("http://141.218.60.56/~jnz1568/getInfo.php?workbook=12_04.xlsx&amp;sheet=U0&amp;row=4608&amp;col=6&amp;number=3.4&amp;sourceID=14","3.4")</f>
        <v>3.4</v>
      </c>
      <c r="G4608" s="4" t="str">
        <f>HYPERLINK("http://141.218.60.56/~jnz1568/getInfo.php?workbook=12_04.xlsx&amp;sheet=U0&amp;row=4608&amp;col=7&amp;number=0.017&amp;sourceID=14","0.017")</f>
        <v>0.017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HYPERLINK("http://141.218.60.56/~jnz1568/getInfo.php?workbook=12_04.xlsx&amp;sheet=U0&amp;row=4609&amp;col=6&amp;number=3.5&amp;sourceID=14","3.5")</f>
        <v>3.5</v>
      </c>
      <c r="G4609" s="4" t="str">
        <f>HYPERLINK("http://141.218.60.56/~jnz1568/getInfo.php?workbook=12_04.xlsx&amp;sheet=U0&amp;row=4609&amp;col=7&amp;number=0.017&amp;sourceID=14","0.017")</f>
        <v>0.017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HYPERLINK("http://141.218.60.56/~jnz1568/getInfo.php?workbook=12_04.xlsx&amp;sheet=U0&amp;row=4610&amp;col=6&amp;number=3.6&amp;sourceID=14","3.6")</f>
        <v>3.6</v>
      </c>
      <c r="G4610" s="4" t="str">
        <f>HYPERLINK("http://141.218.60.56/~jnz1568/getInfo.php?workbook=12_04.xlsx&amp;sheet=U0&amp;row=4610&amp;col=7&amp;number=0.017&amp;sourceID=14","0.017")</f>
        <v>0.017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HYPERLINK("http://141.218.60.56/~jnz1568/getInfo.php?workbook=12_04.xlsx&amp;sheet=U0&amp;row=4611&amp;col=6&amp;number=3.7&amp;sourceID=14","3.7")</f>
        <v>3.7</v>
      </c>
      <c r="G4611" s="4" t="str">
        <f>HYPERLINK("http://141.218.60.56/~jnz1568/getInfo.php?workbook=12_04.xlsx&amp;sheet=U0&amp;row=4611&amp;col=7&amp;number=0.017&amp;sourceID=14","0.017")</f>
        <v>0.017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HYPERLINK("http://141.218.60.56/~jnz1568/getInfo.php?workbook=12_04.xlsx&amp;sheet=U0&amp;row=4612&amp;col=6&amp;number=3.8&amp;sourceID=14","3.8")</f>
        <v>3.8</v>
      </c>
      <c r="G4612" s="4" t="str">
        <f>HYPERLINK("http://141.218.60.56/~jnz1568/getInfo.php?workbook=12_04.xlsx&amp;sheet=U0&amp;row=4612&amp;col=7&amp;number=0.017&amp;sourceID=14","0.017")</f>
        <v>0.017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HYPERLINK("http://141.218.60.56/~jnz1568/getInfo.php?workbook=12_04.xlsx&amp;sheet=U0&amp;row=4613&amp;col=6&amp;number=3.9&amp;sourceID=14","3.9")</f>
        <v>3.9</v>
      </c>
      <c r="G4613" s="4" t="str">
        <f>HYPERLINK("http://141.218.60.56/~jnz1568/getInfo.php?workbook=12_04.xlsx&amp;sheet=U0&amp;row=4613&amp;col=7&amp;number=0.017&amp;sourceID=14","0.017")</f>
        <v>0.017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HYPERLINK("http://141.218.60.56/~jnz1568/getInfo.php?workbook=12_04.xlsx&amp;sheet=U0&amp;row=4614&amp;col=6&amp;number=4&amp;sourceID=14","4")</f>
        <v>4</v>
      </c>
      <c r="G4614" s="4" t="str">
        <f>HYPERLINK("http://141.218.60.56/~jnz1568/getInfo.php?workbook=12_04.xlsx&amp;sheet=U0&amp;row=4614&amp;col=7&amp;number=0.0171&amp;sourceID=14","0.0171")</f>
        <v>0.0171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HYPERLINK("http://141.218.60.56/~jnz1568/getInfo.php?workbook=12_04.xlsx&amp;sheet=U0&amp;row=4615&amp;col=6&amp;number=4.1&amp;sourceID=14","4.1")</f>
        <v>4.1</v>
      </c>
      <c r="G4615" s="4" t="str">
        <f>HYPERLINK("http://141.218.60.56/~jnz1568/getInfo.php?workbook=12_04.xlsx&amp;sheet=U0&amp;row=4615&amp;col=7&amp;number=0.0171&amp;sourceID=14","0.0171")</f>
        <v>0.0171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HYPERLINK("http://141.218.60.56/~jnz1568/getInfo.php?workbook=12_04.xlsx&amp;sheet=U0&amp;row=4616&amp;col=6&amp;number=4.2&amp;sourceID=14","4.2")</f>
        <v>4.2</v>
      </c>
      <c r="G4616" s="4" t="str">
        <f>HYPERLINK("http://141.218.60.56/~jnz1568/getInfo.php?workbook=12_04.xlsx&amp;sheet=U0&amp;row=4616&amp;col=7&amp;number=0.0171&amp;sourceID=14","0.0171")</f>
        <v>0.0171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HYPERLINK("http://141.218.60.56/~jnz1568/getInfo.php?workbook=12_04.xlsx&amp;sheet=U0&amp;row=4617&amp;col=6&amp;number=4.3&amp;sourceID=14","4.3")</f>
        <v>4.3</v>
      </c>
      <c r="G4617" s="4" t="str">
        <f>HYPERLINK("http://141.218.60.56/~jnz1568/getInfo.php?workbook=12_04.xlsx&amp;sheet=U0&amp;row=4617&amp;col=7&amp;number=0.0172&amp;sourceID=14","0.0172")</f>
        <v>0.0172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HYPERLINK("http://141.218.60.56/~jnz1568/getInfo.php?workbook=12_04.xlsx&amp;sheet=U0&amp;row=4618&amp;col=6&amp;number=4.4&amp;sourceID=14","4.4")</f>
        <v>4.4</v>
      </c>
      <c r="G4618" s="4" t="str">
        <f>HYPERLINK("http://141.218.60.56/~jnz1568/getInfo.php?workbook=12_04.xlsx&amp;sheet=U0&amp;row=4618&amp;col=7&amp;number=0.0172&amp;sourceID=14","0.0172")</f>
        <v>0.0172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HYPERLINK("http://141.218.60.56/~jnz1568/getInfo.php?workbook=12_04.xlsx&amp;sheet=U0&amp;row=4619&amp;col=6&amp;number=4.5&amp;sourceID=14","4.5")</f>
        <v>4.5</v>
      </c>
      <c r="G4619" s="4" t="str">
        <f>HYPERLINK("http://141.218.60.56/~jnz1568/getInfo.php?workbook=12_04.xlsx&amp;sheet=U0&amp;row=4619&amp;col=7&amp;number=0.0173&amp;sourceID=14","0.0173")</f>
        <v>0.0173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HYPERLINK("http://141.218.60.56/~jnz1568/getInfo.php?workbook=12_04.xlsx&amp;sheet=U0&amp;row=4620&amp;col=6&amp;number=4.6&amp;sourceID=14","4.6")</f>
        <v>4.6</v>
      </c>
      <c r="G4620" s="4" t="str">
        <f>HYPERLINK("http://141.218.60.56/~jnz1568/getInfo.php?workbook=12_04.xlsx&amp;sheet=U0&amp;row=4620&amp;col=7&amp;number=0.0174&amp;sourceID=14","0.0174")</f>
        <v>0.0174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HYPERLINK("http://141.218.60.56/~jnz1568/getInfo.php?workbook=12_04.xlsx&amp;sheet=U0&amp;row=4621&amp;col=6&amp;number=4.7&amp;sourceID=14","4.7")</f>
        <v>4.7</v>
      </c>
      <c r="G4621" s="4" t="str">
        <f>HYPERLINK("http://141.218.60.56/~jnz1568/getInfo.php?workbook=12_04.xlsx&amp;sheet=U0&amp;row=4621&amp;col=7&amp;number=0.0175&amp;sourceID=14","0.0175")</f>
        <v>0.0175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HYPERLINK("http://141.218.60.56/~jnz1568/getInfo.php?workbook=12_04.xlsx&amp;sheet=U0&amp;row=4622&amp;col=6&amp;number=4.8&amp;sourceID=14","4.8")</f>
        <v>4.8</v>
      </c>
      <c r="G4622" s="4" t="str">
        <f>HYPERLINK("http://141.218.60.56/~jnz1568/getInfo.php?workbook=12_04.xlsx&amp;sheet=U0&amp;row=4622&amp;col=7&amp;number=0.0177&amp;sourceID=14","0.0177")</f>
        <v>0.0177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HYPERLINK("http://141.218.60.56/~jnz1568/getInfo.php?workbook=12_04.xlsx&amp;sheet=U0&amp;row=4623&amp;col=6&amp;number=4.9&amp;sourceID=14","4.9")</f>
        <v>4.9</v>
      </c>
      <c r="G4623" s="4" t="str">
        <f>HYPERLINK("http://141.218.60.56/~jnz1568/getInfo.php?workbook=12_04.xlsx&amp;sheet=U0&amp;row=4623&amp;col=7&amp;number=0.0178&amp;sourceID=14","0.0178")</f>
        <v>0.0178</v>
      </c>
    </row>
    <row r="4624" spans="1:7">
      <c r="A4624" s="3">
        <v>12</v>
      </c>
      <c r="B4624" s="3">
        <v>4</v>
      </c>
      <c r="C4624" s="3">
        <v>3</v>
      </c>
      <c r="D4624" s="3">
        <v>42</v>
      </c>
      <c r="E4624" s="3">
        <v>1</v>
      </c>
      <c r="F4624" s="4" t="str">
        <f>HYPERLINK("http://141.218.60.56/~jnz1568/getInfo.php?workbook=12_04.xlsx&amp;sheet=U0&amp;row=4624&amp;col=6&amp;number=3&amp;sourceID=14","3")</f>
        <v>3</v>
      </c>
      <c r="G4624" s="4" t="str">
        <f>HYPERLINK("http://141.218.60.56/~jnz1568/getInfo.php?workbook=12_04.xlsx&amp;sheet=U0&amp;row=4624&amp;col=7&amp;number=0.00568&amp;sourceID=14","0.00568")</f>
        <v>0.00568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HYPERLINK("http://141.218.60.56/~jnz1568/getInfo.php?workbook=12_04.xlsx&amp;sheet=U0&amp;row=4625&amp;col=6&amp;number=3.1&amp;sourceID=14","3.1")</f>
        <v>3.1</v>
      </c>
      <c r="G4625" s="4" t="str">
        <f>HYPERLINK("http://141.218.60.56/~jnz1568/getInfo.php?workbook=12_04.xlsx&amp;sheet=U0&amp;row=4625&amp;col=7&amp;number=0.00568&amp;sourceID=14","0.00568")</f>
        <v>0.00568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HYPERLINK("http://141.218.60.56/~jnz1568/getInfo.php?workbook=12_04.xlsx&amp;sheet=U0&amp;row=4626&amp;col=6&amp;number=3.2&amp;sourceID=14","3.2")</f>
        <v>3.2</v>
      </c>
      <c r="G4626" s="4" t="str">
        <f>HYPERLINK("http://141.218.60.56/~jnz1568/getInfo.php?workbook=12_04.xlsx&amp;sheet=U0&amp;row=4626&amp;col=7&amp;number=0.00569&amp;sourceID=14","0.00569")</f>
        <v>0.00569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HYPERLINK("http://141.218.60.56/~jnz1568/getInfo.php?workbook=12_04.xlsx&amp;sheet=U0&amp;row=4627&amp;col=6&amp;number=3.3&amp;sourceID=14","3.3")</f>
        <v>3.3</v>
      </c>
      <c r="G4627" s="4" t="str">
        <f>HYPERLINK("http://141.218.60.56/~jnz1568/getInfo.php?workbook=12_04.xlsx&amp;sheet=U0&amp;row=4627&amp;col=7&amp;number=0.00569&amp;sourceID=14","0.00569")</f>
        <v>0.00569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HYPERLINK("http://141.218.60.56/~jnz1568/getInfo.php?workbook=12_04.xlsx&amp;sheet=U0&amp;row=4628&amp;col=6&amp;number=3.4&amp;sourceID=14","3.4")</f>
        <v>3.4</v>
      </c>
      <c r="G4628" s="4" t="str">
        <f>HYPERLINK("http://141.218.60.56/~jnz1568/getInfo.php?workbook=12_04.xlsx&amp;sheet=U0&amp;row=4628&amp;col=7&amp;number=0.0057&amp;sourceID=14","0.0057")</f>
        <v>0.0057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HYPERLINK("http://141.218.60.56/~jnz1568/getInfo.php?workbook=12_04.xlsx&amp;sheet=U0&amp;row=4629&amp;col=6&amp;number=3.5&amp;sourceID=14","3.5")</f>
        <v>3.5</v>
      </c>
      <c r="G4629" s="4" t="str">
        <f>HYPERLINK("http://141.218.60.56/~jnz1568/getInfo.php?workbook=12_04.xlsx&amp;sheet=U0&amp;row=4629&amp;col=7&amp;number=0.00571&amp;sourceID=14","0.00571")</f>
        <v>0.00571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HYPERLINK("http://141.218.60.56/~jnz1568/getInfo.php?workbook=12_04.xlsx&amp;sheet=U0&amp;row=4630&amp;col=6&amp;number=3.6&amp;sourceID=14","3.6")</f>
        <v>3.6</v>
      </c>
      <c r="G4630" s="4" t="str">
        <f>HYPERLINK("http://141.218.60.56/~jnz1568/getInfo.php?workbook=12_04.xlsx&amp;sheet=U0&amp;row=4630&amp;col=7&amp;number=0.00572&amp;sourceID=14","0.00572")</f>
        <v>0.00572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HYPERLINK("http://141.218.60.56/~jnz1568/getInfo.php?workbook=12_04.xlsx&amp;sheet=U0&amp;row=4631&amp;col=6&amp;number=3.7&amp;sourceID=14","3.7")</f>
        <v>3.7</v>
      </c>
      <c r="G4631" s="4" t="str">
        <f>HYPERLINK("http://141.218.60.56/~jnz1568/getInfo.php?workbook=12_04.xlsx&amp;sheet=U0&amp;row=4631&amp;col=7&amp;number=0.00573&amp;sourceID=14","0.00573")</f>
        <v>0.00573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HYPERLINK("http://141.218.60.56/~jnz1568/getInfo.php?workbook=12_04.xlsx&amp;sheet=U0&amp;row=4632&amp;col=6&amp;number=3.8&amp;sourceID=14","3.8")</f>
        <v>3.8</v>
      </c>
      <c r="G4632" s="4" t="str">
        <f>HYPERLINK("http://141.218.60.56/~jnz1568/getInfo.php?workbook=12_04.xlsx&amp;sheet=U0&amp;row=4632&amp;col=7&amp;number=0.00575&amp;sourceID=14","0.00575")</f>
        <v>0.00575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HYPERLINK("http://141.218.60.56/~jnz1568/getInfo.php?workbook=12_04.xlsx&amp;sheet=U0&amp;row=4633&amp;col=6&amp;number=3.9&amp;sourceID=14","3.9")</f>
        <v>3.9</v>
      </c>
      <c r="G4633" s="4" t="str">
        <f>HYPERLINK("http://141.218.60.56/~jnz1568/getInfo.php?workbook=12_04.xlsx&amp;sheet=U0&amp;row=4633&amp;col=7&amp;number=0.00577&amp;sourceID=14","0.00577")</f>
        <v>0.00577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HYPERLINK("http://141.218.60.56/~jnz1568/getInfo.php?workbook=12_04.xlsx&amp;sheet=U0&amp;row=4634&amp;col=6&amp;number=4&amp;sourceID=14","4")</f>
        <v>4</v>
      </c>
      <c r="G4634" s="4" t="str">
        <f>HYPERLINK("http://141.218.60.56/~jnz1568/getInfo.php?workbook=12_04.xlsx&amp;sheet=U0&amp;row=4634&amp;col=7&amp;number=0.00579&amp;sourceID=14","0.00579")</f>
        <v>0.00579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HYPERLINK("http://141.218.60.56/~jnz1568/getInfo.php?workbook=12_04.xlsx&amp;sheet=U0&amp;row=4635&amp;col=6&amp;number=4.1&amp;sourceID=14","4.1")</f>
        <v>4.1</v>
      </c>
      <c r="G4635" s="4" t="str">
        <f>HYPERLINK("http://141.218.60.56/~jnz1568/getInfo.php?workbook=12_04.xlsx&amp;sheet=U0&amp;row=4635&amp;col=7&amp;number=0.00582&amp;sourceID=14","0.00582")</f>
        <v>0.00582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HYPERLINK("http://141.218.60.56/~jnz1568/getInfo.php?workbook=12_04.xlsx&amp;sheet=U0&amp;row=4636&amp;col=6&amp;number=4.2&amp;sourceID=14","4.2")</f>
        <v>4.2</v>
      </c>
      <c r="G4636" s="4" t="str">
        <f>HYPERLINK("http://141.218.60.56/~jnz1568/getInfo.php?workbook=12_04.xlsx&amp;sheet=U0&amp;row=4636&amp;col=7&amp;number=0.00586&amp;sourceID=14","0.00586")</f>
        <v>0.00586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HYPERLINK("http://141.218.60.56/~jnz1568/getInfo.php?workbook=12_04.xlsx&amp;sheet=U0&amp;row=4637&amp;col=6&amp;number=4.3&amp;sourceID=14","4.3")</f>
        <v>4.3</v>
      </c>
      <c r="G4637" s="4" t="str">
        <f>HYPERLINK("http://141.218.60.56/~jnz1568/getInfo.php?workbook=12_04.xlsx&amp;sheet=U0&amp;row=4637&amp;col=7&amp;number=0.00591&amp;sourceID=14","0.00591")</f>
        <v>0.00591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HYPERLINK("http://141.218.60.56/~jnz1568/getInfo.php?workbook=12_04.xlsx&amp;sheet=U0&amp;row=4638&amp;col=6&amp;number=4.4&amp;sourceID=14","4.4")</f>
        <v>4.4</v>
      </c>
      <c r="G4638" s="4" t="str">
        <f>HYPERLINK("http://141.218.60.56/~jnz1568/getInfo.php?workbook=12_04.xlsx&amp;sheet=U0&amp;row=4638&amp;col=7&amp;number=0.00597&amp;sourceID=14","0.00597")</f>
        <v>0.00597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HYPERLINK("http://141.218.60.56/~jnz1568/getInfo.php?workbook=12_04.xlsx&amp;sheet=U0&amp;row=4639&amp;col=6&amp;number=4.5&amp;sourceID=14","4.5")</f>
        <v>4.5</v>
      </c>
      <c r="G4639" s="4" t="str">
        <f>HYPERLINK("http://141.218.60.56/~jnz1568/getInfo.php?workbook=12_04.xlsx&amp;sheet=U0&amp;row=4639&amp;col=7&amp;number=0.00605&amp;sourceID=14","0.00605")</f>
        <v>0.00605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HYPERLINK("http://141.218.60.56/~jnz1568/getInfo.php?workbook=12_04.xlsx&amp;sheet=U0&amp;row=4640&amp;col=6&amp;number=4.6&amp;sourceID=14","4.6")</f>
        <v>4.6</v>
      </c>
      <c r="G4640" s="4" t="str">
        <f>HYPERLINK("http://141.218.60.56/~jnz1568/getInfo.php?workbook=12_04.xlsx&amp;sheet=U0&amp;row=4640&amp;col=7&amp;number=0.00614&amp;sourceID=14","0.00614")</f>
        <v>0.00614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HYPERLINK("http://141.218.60.56/~jnz1568/getInfo.php?workbook=12_04.xlsx&amp;sheet=U0&amp;row=4641&amp;col=6&amp;number=4.7&amp;sourceID=14","4.7")</f>
        <v>4.7</v>
      </c>
      <c r="G4641" s="4" t="str">
        <f>HYPERLINK("http://141.218.60.56/~jnz1568/getInfo.php?workbook=12_04.xlsx&amp;sheet=U0&amp;row=4641&amp;col=7&amp;number=0.00625&amp;sourceID=14","0.00625")</f>
        <v>0.00625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HYPERLINK("http://141.218.60.56/~jnz1568/getInfo.php?workbook=12_04.xlsx&amp;sheet=U0&amp;row=4642&amp;col=6&amp;number=4.8&amp;sourceID=14","4.8")</f>
        <v>4.8</v>
      </c>
      <c r="G4642" s="4" t="str">
        <f>HYPERLINK("http://141.218.60.56/~jnz1568/getInfo.php?workbook=12_04.xlsx&amp;sheet=U0&amp;row=4642&amp;col=7&amp;number=0.00639&amp;sourceID=14","0.00639")</f>
        <v>0.00639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HYPERLINK("http://141.218.60.56/~jnz1568/getInfo.php?workbook=12_04.xlsx&amp;sheet=U0&amp;row=4643&amp;col=6&amp;number=4.9&amp;sourceID=14","4.9")</f>
        <v>4.9</v>
      </c>
      <c r="G4643" s="4" t="str">
        <f>HYPERLINK("http://141.218.60.56/~jnz1568/getInfo.php?workbook=12_04.xlsx&amp;sheet=U0&amp;row=4643&amp;col=7&amp;number=0.00654&amp;sourceID=14","0.00654")</f>
        <v>0.00654</v>
      </c>
    </row>
    <row r="4644" spans="1:7">
      <c r="A4644" s="3">
        <v>12</v>
      </c>
      <c r="B4644" s="3">
        <v>4</v>
      </c>
      <c r="C4644" s="3">
        <v>3</v>
      </c>
      <c r="D4644" s="3">
        <v>43</v>
      </c>
      <c r="E4644" s="3">
        <v>1</v>
      </c>
      <c r="F4644" s="4" t="str">
        <f>HYPERLINK("http://141.218.60.56/~jnz1568/getInfo.php?workbook=12_04.xlsx&amp;sheet=U0&amp;row=4644&amp;col=6&amp;number=3&amp;sourceID=14","3")</f>
        <v>3</v>
      </c>
      <c r="G4644" s="4" t="str">
        <f>HYPERLINK("http://141.218.60.56/~jnz1568/getInfo.php?workbook=12_04.xlsx&amp;sheet=U0&amp;row=4644&amp;col=7&amp;number=0.000851&amp;sourceID=14","0.000851")</f>
        <v>0.000851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HYPERLINK("http://141.218.60.56/~jnz1568/getInfo.php?workbook=12_04.xlsx&amp;sheet=U0&amp;row=4645&amp;col=6&amp;number=3.1&amp;sourceID=14","3.1")</f>
        <v>3.1</v>
      </c>
      <c r="G4645" s="4" t="str">
        <f>HYPERLINK("http://141.218.60.56/~jnz1568/getInfo.php?workbook=12_04.xlsx&amp;sheet=U0&amp;row=4645&amp;col=7&amp;number=0.000852&amp;sourceID=14","0.000852")</f>
        <v>0.000852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HYPERLINK("http://141.218.60.56/~jnz1568/getInfo.php?workbook=12_04.xlsx&amp;sheet=U0&amp;row=4646&amp;col=6&amp;number=3.2&amp;sourceID=14","3.2")</f>
        <v>3.2</v>
      </c>
      <c r="G4646" s="4" t="str">
        <f>HYPERLINK("http://141.218.60.56/~jnz1568/getInfo.php?workbook=12_04.xlsx&amp;sheet=U0&amp;row=4646&amp;col=7&amp;number=0.000853&amp;sourceID=14","0.000853")</f>
        <v>0.000853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HYPERLINK("http://141.218.60.56/~jnz1568/getInfo.php?workbook=12_04.xlsx&amp;sheet=U0&amp;row=4647&amp;col=6&amp;number=3.3&amp;sourceID=14","3.3")</f>
        <v>3.3</v>
      </c>
      <c r="G4647" s="4" t="str">
        <f>HYPERLINK("http://141.218.60.56/~jnz1568/getInfo.php?workbook=12_04.xlsx&amp;sheet=U0&amp;row=4647&amp;col=7&amp;number=0.000855&amp;sourceID=14","0.000855")</f>
        <v>0.000855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HYPERLINK("http://141.218.60.56/~jnz1568/getInfo.php?workbook=12_04.xlsx&amp;sheet=U0&amp;row=4648&amp;col=6&amp;number=3.4&amp;sourceID=14","3.4")</f>
        <v>3.4</v>
      </c>
      <c r="G4648" s="4" t="str">
        <f>HYPERLINK("http://141.218.60.56/~jnz1568/getInfo.php?workbook=12_04.xlsx&amp;sheet=U0&amp;row=4648&amp;col=7&amp;number=0.000856&amp;sourceID=14","0.000856")</f>
        <v>0.000856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HYPERLINK("http://141.218.60.56/~jnz1568/getInfo.php?workbook=12_04.xlsx&amp;sheet=U0&amp;row=4649&amp;col=6&amp;number=3.5&amp;sourceID=14","3.5")</f>
        <v>3.5</v>
      </c>
      <c r="G4649" s="4" t="str">
        <f>HYPERLINK("http://141.218.60.56/~jnz1568/getInfo.php?workbook=12_04.xlsx&amp;sheet=U0&amp;row=4649&amp;col=7&amp;number=0.000859&amp;sourceID=14","0.000859")</f>
        <v>0.000859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HYPERLINK("http://141.218.60.56/~jnz1568/getInfo.php?workbook=12_04.xlsx&amp;sheet=U0&amp;row=4650&amp;col=6&amp;number=3.6&amp;sourceID=14","3.6")</f>
        <v>3.6</v>
      </c>
      <c r="G4650" s="4" t="str">
        <f>HYPERLINK("http://141.218.60.56/~jnz1568/getInfo.php?workbook=12_04.xlsx&amp;sheet=U0&amp;row=4650&amp;col=7&amp;number=0.000862&amp;sourceID=14","0.000862")</f>
        <v>0.000862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HYPERLINK("http://141.218.60.56/~jnz1568/getInfo.php?workbook=12_04.xlsx&amp;sheet=U0&amp;row=4651&amp;col=6&amp;number=3.7&amp;sourceID=14","3.7")</f>
        <v>3.7</v>
      </c>
      <c r="G4651" s="4" t="str">
        <f>HYPERLINK("http://141.218.60.56/~jnz1568/getInfo.php?workbook=12_04.xlsx&amp;sheet=U0&amp;row=4651&amp;col=7&amp;number=0.000865&amp;sourceID=14","0.000865")</f>
        <v>0.000865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HYPERLINK("http://141.218.60.56/~jnz1568/getInfo.php?workbook=12_04.xlsx&amp;sheet=U0&amp;row=4652&amp;col=6&amp;number=3.8&amp;sourceID=14","3.8")</f>
        <v>3.8</v>
      </c>
      <c r="G4652" s="4" t="str">
        <f>HYPERLINK("http://141.218.60.56/~jnz1568/getInfo.php?workbook=12_04.xlsx&amp;sheet=U0&amp;row=4652&amp;col=7&amp;number=0.00087&amp;sourceID=14","0.00087")</f>
        <v>0.00087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HYPERLINK("http://141.218.60.56/~jnz1568/getInfo.php?workbook=12_04.xlsx&amp;sheet=U0&amp;row=4653&amp;col=6&amp;number=3.9&amp;sourceID=14","3.9")</f>
        <v>3.9</v>
      </c>
      <c r="G4653" s="4" t="str">
        <f>HYPERLINK("http://141.218.60.56/~jnz1568/getInfo.php?workbook=12_04.xlsx&amp;sheet=U0&amp;row=4653&amp;col=7&amp;number=0.000876&amp;sourceID=14","0.000876")</f>
        <v>0.000876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HYPERLINK("http://141.218.60.56/~jnz1568/getInfo.php?workbook=12_04.xlsx&amp;sheet=U0&amp;row=4654&amp;col=6&amp;number=4&amp;sourceID=14","4")</f>
        <v>4</v>
      </c>
      <c r="G4654" s="4" t="str">
        <f>HYPERLINK("http://141.218.60.56/~jnz1568/getInfo.php?workbook=12_04.xlsx&amp;sheet=U0&amp;row=4654&amp;col=7&amp;number=0.000883&amp;sourceID=14","0.000883")</f>
        <v>0.000883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HYPERLINK("http://141.218.60.56/~jnz1568/getInfo.php?workbook=12_04.xlsx&amp;sheet=U0&amp;row=4655&amp;col=6&amp;number=4.1&amp;sourceID=14","4.1")</f>
        <v>4.1</v>
      </c>
      <c r="G4655" s="4" t="str">
        <f>HYPERLINK("http://141.218.60.56/~jnz1568/getInfo.php?workbook=12_04.xlsx&amp;sheet=U0&amp;row=4655&amp;col=7&amp;number=0.000893&amp;sourceID=14","0.000893")</f>
        <v>0.000893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HYPERLINK("http://141.218.60.56/~jnz1568/getInfo.php?workbook=12_04.xlsx&amp;sheet=U0&amp;row=4656&amp;col=6&amp;number=4.2&amp;sourceID=14","4.2")</f>
        <v>4.2</v>
      </c>
      <c r="G4656" s="4" t="str">
        <f>HYPERLINK("http://141.218.60.56/~jnz1568/getInfo.php?workbook=12_04.xlsx&amp;sheet=U0&amp;row=4656&amp;col=7&amp;number=0.000904&amp;sourceID=14","0.000904")</f>
        <v>0.000904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HYPERLINK("http://141.218.60.56/~jnz1568/getInfo.php?workbook=12_04.xlsx&amp;sheet=U0&amp;row=4657&amp;col=6&amp;number=4.3&amp;sourceID=14","4.3")</f>
        <v>4.3</v>
      </c>
      <c r="G4657" s="4" t="str">
        <f>HYPERLINK("http://141.218.60.56/~jnz1568/getInfo.php?workbook=12_04.xlsx&amp;sheet=U0&amp;row=4657&amp;col=7&amp;number=0.000918&amp;sourceID=14","0.000918")</f>
        <v>0.000918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HYPERLINK("http://141.218.60.56/~jnz1568/getInfo.php?workbook=12_04.xlsx&amp;sheet=U0&amp;row=4658&amp;col=6&amp;number=4.4&amp;sourceID=14","4.4")</f>
        <v>4.4</v>
      </c>
      <c r="G4658" s="4" t="str">
        <f>HYPERLINK("http://141.218.60.56/~jnz1568/getInfo.php?workbook=12_04.xlsx&amp;sheet=U0&amp;row=4658&amp;col=7&amp;number=0.000936&amp;sourceID=14","0.000936")</f>
        <v>0.000936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HYPERLINK("http://141.218.60.56/~jnz1568/getInfo.php?workbook=12_04.xlsx&amp;sheet=U0&amp;row=4659&amp;col=6&amp;number=4.5&amp;sourceID=14","4.5")</f>
        <v>4.5</v>
      </c>
      <c r="G4659" s="4" t="str">
        <f>HYPERLINK("http://141.218.60.56/~jnz1568/getInfo.php?workbook=12_04.xlsx&amp;sheet=U0&amp;row=4659&amp;col=7&amp;number=0.000958&amp;sourceID=14","0.000958")</f>
        <v>0.000958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HYPERLINK("http://141.218.60.56/~jnz1568/getInfo.php?workbook=12_04.xlsx&amp;sheet=U0&amp;row=4660&amp;col=6&amp;number=4.6&amp;sourceID=14","4.6")</f>
        <v>4.6</v>
      </c>
      <c r="G4660" s="4" t="str">
        <f>HYPERLINK("http://141.218.60.56/~jnz1568/getInfo.php?workbook=12_04.xlsx&amp;sheet=U0&amp;row=4660&amp;col=7&amp;number=0.000985&amp;sourceID=14","0.000985")</f>
        <v>0.000985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HYPERLINK("http://141.218.60.56/~jnz1568/getInfo.php?workbook=12_04.xlsx&amp;sheet=U0&amp;row=4661&amp;col=6&amp;number=4.7&amp;sourceID=14","4.7")</f>
        <v>4.7</v>
      </c>
      <c r="G4661" s="4" t="str">
        <f>HYPERLINK("http://141.218.60.56/~jnz1568/getInfo.php?workbook=12_04.xlsx&amp;sheet=U0&amp;row=4661&amp;col=7&amp;number=0.00102&amp;sourceID=14","0.00102")</f>
        <v>0.00102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HYPERLINK("http://141.218.60.56/~jnz1568/getInfo.php?workbook=12_04.xlsx&amp;sheet=U0&amp;row=4662&amp;col=6&amp;number=4.8&amp;sourceID=14","4.8")</f>
        <v>4.8</v>
      </c>
      <c r="G4662" s="4" t="str">
        <f>HYPERLINK("http://141.218.60.56/~jnz1568/getInfo.php?workbook=12_04.xlsx&amp;sheet=U0&amp;row=4662&amp;col=7&amp;number=0.00106&amp;sourceID=14","0.00106")</f>
        <v>0.00106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HYPERLINK("http://141.218.60.56/~jnz1568/getInfo.php?workbook=12_04.xlsx&amp;sheet=U0&amp;row=4663&amp;col=6&amp;number=4.9&amp;sourceID=14","4.9")</f>
        <v>4.9</v>
      </c>
      <c r="G4663" s="4" t="str">
        <f>HYPERLINK("http://141.218.60.56/~jnz1568/getInfo.php?workbook=12_04.xlsx&amp;sheet=U0&amp;row=4663&amp;col=7&amp;number=0.0011&amp;sourceID=14","0.0011")</f>
        <v>0.0011</v>
      </c>
    </row>
    <row r="4664" spans="1:7">
      <c r="A4664" s="3">
        <v>12</v>
      </c>
      <c r="B4664" s="3">
        <v>4</v>
      </c>
      <c r="C4664" s="3">
        <v>3</v>
      </c>
      <c r="D4664" s="3">
        <v>44</v>
      </c>
      <c r="E4664" s="3">
        <v>1</v>
      </c>
      <c r="F4664" s="4" t="str">
        <f>HYPERLINK("http://141.218.60.56/~jnz1568/getInfo.php?workbook=12_04.xlsx&amp;sheet=U0&amp;row=4664&amp;col=6&amp;number=3&amp;sourceID=14","3")</f>
        <v>3</v>
      </c>
      <c r="G4664" s="4" t="str">
        <f>HYPERLINK("http://141.218.60.56/~jnz1568/getInfo.php?workbook=12_04.xlsx&amp;sheet=U0&amp;row=4664&amp;col=7&amp;number=0.00222&amp;sourceID=14","0.00222")</f>
        <v>0.00222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HYPERLINK("http://141.218.60.56/~jnz1568/getInfo.php?workbook=12_04.xlsx&amp;sheet=U0&amp;row=4665&amp;col=6&amp;number=3.1&amp;sourceID=14","3.1")</f>
        <v>3.1</v>
      </c>
      <c r="G4665" s="4" t="str">
        <f>HYPERLINK("http://141.218.60.56/~jnz1568/getInfo.php?workbook=12_04.xlsx&amp;sheet=U0&amp;row=4665&amp;col=7&amp;number=0.00222&amp;sourceID=14","0.00222")</f>
        <v>0.00222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HYPERLINK("http://141.218.60.56/~jnz1568/getInfo.php?workbook=12_04.xlsx&amp;sheet=U0&amp;row=4666&amp;col=6&amp;number=3.2&amp;sourceID=14","3.2")</f>
        <v>3.2</v>
      </c>
      <c r="G4666" s="4" t="str">
        <f>HYPERLINK("http://141.218.60.56/~jnz1568/getInfo.php?workbook=12_04.xlsx&amp;sheet=U0&amp;row=4666&amp;col=7&amp;number=0.00222&amp;sourceID=14","0.00222")</f>
        <v>0.00222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HYPERLINK("http://141.218.60.56/~jnz1568/getInfo.php?workbook=12_04.xlsx&amp;sheet=U0&amp;row=4667&amp;col=6&amp;number=3.3&amp;sourceID=14","3.3")</f>
        <v>3.3</v>
      </c>
      <c r="G4667" s="4" t="str">
        <f>HYPERLINK("http://141.218.60.56/~jnz1568/getInfo.php?workbook=12_04.xlsx&amp;sheet=U0&amp;row=4667&amp;col=7&amp;number=0.00222&amp;sourceID=14","0.00222")</f>
        <v>0.00222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HYPERLINK("http://141.218.60.56/~jnz1568/getInfo.php?workbook=12_04.xlsx&amp;sheet=U0&amp;row=4668&amp;col=6&amp;number=3.4&amp;sourceID=14","3.4")</f>
        <v>3.4</v>
      </c>
      <c r="G4668" s="4" t="str">
        <f>HYPERLINK("http://141.218.60.56/~jnz1568/getInfo.php?workbook=12_04.xlsx&amp;sheet=U0&amp;row=4668&amp;col=7&amp;number=0.00222&amp;sourceID=14","0.00222")</f>
        <v>0.00222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HYPERLINK("http://141.218.60.56/~jnz1568/getInfo.php?workbook=12_04.xlsx&amp;sheet=U0&amp;row=4669&amp;col=6&amp;number=3.5&amp;sourceID=14","3.5")</f>
        <v>3.5</v>
      </c>
      <c r="G4669" s="4" t="str">
        <f>HYPERLINK("http://141.218.60.56/~jnz1568/getInfo.php?workbook=12_04.xlsx&amp;sheet=U0&amp;row=4669&amp;col=7&amp;number=0.00222&amp;sourceID=14","0.00222")</f>
        <v>0.00222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HYPERLINK("http://141.218.60.56/~jnz1568/getInfo.php?workbook=12_04.xlsx&amp;sheet=U0&amp;row=4670&amp;col=6&amp;number=3.6&amp;sourceID=14","3.6")</f>
        <v>3.6</v>
      </c>
      <c r="G4670" s="4" t="str">
        <f>HYPERLINK("http://141.218.60.56/~jnz1568/getInfo.php?workbook=12_04.xlsx&amp;sheet=U0&amp;row=4670&amp;col=7&amp;number=0.00221&amp;sourceID=14","0.00221")</f>
        <v>0.00221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HYPERLINK("http://141.218.60.56/~jnz1568/getInfo.php?workbook=12_04.xlsx&amp;sheet=U0&amp;row=4671&amp;col=6&amp;number=3.7&amp;sourceID=14","3.7")</f>
        <v>3.7</v>
      </c>
      <c r="G4671" s="4" t="str">
        <f>HYPERLINK("http://141.218.60.56/~jnz1568/getInfo.php?workbook=12_04.xlsx&amp;sheet=U0&amp;row=4671&amp;col=7&amp;number=0.00221&amp;sourceID=14","0.00221")</f>
        <v>0.00221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HYPERLINK("http://141.218.60.56/~jnz1568/getInfo.php?workbook=12_04.xlsx&amp;sheet=U0&amp;row=4672&amp;col=6&amp;number=3.8&amp;sourceID=14","3.8")</f>
        <v>3.8</v>
      </c>
      <c r="G4672" s="4" t="str">
        <f>HYPERLINK("http://141.218.60.56/~jnz1568/getInfo.php?workbook=12_04.xlsx&amp;sheet=U0&amp;row=4672&amp;col=7&amp;number=0.00221&amp;sourceID=14","0.00221")</f>
        <v>0.00221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HYPERLINK("http://141.218.60.56/~jnz1568/getInfo.php?workbook=12_04.xlsx&amp;sheet=U0&amp;row=4673&amp;col=6&amp;number=3.9&amp;sourceID=14","3.9")</f>
        <v>3.9</v>
      </c>
      <c r="G4673" s="4" t="str">
        <f>HYPERLINK("http://141.218.60.56/~jnz1568/getInfo.php?workbook=12_04.xlsx&amp;sheet=U0&amp;row=4673&amp;col=7&amp;number=0.00221&amp;sourceID=14","0.00221")</f>
        <v>0.00221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HYPERLINK("http://141.218.60.56/~jnz1568/getInfo.php?workbook=12_04.xlsx&amp;sheet=U0&amp;row=4674&amp;col=6&amp;number=4&amp;sourceID=14","4")</f>
        <v>4</v>
      </c>
      <c r="G4674" s="4" t="str">
        <f>HYPERLINK("http://141.218.60.56/~jnz1568/getInfo.php?workbook=12_04.xlsx&amp;sheet=U0&amp;row=4674&amp;col=7&amp;number=0.0022&amp;sourceID=14","0.0022")</f>
        <v>0.0022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HYPERLINK("http://141.218.60.56/~jnz1568/getInfo.php?workbook=12_04.xlsx&amp;sheet=U0&amp;row=4675&amp;col=6&amp;number=4.1&amp;sourceID=14","4.1")</f>
        <v>4.1</v>
      </c>
      <c r="G4675" s="4" t="str">
        <f>HYPERLINK("http://141.218.60.56/~jnz1568/getInfo.php?workbook=12_04.xlsx&amp;sheet=U0&amp;row=4675&amp;col=7&amp;number=0.00219&amp;sourceID=14","0.00219")</f>
        <v>0.00219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HYPERLINK("http://141.218.60.56/~jnz1568/getInfo.php?workbook=12_04.xlsx&amp;sheet=U0&amp;row=4676&amp;col=6&amp;number=4.2&amp;sourceID=14","4.2")</f>
        <v>4.2</v>
      </c>
      <c r="G4676" s="4" t="str">
        <f>HYPERLINK("http://141.218.60.56/~jnz1568/getInfo.php?workbook=12_04.xlsx&amp;sheet=U0&amp;row=4676&amp;col=7&amp;number=0.00219&amp;sourceID=14","0.00219")</f>
        <v>0.00219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HYPERLINK("http://141.218.60.56/~jnz1568/getInfo.php?workbook=12_04.xlsx&amp;sheet=U0&amp;row=4677&amp;col=6&amp;number=4.3&amp;sourceID=14","4.3")</f>
        <v>4.3</v>
      </c>
      <c r="G4677" s="4" t="str">
        <f>HYPERLINK("http://141.218.60.56/~jnz1568/getInfo.php?workbook=12_04.xlsx&amp;sheet=U0&amp;row=4677&amp;col=7&amp;number=0.00218&amp;sourceID=14","0.00218")</f>
        <v>0.00218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HYPERLINK("http://141.218.60.56/~jnz1568/getInfo.php?workbook=12_04.xlsx&amp;sheet=U0&amp;row=4678&amp;col=6&amp;number=4.4&amp;sourceID=14","4.4")</f>
        <v>4.4</v>
      </c>
      <c r="G4678" s="4" t="str">
        <f>HYPERLINK("http://141.218.60.56/~jnz1568/getInfo.php?workbook=12_04.xlsx&amp;sheet=U0&amp;row=4678&amp;col=7&amp;number=0.00216&amp;sourceID=14","0.00216")</f>
        <v>0.00216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HYPERLINK("http://141.218.60.56/~jnz1568/getInfo.php?workbook=12_04.xlsx&amp;sheet=U0&amp;row=4679&amp;col=6&amp;number=4.5&amp;sourceID=14","4.5")</f>
        <v>4.5</v>
      </c>
      <c r="G4679" s="4" t="str">
        <f>HYPERLINK("http://141.218.60.56/~jnz1568/getInfo.php?workbook=12_04.xlsx&amp;sheet=U0&amp;row=4679&amp;col=7&amp;number=0.00215&amp;sourceID=14","0.00215")</f>
        <v>0.00215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HYPERLINK("http://141.218.60.56/~jnz1568/getInfo.php?workbook=12_04.xlsx&amp;sheet=U0&amp;row=4680&amp;col=6&amp;number=4.6&amp;sourceID=14","4.6")</f>
        <v>4.6</v>
      </c>
      <c r="G4680" s="4" t="str">
        <f>HYPERLINK("http://141.218.60.56/~jnz1568/getInfo.php?workbook=12_04.xlsx&amp;sheet=U0&amp;row=4680&amp;col=7&amp;number=0.00213&amp;sourceID=14","0.00213")</f>
        <v>0.00213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HYPERLINK("http://141.218.60.56/~jnz1568/getInfo.php?workbook=12_04.xlsx&amp;sheet=U0&amp;row=4681&amp;col=6&amp;number=4.7&amp;sourceID=14","4.7")</f>
        <v>4.7</v>
      </c>
      <c r="G4681" s="4" t="str">
        <f>HYPERLINK("http://141.218.60.56/~jnz1568/getInfo.php?workbook=12_04.xlsx&amp;sheet=U0&amp;row=4681&amp;col=7&amp;number=0.0021&amp;sourceID=14","0.0021")</f>
        <v>0.0021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HYPERLINK("http://141.218.60.56/~jnz1568/getInfo.php?workbook=12_04.xlsx&amp;sheet=U0&amp;row=4682&amp;col=6&amp;number=4.8&amp;sourceID=14","4.8")</f>
        <v>4.8</v>
      </c>
      <c r="G4682" s="4" t="str">
        <f>HYPERLINK("http://141.218.60.56/~jnz1568/getInfo.php?workbook=12_04.xlsx&amp;sheet=U0&amp;row=4682&amp;col=7&amp;number=0.00207&amp;sourceID=14","0.00207")</f>
        <v>0.00207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HYPERLINK("http://141.218.60.56/~jnz1568/getInfo.php?workbook=12_04.xlsx&amp;sheet=U0&amp;row=4683&amp;col=6&amp;number=4.9&amp;sourceID=14","4.9")</f>
        <v>4.9</v>
      </c>
      <c r="G4683" s="4" t="str">
        <f>HYPERLINK("http://141.218.60.56/~jnz1568/getInfo.php?workbook=12_04.xlsx&amp;sheet=U0&amp;row=4683&amp;col=7&amp;number=0.00204&amp;sourceID=14","0.00204")</f>
        <v>0.00204</v>
      </c>
    </row>
    <row r="4684" spans="1:7">
      <c r="A4684" s="3">
        <v>12</v>
      </c>
      <c r="B4684" s="3">
        <v>4</v>
      </c>
      <c r="C4684" s="3">
        <v>3</v>
      </c>
      <c r="D4684" s="3">
        <v>45</v>
      </c>
      <c r="E4684" s="3">
        <v>1</v>
      </c>
      <c r="F4684" s="4" t="str">
        <f>HYPERLINK("http://141.218.60.56/~jnz1568/getInfo.php?workbook=12_04.xlsx&amp;sheet=U0&amp;row=4684&amp;col=6&amp;number=3&amp;sourceID=14","3")</f>
        <v>3</v>
      </c>
      <c r="G4684" s="4" t="str">
        <f>HYPERLINK("http://141.218.60.56/~jnz1568/getInfo.php?workbook=12_04.xlsx&amp;sheet=U0&amp;row=4684&amp;col=7&amp;number=0.00908&amp;sourceID=14","0.00908")</f>
        <v>0.00908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HYPERLINK("http://141.218.60.56/~jnz1568/getInfo.php?workbook=12_04.xlsx&amp;sheet=U0&amp;row=4685&amp;col=6&amp;number=3.1&amp;sourceID=14","3.1")</f>
        <v>3.1</v>
      </c>
      <c r="G4685" s="4" t="str">
        <f>HYPERLINK("http://141.218.60.56/~jnz1568/getInfo.php?workbook=12_04.xlsx&amp;sheet=U0&amp;row=4685&amp;col=7&amp;number=0.00909&amp;sourceID=14","0.00909")</f>
        <v>0.00909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HYPERLINK("http://141.218.60.56/~jnz1568/getInfo.php?workbook=12_04.xlsx&amp;sheet=U0&amp;row=4686&amp;col=6&amp;number=3.2&amp;sourceID=14","3.2")</f>
        <v>3.2</v>
      </c>
      <c r="G4686" s="4" t="str">
        <f>HYPERLINK("http://141.218.60.56/~jnz1568/getInfo.php?workbook=12_04.xlsx&amp;sheet=U0&amp;row=4686&amp;col=7&amp;number=0.0091&amp;sourceID=14","0.0091")</f>
        <v>0.0091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HYPERLINK("http://141.218.60.56/~jnz1568/getInfo.php?workbook=12_04.xlsx&amp;sheet=U0&amp;row=4687&amp;col=6&amp;number=3.3&amp;sourceID=14","3.3")</f>
        <v>3.3</v>
      </c>
      <c r="G4687" s="4" t="str">
        <f>HYPERLINK("http://141.218.60.56/~jnz1568/getInfo.php?workbook=12_04.xlsx&amp;sheet=U0&amp;row=4687&amp;col=7&amp;number=0.00912&amp;sourceID=14","0.00912")</f>
        <v>0.00912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HYPERLINK("http://141.218.60.56/~jnz1568/getInfo.php?workbook=12_04.xlsx&amp;sheet=U0&amp;row=4688&amp;col=6&amp;number=3.4&amp;sourceID=14","3.4")</f>
        <v>3.4</v>
      </c>
      <c r="G4688" s="4" t="str">
        <f>HYPERLINK("http://141.218.60.56/~jnz1568/getInfo.php?workbook=12_04.xlsx&amp;sheet=U0&amp;row=4688&amp;col=7&amp;number=0.00914&amp;sourceID=14","0.00914")</f>
        <v>0.00914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HYPERLINK("http://141.218.60.56/~jnz1568/getInfo.php?workbook=12_04.xlsx&amp;sheet=U0&amp;row=4689&amp;col=6&amp;number=3.5&amp;sourceID=14","3.5")</f>
        <v>3.5</v>
      </c>
      <c r="G4689" s="4" t="str">
        <f>HYPERLINK("http://141.218.60.56/~jnz1568/getInfo.php?workbook=12_04.xlsx&amp;sheet=U0&amp;row=4689&amp;col=7&amp;number=0.00916&amp;sourceID=14","0.00916")</f>
        <v>0.00916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HYPERLINK("http://141.218.60.56/~jnz1568/getInfo.php?workbook=12_04.xlsx&amp;sheet=U0&amp;row=4690&amp;col=6&amp;number=3.6&amp;sourceID=14","3.6")</f>
        <v>3.6</v>
      </c>
      <c r="G4690" s="4" t="str">
        <f>HYPERLINK("http://141.218.60.56/~jnz1568/getInfo.php?workbook=12_04.xlsx&amp;sheet=U0&amp;row=4690&amp;col=7&amp;number=0.00919&amp;sourceID=14","0.00919")</f>
        <v>0.00919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HYPERLINK("http://141.218.60.56/~jnz1568/getInfo.php?workbook=12_04.xlsx&amp;sheet=U0&amp;row=4691&amp;col=6&amp;number=3.7&amp;sourceID=14","3.7")</f>
        <v>3.7</v>
      </c>
      <c r="G4691" s="4" t="str">
        <f>HYPERLINK("http://141.218.60.56/~jnz1568/getInfo.php?workbook=12_04.xlsx&amp;sheet=U0&amp;row=4691&amp;col=7&amp;number=0.00923&amp;sourceID=14","0.00923")</f>
        <v>0.00923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HYPERLINK("http://141.218.60.56/~jnz1568/getInfo.php?workbook=12_04.xlsx&amp;sheet=U0&amp;row=4692&amp;col=6&amp;number=3.8&amp;sourceID=14","3.8")</f>
        <v>3.8</v>
      </c>
      <c r="G4692" s="4" t="str">
        <f>HYPERLINK("http://141.218.60.56/~jnz1568/getInfo.php?workbook=12_04.xlsx&amp;sheet=U0&amp;row=4692&amp;col=7&amp;number=0.00928&amp;sourceID=14","0.00928")</f>
        <v>0.00928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HYPERLINK("http://141.218.60.56/~jnz1568/getInfo.php?workbook=12_04.xlsx&amp;sheet=U0&amp;row=4693&amp;col=6&amp;number=3.9&amp;sourceID=14","3.9")</f>
        <v>3.9</v>
      </c>
      <c r="G4693" s="4" t="str">
        <f>HYPERLINK("http://141.218.60.56/~jnz1568/getInfo.php?workbook=12_04.xlsx&amp;sheet=U0&amp;row=4693&amp;col=7&amp;number=0.00934&amp;sourceID=14","0.00934")</f>
        <v>0.00934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HYPERLINK("http://141.218.60.56/~jnz1568/getInfo.php?workbook=12_04.xlsx&amp;sheet=U0&amp;row=4694&amp;col=6&amp;number=4&amp;sourceID=14","4")</f>
        <v>4</v>
      </c>
      <c r="G4694" s="4" t="str">
        <f>HYPERLINK("http://141.218.60.56/~jnz1568/getInfo.php?workbook=12_04.xlsx&amp;sheet=U0&amp;row=4694&amp;col=7&amp;number=0.00941&amp;sourceID=14","0.00941")</f>
        <v>0.00941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HYPERLINK("http://141.218.60.56/~jnz1568/getInfo.php?workbook=12_04.xlsx&amp;sheet=U0&amp;row=4695&amp;col=6&amp;number=4.1&amp;sourceID=14","4.1")</f>
        <v>4.1</v>
      </c>
      <c r="G4695" s="4" t="str">
        <f>HYPERLINK("http://141.218.60.56/~jnz1568/getInfo.php?workbook=12_04.xlsx&amp;sheet=U0&amp;row=4695&amp;col=7&amp;number=0.00951&amp;sourceID=14","0.00951")</f>
        <v>0.00951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HYPERLINK("http://141.218.60.56/~jnz1568/getInfo.php?workbook=12_04.xlsx&amp;sheet=U0&amp;row=4696&amp;col=6&amp;number=4.2&amp;sourceID=14","4.2")</f>
        <v>4.2</v>
      </c>
      <c r="G4696" s="4" t="str">
        <f>HYPERLINK("http://141.218.60.56/~jnz1568/getInfo.php?workbook=12_04.xlsx&amp;sheet=U0&amp;row=4696&amp;col=7&amp;number=0.00963&amp;sourceID=14","0.00963")</f>
        <v>0.00963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HYPERLINK("http://141.218.60.56/~jnz1568/getInfo.php?workbook=12_04.xlsx&amp;sheet=U0&amp;row=4697&amp;col=6&amp;number=4.3&amp;sourceID=14","4.3")</f>
        <v>4.3</v>
      </c>
      <c r="G4697" s="4" t="str">
        <f>HYPERLINK("http://141.218.60.56/~jnz1568/getInfo.php?workbook=12_04.xlsx&amp;sheet=U0&amp;row=4697&amp;col=7&amp;number=0.00978&amp;sourceID=14","0.00978")</f>
        <v>0.00978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HYPERLINK("http://141.218.60.56/~jnz1568/getInfo.php?workbook=12_04.xlsx&amp;sheet=U0&amp;row=4698&amp;col=6&amp;number=4.4&amp;sourceID=14","4.4")</f>
        <v>4.4</v>
      </c>
      <c r="G4698" s="4" t="str">
        <f>HYPERLINK("http://141.218.60.56/~jnz1568/getInfo.php?workbook=12_04.xlsx&amp;sheet=U0&amp;row=4698&amp;col=7&amp;number=0.00996&amp;sourceID=14","0.00996")</f>
        <v>0.00996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HYPERLINK("http://141.218.60.56/~jnz1568/getInfo.php?workbook=12_04.xlsx&amp;sheet=U0&amp;row=4699&amp;col=6&amp;number=4.5&amp;sourceID=14","4.5")</f>
        <v>4.5</v>
      </c>
      <c r="G4699" s="4" t="str">
        <f>HYPERLINK("http://141.218.60.56/~jnz1568/getInfo.php?workbook=12_04.xlsx&amp;sheet=U0&amp;row=4699&amp;col=7&amp;number=0.0102&amp;sourceID=14","0.0102")</f>
        <v>0.0102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HYPERLINK("http://141.218.60.56/~jnz1568/getInfo.php?workbook=12_04.xlsx&amp;sheet=U0&amp;row=4700&amp;col=6&amp;number=4.6&amp;sourceID=14","4.6")</f>
        <v>4.6</v>
      </c>
      <c r="G4700" s="4" t="str">
        <f>HYPERLINK("http://141.218.60.56/~jnz1568/getInfo.php?workbook=12_04.xlsx&amp;sheet=U0&amp;row=4700&amp;col=7&amp;number=0.0105&amp;sourceID=14","0.0105")</f>
        <v>0.0105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HYPERLINK("http://141.218.60.56/~jnz1568/getInfo.php?workbook=12_04.xlsx&amp;sheet=U0&amp;row=4701&amp;col=6&amp;number=4.7&amp;sourceID=14","4.7")</f>
        <v>4.7</v>
      </c>
      <c r="G4701" s="4" t="str">
        <f>HYPERLINK("http://141.218.60.56/~jnz1568/getInfo.php?workbook=12_04.xlsx&amp;sheet=U0&amp;row=4701&amp;col=7&amp;number=0.0108&amp;sourceID=14","0.0108")</f>
        <v>0.0108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HYPERLINK("http://141.218.60.56/~jnz1568/getInfo.php?workbook=12_04.xlsx&amp;sheet=U0&amp;row=4702&amp;col=6&amp;number=4.8&amp;sourceID=14","4.8")</f>
        <v>4.8</v>
      </c>
      <c r="G4702" s="4" t="str">
        <f>HYPERLINK("http://141.218.60.56/~jnz1568/getInfo.php?workbook=12_04.xlsx&amp;sheet=U0&amp;row=4702&amp;col=7&amp;number=0.0112&amp;sourceID=14","0.0112")</f>
        <v>0.0112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HYPERLINK("http://141.218.60.56/~jnz1568/getInfo.php?workbook=12_04.xlsx&amp;sheet=U0&amp;row=4703&amp;col=6&amp;number=4.9&amp;sourceID=14","4.9")</f>
        <v>4.9</v>
      </c>
      <c r="G4703" s="4" t="str">
        <f>HYPERLINK("http://141.218.60.56/~jnz1568/getInfo.php?workbook=12_04.xlsx&amp;sheet=U0&amp;row=4703&amp;col=7&amp;number=0.0117&amp;sourceID=14","0.0117")</f>
        <v>0.0117</v>
      </c>
    </row>
    <row r="4704" spans="1:7">
      <c r="A4704" s="3">
        <v>12</v>
      </c>
      <c r="B4704" s="3">
        <v>4</v>
      </c>
      <c r="C4704" s="3">
        <v>3</v>
      </c>
      <c r="D4704" s="3">
        <v>46</v>
      </c>
      <c r="E4704" s="3">
        <v>1</v>
      </c>
      <c r="F4704" s="4" t="str">
        <f>HYPERLINK("http://141.218.60.56/~jnz1568/getInfo.php?workbook=12_04.xlsx&amp;sheet=U0&amp;row=4704&amp;col=6&amp;number=3&amp;sourceID=14","3")</f>
        <v>3</v>
      </c>
      <c r="G4704" s="4" t="str">
        <f>HYPERLINK("http://141.218.60.56/~jnz1568/getInfo.php?workbook=12_04.xlsx&amp;sheet=U0&amp;row=4704&amp;col=7&amp;number=0.00427&amp;sourceID=14","0.00427")</f>
        <v>0.00427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HYPERLINK("http://141.218.60.56/~jnz1568/getInfo.php?workbook=12_04.xlsx&amp;sheet=U0&amp;row=4705&amp;col=6&amp;number=3.1&amp;sourceID=14","3.1")</f>
        <v>3.1</v>
      </c>
      <c r="G4705" s="4" t="str">
        <f>HYPERLINK("http://141.218.60.56/~jnz1568/getInfo.php?workbook=12_04.xlsx&amp;sheet=U0&amp;row=4705&amp;col=7&amp;number=0.00428&amp;sourceID=14","0.00428")</f>
        <v>0.00428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HYPERLINK("http://141.218.60.56/~jnz1568/getInfo.php?workbook=12_04.xlsx&amp;sheet=U0&amp;row=4706&amp;col=6&amp;number=3.2&amp;sourceID=14","3.2")</f>
        <v>3.2</v>
      </c>
      <c r="G4706" s="4" t="str">
        <f>HYPERLINK("http://141.218.60.56/~jnz1568/getInfo.php?workbook=12_04.xlsx&amp;sheet=U0&amp;row=4706&amp;col=7&amp;number=0.00428&amp;sourceID=14","0.00428")</f>
        <v>0.00428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HYPERLINK("http://141.218.60.56/~jnz1568/getInfo.php?workbook=12_04.xlsx&amp;sheet=U0&amp;row=4707&amp;col=6&amp;number=3.3&amp;sourceID=14","3.3")</f>
        <v>3.3</v>
      </c>
      <c r="G4707" s="4" t="str">
        <f>HYPERLINK("http://141.218.60.56/~jnz1568/getInfo.php?workbook=12_04.xlsx&amp;sheet=U0&amp;row=4707&amp;col=7&amp;number=0.00429&amp;sourceID=14","0.00429")</f>
        <v>0.00429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HYPERLINK("http://141.218.60.56/~jnz1568/getInfo.php?workbook=12_04.xlsx&amp;sheet=U0&amp;row=4708&amp;col=6&amp;number=3.4&amp;sourceID=14","3.4")</f>
        <v>3.4</v>
      </c>
      <c r="G4708" s="4" t="str">
        <f>HYPERLINK("http://141.218.60.56/~jnz1568/getInfo.php?workbook=12_04.xlsx&amp;sheet=U0&amp;row=4708&amp;col=7&amp;number=0.00429&amp;sourceID=14","0.00429")</f>
        <v>0.00429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HYPERLINK("http://141.218.60.56/~jnz1568/getInfo.php?workbook=12_04.xlsx&amp;sheet=U0&amp;row=4709&amp;col=6&amp;number=3.5&amp;sourceID=14","3.5")</f>
        <v>3.5</v>
      </c>
      <c r="G4709" s="4" t="str">
        <f>HYPERLINK("http://141.218.60.56/~jnz1568/getInfo.php?workbook=12_04.xlsx&amp;sheet=U0&amp;row=4709&amp;col=7&amp;number=0.0043&amp;sourceID=14","0.0043")</f>
        <v>0.0043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HYPERLINK("http://141.218.60.56/~jnz1568/getInfo.php?workbook=12_04.xlsx&amp;sheet=U0&amp;row=4710&amp;col=6&amp;number=3.6&amp;sourceID=14","3.6")</f>
        <v>3.6</v>
      </c>
      <c r="G4710" s="4" t="str">
        <f>HYPERLINK("http://141.218.60.56/~jnz1568/getInfo.php?workbook=12_04.xlsx&amp;sheet=U0&amp;row=4710&amp;col=7&amp;number=0.00431&amp;sourceID=14","0.00431")</f>
        <v>0.00431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HYPERLINK("http://141.218.60.56/~jnz1568/getInfo.php?workbook=12_04.xlsx&amp;sheet=U0&amp;row=4711&amp;col=6&amp;number=3.7&amp;sourceID=14","3.7")</f>
        <v>3.7</v>
      </c>
      <c r="G4711" s="4" t="str">
        <f>HYPERLINK("http://141.218.60.56/~jnz1568/getInfo.php?workbook=12_04.xlsx&amp;sheet=U0&amp;row=4711&amp;col=7&amp;number=0.00433&amp;sourceID=14","0.00433")</f>
        <v>0.00433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HYPERLINK("http://141.218.60.56/~jnz1568/getInfo.php?workbook=12_04.xlsx&amp;sheet=U0&amp;row=4712&amp;col=6&amp;number=3.8&amp;sourceID=14","3.8")</f>
        <v>3.8</v>
      </c>
      <c r="G4712" s="4" t="str">
        <f>HYPERLINK("http://141.218.60.56/~jnz1568/getInfo.php?workbook=12_04.xlsx&amp;sheet=U0&amp;row=4712&amp;col=7&amp;number=0.00435&amp;sourceID=14","0.00435")</f>
        <v>0.00435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HYPERLINK("http://141.218.60.56/~jnz1568/getInfo.php?workbook=12_04.xlsx&amp;sheet=U0&amp;row=4713&amp;col=6&amp;number=3.9&amp;sourceID=14","3.9")</f>
        <v>3.9</v>
      </c>
      <c r="G4713" s="4" t="str">
        <f>HYPERLINK("http://141.218.60.56/~jnz1568/getInfo.php?workbook=12_04.xlsx&amp;sheet=U0&amp;row=4713&amp;col=7&amp;number=0.00437&amp;sourceID=14","0.00437")</f>
        <v>0.00437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HYPERLINK("http://141.218.60.56/~jnz1568/getInfo.php?workbook=12_04.xlsx&amp;sheet=U0&amp;row=4714&amp;col=6&amp;number=4&amp;sourceID=14","4")</f>
        <v>4</v>
      </c>
      <c r="G4714" s="4" t="str">
        <f>HYPERLINK("http://141.218.60.56/~jnz1568/getInfo.php?workbook=12_04.xlsx&amp;sheet=U0&amp;row=4714&amp;col=7&amp;number=0.00439&amp;sourceID=14","0.00439")</f>
        <v>0.00439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HYPERLINK("http://141.218.60.56/~jnz1568/getInfo.php?workbook=12_04.xlsx&amp;sheet=U0&amp;row=4715&amp;col=6&amp;number=4.1&amp;sourceID=14","4.1")</f>
        <v>4.1</v>
      </c>
      <c r="G4715" s="4" t="str">
        <f>HYPERLINK("http://141.218.60.56/~jnz1568/getInfo.php?workbook=12_04.xlsx&amp;sheet=U0&amp;row=4715&amp;col=7&amp;number=0.00443&amp;sourceID=14","0.00443")</f>
        <v>0.00443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HYPERLINK("http://141.218.60.56/~jnz1568/getInfo.php?workbook=12_04.xlsx&amp;sheet=U0&amp;row=4716&amp;col=6&amp;number=4.2&amp;sourceID=14","4.2")</f>
        <v>4.2</v>
      </c>
      <c r="G4716" s="4" t="str">
        <f>HYPERLINK("http://141.218.60.56/~jnz1568/getInfo.php?workbook=12_04.xlsx&amp;sheet=U0&amp;row=4716&amp;col=7&amp;number=0.00447&amp;sourceID=14","0.00447")</f>
        <v>0.00447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HYPERLINK("http://141.218.60.56/~jnz1568/getInfo.php?workbook=12_04.xlsx&amp;sheet=U0&amp;row=4717&amp;col=6&amp;number=4.3&amp;sourceID=14","4.3")</f>
        <v>4.3</v>
      </c>
      <c r="G4717" s="4" t="str">
        <f>HYPERLINK("http://141.218.60.56/~jnz1568/getInfo.php?workbook=12_04.xlsx&amp;sheet=U0&amp;row=4717&amp;col=7&amp;number=0.00453&amp;sourceID=14","0.00453")</f>
        <v>0.00453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HYPERLINK("http://141.218.60.56/~jnz1568/getInfo.php?workbook=12_04.xlsx&amp;sheet=U0&amp;row=4718&amp;col=6&amp;number=4.4&amp;sourceID=14","4.4")</f>
        <v>4.4</v>
      </c>
      <c r="G4718" s="4" t="str">
        <f>HYPERLINK("http://141.218.60.56/~jnz1568/getInfo.php?workbook=12_04.xlsx&amp;sheet=U0&amp;row=4718&amp;col=7&amp;number=0.00459&amp;sourceID=14","0.00459")</f>
        <v>0.00459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HYPERLINK("http://141.218.60.56/~jnz1568/getInfo.php?workbook=12_04.xlsx&amp;sheet=U0&amp;row=4719&amp;col=6&amp;number=4.5&amp;sourceID=14","4.5")</f>
        <v>4.5</v>
      </c>
      <c r="G4719" s="4" t="str">
        <f>HYPERLINK("http://141.218.60.56/~jnz1568/getInfo.php?workbook=12_04.xlsx&amp;sheet=U0&amp;row=4719&amp;col=7&amp;number=0.00468&amp;sourceID=14","0.00468")</f>
        <v>0.00468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HYPERLINK("http://141.218.60.56/~jnz1568/getInfo.php?workbook=12_04.xlsx&amp;sheet=U0&amp;row=4720&amp;col=6&amp;number=4.6&amp;sourceID=14","4.6")</f>
        <v>4.6</v>
      </c>
      <c r="G4720" s="4" t="str">
        <f>HYPERLINK("http://141.218.60.56/~jnz1568/getInfo.php?workbook=12_04.xlsx&amp;sheet=U0&amp;row=4720&amp;col=7&amp;number=0.00478&amp;sourceID=14","0.00478")</f>
        <v>0.00478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HYPERLINK("http://141.218.60.56/~jnz1568/getInfo.php?workbook=12_04.xlsx&amp;sheet=U0&amp;row=4721&amp;col=6&amp;number=4.7&amp;sourceID=14","4.7")</f>
        <v>4.7</v>
      </c>
      <c r="G4721" s="4" t="str">
        <f>HYPERLINK("http://141.218.60.56/~jnz1568/getInfo.php?workbook=12_04.xlsx&amp;sheet=U0&amp;row=4721&amp;col=7&amp;number=0.0049&amp;sourceID=14","0.0049")</f>
        <v>0.0049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HYPERLINK("http://141.218.60.56/~jnz1568/getInfo.php?workbook=12_04.xlsx&amp;sheet=U0&amp;row=4722&amp;col=6&amp;number=4.8&amp;sourceID=14","4.8")</f>
        <v>4.8</v>
      </c>
      <c r="G4722" s="4" t="str">
        <f>HYPERLINK("http://141.218.60.56/~jnz1568/getInfo.php?workbook=12_04.xlsx&amp;sheet=U0&amp;row=4722&amp;col=7&amp;number=0.00505&amp;sourceID=14","0.00505")</f>
        <v>0.00505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HYPERLINK("http://141.218.60.56/~jnz1568/getInfo.php?workbook=12_04.xlsx&amp;sheet=U0&amp;row=4723&amp;col=6&amp;number=4.9&amp;sourceID=14","4.9")</f>
        <v>4.9</v>
      </c>
      <c r="G4723" s="4" t="str">
        <f>HYPERLINK("http://141.218.60.56/~jnz1568/getInfo.php?workbook=12_04.xlsx&amp;sheet=U0&amp;row=4723&amp;col=7&amp;number=0.00522&amp;sourceID=14","0.00522")</f>
        <v>0.00522</v>
      </c>
    </row>
    <row r="4724" spans="1:7">
      <c r="A4724" s="3">
        <v>12</v>
      </c>
      <c r="B4724" s="3">
        <v>4</v>
      </c>
      <c r="C4724" s="3">
        <v>3</v>
      </c>
      <c r="D4724" s="3">
        <v>47</v>
      </c>
      <c r="E4724" s="3">
        <v>1</v>
      </c>
      <c r="F4724" s="4" t="str">
        <f>HYPERLINK("http://141.218.60.56/~jnz1568/getInfo.php?workbook=12_04.xlsx&amp;sheet=U0&amp;row=4724&amp;col=6&amp;number=3&amp;sourceID=14","3")</f>
        <v>3</v>
      </c>
      <c r="G4724" s="4" t="str">
        <f>HYPERLINK("http://141.218.60.56/~jnz1568/getInfo.php?workbook=12_04.xlsx&amp;sheet=U0&amp;row=4724&amp;col=7&amp;number=0.0555&amp;sourceID=14","0.0555")</f>
        <v>0.0555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HYPERLINK("http://141.218.60.56/~jnz1568/getInfo.php?workbook=12_04.xlsx&amp;sheet=U0&amp;row=4725&amp;col=6&amp;number=3.1&amp;sourceID=14","3.1")</f>
        <v>3.1</v>
      </c>
      <c r="G4725" s="4" t="str">
        <f>HYPERLINK("http://141.218.60.56/~jnz1568/getInfo.php?workbook=12_04.xlsx&amp;sheet=U0&amp;row=4725&amp;col=7&amp;number=0.0555&amp;sourceID=14","0.0555")</f>
        <v>0.0555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HYPERLINK("http://141.218.60.56/~jnz1568/getInfo.php?workbook=12_04.xlsx&amp;sheet=U0&amp;row=4726&amp;col=6&amp;number=3.2&amp;sourceID=14","3.2")</f>
        <v>3.2</v>
      </c>
      <c r="G4726" s="4" t="str">
        <f>HYPERLINK("http://141.218.60.56/~jnz1568/getInfo.php?workbook=12_04.xlsx&amp;sheet=U0&amp;row=4726&amp;col=7&amp;number=0.0554&amp;sourceID=14","0.0554")</f>
        <v>0.0554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HYPERLINK("http://141.218.60.56/~jnz1568/getInfo.php?workbook=12_04.xlsx&amp;sheet=U0&amp;row=4727&amp;col=6&amp;number=3.3&amp;sourceID=14","3.3")</f>
        <v>3.3</v>
      </c>
      <c r="G4727" s="4" t="str">
        <f>HYPERLINK("http://141.218.60.56/~jnz1568/getInfo.php?workbook=12_04.xlsx&amp;sheet=U0&amp;row=4727&amp;col=7&amp;number=0.0553&amp;sourceID=14","0.0553")</f>
        <v>0.0553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HYPERLINK("http://141.218.60.56/~jnz1568/getInfo.php?workbook=12_04.xlsx&amp;sheet=U0&amp;row=4728&amp;col=6&amp;number=3.4&amp;sourceID=14","3.4")</f>
        <v>3.4</v>
      </c>
      <c r="G4728" s="4" t="str">
        <f>HYPERLINK("http://141.218.60.56/~jnz1568/getInfo.php?workbook=12_04.xlsx&amp;sheet=U0&amp;row=4728&amp;col=7&amp;number=0.0551&amp;sourceID=14","0.0551")</f>
        <v>0.0551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HYPERLINK("http://141.218.60.56/~jnz1568/getInfo.php?workbook=12_04.xlsx&amp;sheet=U0&amp;row=4729&amp;col=6&amp;number=3.5&amp;sourceID=14","3.5")</f>
        <v>3.5</v>
      </c>
      <c r="G4729" s="4" t="str">
        <f>HYPERLINK("http://141.218.60.56/~jnz1568/getInfo.php?workbook=12_04.xlsx&amp;sheet=U0&amp;row=4729&amp;col=7&amp;number=0.0549&amp;sourceID=14","0.0549")</f>
        <v>0.0549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HYPERLINK("http://141.218.60.56/~jnz1568/getInfo.php?workbook=12_04.xlsx&amp;sheet=U0&amp;row=4730&amp;col=6&amp;number=3.6&amp;sourceID=14","3.6")</f>
        <v>3.6</v>
      </c>
      <c r="G4730" s="4" t="str">
        <f>HYPERLINK("http://141.218.60.56/~jnz1568/getInfo.php?workbook=12_04.xlsx&amp;sheet=U0&amp;row=4730&amp;col=7&amp;number=0.0547&amp;sourceID=14","0.0547")</f>
        <v>0.0547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HYPERLINK("http://141.218.60.56/~jnz1568/getInfo.php?workbook=12_04.xlsx&amp;sheet=U0&amp;row=4731&amp;col=6&amp;number=3.7&amp;sourceID=14","3.7")</f>
        <v>3.7</v>
      </c>
      <c r="G4731" s="4" t="str">
        <f>HYPERLINK("http://141.218.60.56/~jnz1568/getInfo.php?workbook=12_04.xlsx&amp;sheet=U0&amp;row=4731&amp;col=7&amp;number=0.0544&amp;sourceID=14","0.0544")</f>
        <v>0.0544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HYPERLINK("http://141.218.60.56/~jnz1568/getInfo.php?workbook=12_04.xlsx&amp;sheet=U0&amp;row=4732&amp;col=6&amp;number=3.8&amp;sourceID=14","3.8")</f>
        <v>3.8</v>
      </c>
      <c r="G4732" s="4" t="str">
        <f>HYPERLINK("http://141.218.60.56/~jnz1568/getInfo.php?workbook=12_04.xlsx&amp;sheet=U0&amp;row=4732&amp;col=7&amp;number=0.0541&amp;sourceID=14","0.0541")</f>
        <v>0.0541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HYPERLINK("http://141.218.60.56/~jnz1568/getInfo.php?workbook=12_04.xlsx&amp;sheet=U0&amp;row=4733&amp;col=6&amp;number=3.9&amp;sourceID=14","3.9")</f>
        <v>3.9</v>
      </c>
      <c r="G4733" s="4" t="str">
        <f>HYPERLINK("http://141.218.60.56/~jnz1568/getInfo.php?workbook=12_04.xlsx&amp;sheet=U0&amp;row=4733&amp;col=7&amp;number=0.0536&amp;sourceID=14","0.0536")</f>
        <v>0.0536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HYPERLINK("http://141.218.60.56/~jnz1568/getInfo.php?workbook=12_04.xlsx&amp;sheet=U0&amp;row=4734&amp;col=6&amp;number=4&amp;sourceID=14","4")</f>
        <v>4</v>
      </c>
      <c r="G4734" s="4" t="str">
        <f>HYPERLINK("http://141.218.60.56/~jnz1568/getInfo.php?workbook=12_04.xlsx&amp;sheet=U0&amp;row=4734&amp;col=7&amp;number=0.0531&amp;sourceID=14","0.0531")</f>
        <v>0.0531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HYPERLINK("http://141.218.60.56/~jnz1568/getInfo.php?workbook=12_04.xlsx&amp;sheet=U0&amp;row=4735&amp;col=6&amp;number=4.1&amp;sourceID=14","4.1")</f>
        <v>4.1</v>
      </c>
      <c r="G4735" s="4" t="str">
        <f>HYPERLINK("http://141.218.60.56/~jnz1568/getInfo.php?workbook=12_04.xlsx&amp;sheet=U0&amp;row=4735&amp;col=7&amp;number=0.0524&amp;sourceID=14","0.0524")</f>
        <v>0.0524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HYPERLINK("http://141.218.60.56/~jnz1568/getInfo.php?workbook=12_04.xlsx&amp;sheet=U0&amp;row=4736&amp;col=6&amp;number=4.2&amp;sourceID=14","4.2")</f>
        <v>4.2</v>
      </c>
      <c r="G4736" s="4" t="str">
        <f>HYPERLINK("http://141.218.60.56/~jnz1568/getInfo.php?workbook=12_04.xlsx&amp;sheet=U0&amp;row=4736&amp;col=7&amp;number=0.0515&amp;sourceID=14","0.0515")</f>
        <v>0.0515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HYPERLINK("http://141.218.60.56/~jnz1568/getInfo.php?workbook=12_04.xlsx&amp;sheet=U0&amp;row=4737&amp;col=6&amp;number=4.3&amp;sourceID=14","4.3")</f>
        <v>4.3</v>
      </c>
      <c r="G4737" s="4" t="str">
        <f>HYPERLINK("http://141.218.60.56/~jnz1568/getInfo.php?workbook=12_04.xlsx&amp;sheet=U0&amp;row=4737&amp;col=7&amp;number=0.0504&amp;sourceID=14","0.0504")</f>
        <v>0.0504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HYPERLINK("http://141.218.60.56/~jnz1568/getInfo.php?workbook=12_04.xlsx&amp;sheet=U0&amp;row=4738&amp;col=6&amp;number=4.4&amp;sourceID=14","4.4")</f>
        <v>4.4</v>
      </c>
      <c r="G4738" s="4" t="str">
        <f>HYPERLINK("http://141.218.60.56/~jnz1568/getInfo.php?workbook=12_04.xlsx&amp;sheet=U0&amp;row=4738&amp;col=7&amp;number=0.049&amp;sourceID=14","0.049")</f>
        <v>0.049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HYPERLINK("http://141.218.60.56/~jnz1568/getInfo.php?workbook=12_04.xlsx&amp;sheet=U0&amp;row=4739&amp;col=6&amp;number=4.5&amp;sourceID=14","4.5")</f>
        <v>4.5</v>
      </c>
      <c r="G4739" s="4" t="str">
        <f>HYPERLINK("http://141.218.60.56/~jnz1568/getInfo.php?workbook=12_04.xlsx&amp;sheet=U0&amp;row=4739&amp;col=7&amp;number=0.0474&amp;sourceID=14","0.0474")</f>
        <v>0.0474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HYPERLINK("http://141.218.60.56/~jnz1568/getInfo.php?workbook=12_04.xlsx&amp;sheet=U0&amp;row=4740&amp;col=6&amp;number=4.6&amp;sourceID=14","4.6")</f>
        <v>4.6</v>
      </c>
      <c r="G4740" s="4" t="str">
        <f>HYPERLINK("http://141.218.60.56/~jnz1568/getInfo.php?workbook=12_04.xlsx&amp;sheet=U0&amp;row=4740&amp;col=7&amp;number=0.0453&amp;sourceID=14","0.0453")</f>
        <v>0.0453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HYPERLINK("http://141.218.60.56/~jnz1568/getInfo.php?workbook=12_04.xlsx&amp;sheet=U0&amp;row=4741&amp;col=6&amp;number=4.7&amp;sourceID=14","4.7")</f>
        <v>4.7</v>
      </c>
      <c r="G4741" s="4" t="str">
        <f>HYPERLINK("http://141.218.60.56/~jnz1568/getInfo.php?workbook=12_04.xlsx&amp;sheet=U0&amp;row=4741&amp;col=7&amp;number=0.0427&amp;sourceID=14","0.0427")</f>
        <v>0.0427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HYPERLINK("http://141.218.60.56/~jnz1568/getInfo.php?workbook=12_04.xlsx&amp;sheet=U0&amp;row=4742&amp;col=6&amp;number=4.8&amp;sourceID=14","4.8")</f>
        <v>4.8</v>
      </c>
      <c r="G4742" s="4" t="str">
        <f>HYPERLINK("http://141.218.60.56/~jnz1568/getInfo.php?workbook=12_04.xlsx&amp;sheet=U0&amp;row=4742&amp;col=7&amp;number=0.0396&amp;sourceID=14","0.0396")</f>
        <v>0.0396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HYPERLINK("http://141.218.60.56/~jnz1568/getInfo.php?workbook=12_04.xlsx&amp;sheet=U0&amp;row=4743&amp;col=6&amp;number=4.9&amp;sourceID=14","4.9")</f>
        <v>4.9</v>
      </c>
      <c r="G4743" s="4" t="str">
        <f>HYPERLINK("http://141.218.60.56/~jnz1568/getInfo.php?workbook=12_04.xlsx&amp;sheet=U0&amp;row=4743&amp;col=7&amp;number=0.0358&amp;sourceID=14","0.0358")</f>
        <v>0.0358</v>
      </c>
    </row>
    <row r="4744" spans="1:7">
      <c r="A4744" s="3">
        <v>12</v>
      </c>
      <c r="B4744" s="3">
        <v>4</v>
      </c>
      <c r="C4744" s="3">
        <v>3</v>
      </c>
      <c r="D4744" s="3">
        <v>48</v>
      </c>
      <c r="E4744" s="3">
        <v>1</v>
      </c>
      <c r="F4744" s="4" t="str">
        <f>HYPERLINK("http://141.218.60.56/~jnz1568/getInfo.php?workbook=12_04.xlsx&amp;sheet=U0&amp;row=4744&amp;col=6&amp;number=3&amp;sourceID=14","3")</f>
        <v>3</v>
      </c>
      <c r="G4744" s="4" t="str">
        <f>HYPERLINK("http://141.218.60.56/~jnz1568/getInfo.php?workbook=12_04.xlsx&amp;sheet=U0&amp;row=4744&amp;col=7&amp;number=0.0115&amp;sourceID=14","0.0115")</f>
        <v>0.0115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HYPERLINK("http://141.218.60.56/~jnz1568/getInfo.php?workbook=12_04.xlsx&amp;sheet=U0&amp;row=4745&amp;col=6&amp;number=3.1&amp;sourceID=14","3.1")</f>
        <v>3.1</v>
      </c>
      <c r="G4745" s="4" t="str">
        <f>HYPERLINK("http://141.218.60.56/~jnz1568/getInfo.php?workbook=12_04.xlsx&amp;sheet=U0&amp;row=4745&amp;col=7&amp;number=0.0115&amp;sourceID=14","0.0115")</f>
        <v>0.0115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HYPERLINK("http://141.218.60.56/~jnz1568/getInfo.php?workbook=12_04.xlsx&amp;sheet=U0&amp;row=4746&amp;col=6&amp;number=3.2&amp;sourceID=14","3.2")</f>
        <v>3.2</v>
      </c>
      <c r="G4746" s="4" t="str">
        <f>HYPERLINK("http://141.218.60.56/~jnz1568/getInfo.php?workbook=12_04.xlsx&amp;sheet=U0&amp;row=4746&amp;col=7&amp;number=0.0115&amp;sourceID=14","0.0115")</f>
        <v>0.0115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HYPERLINK("http://141.218.60.56/~jnz1568/getInfo.php?workbook=12_04.xlsx&amp;sheet=U0&amp;row=4747&amp;col=6&amp;number=3.3&amp;sourceID=14","3.3")</f>
        <v>3.3</v>
      </c>
      <c r="G4747" s="4" t="str">
        <f>HYPERLINK("http://141.218.60.56/~jnz1568/getInfo.php?workbook=12_04.xlsx&amp;sheet=U0&amp;row=4747&amp;col=7&amp;number=0.0115&amp;sourceID=14","0.0115")</f>
        <v>0.0115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HYPERLINK("http://141.218.60.56/~jnz1568/getInfo.php?workbook=12_04.xlsx&amp;sheet=U0&amp;row=4748&amp;col=6&amp;number=3.4&amp;sourceID=14","3.4")</f>
        <v>3.4</v>
      </c>
      <c r="G4748" s="4" t="str">
        <f>HYPERLINK("http://141.218.60.56/~jnz1568/getInfo.php?workbook=12_04.xlsx&amp;sheet=U0&amp;row=4748&amp;col=7&amp;number=0.0114&amp;sourceID=14","0.0114")</f>
        <v>0.0114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HYPERLINK("http://141.218.60.56/~jnz1568/getInfo.php?workbook=12_04.xlsx&amp;sheet=U0&amp;row=4749&amp;col=6&amp;number=3.5&amp;sourceID=14","3.5")</f>
        <v>3.5</v>
      </c>
      <c r="G4749" s="4" t="str">
        <f>HYPERLINK("http://141.218.60.56/~jnz1568/getInfo.php?workbook=12_04.xlsx&amp;sheet=U0&amp;row=4749&amp;col=7&amp;number=0.0114&amp;sourceID=14","0.0114")</f>
        <v>0.0114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HYPERLINK("http://141.218.60.56/~jnz1568/getInfo.php?workbook=12_04.xlsx&amp;sheet=U0&amp;row=4750&amp;col=6&amp;number=3.6&amp;sourceID=14","3.6")</f>
        <v>3.6</v>
      </c>
      <c r="G4750" s="4" t="str">
        <f>HYPERLINK("http://141.218.60.56/~jnz1568/getInfo.php?workbook=12_04.xlsx&amp;sheet=U0&amp;row=4750&amp;col=7&amp;number=0.0114&amp;sourceID=14","0.0114")</f>
        <v>0.0114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HYPERLINK("http://141.218.60.56/~jnz1568/getInfo.php?workbook=12_04.xlsx&amp;sheet=U0&amp;row=4751&amp;col=6&amp;number=3.7&amp;sourceID=14","3.7")</f>
        <v>3.7</v>
      </c>
      <c r="G4751" s="4" t="str">
        <f>HYPERLINK("http://141.218.60.56/~jnz1568/getInfo.php?workbook=12_04.xlsx&amp;sheet=U0&amp;row=4751&amp;col=7&amp;number=0.0113&amp;sourceID=14","0.0113")</f>
        <v>0.0113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HYPERLINK("http://141.218.60.56/~jnz1568/getInfo.php?workbook=12_04.xlsx&amp;sheet=U0&amp;row=4752&amp;col=6&amp;number=3.8&amp;sourceID=14","3.8")</f>
        <v>3.8</v>
      </c>
      <c r="G4752" s="4" t="str">
        <f>HYPERLINK("http://141.218.60.56/~jnz1568/getInfo.php?workbook=12_04.xlsx&amp;sheet=U0&amp;row=4752&amp;col=7&amp;number=0.0112&amp;sourceID=14","0.0112")</f>
        <v>0.0112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HYPERLINK("http://141.218.60.56/~jnz1568/getInfo.php?workbook=12_04.xlsx&amp;sheet=U0&amp;row=4753&amp;col=6&amp;number=3.9&amp;sourceID=14","3.9")</f>
        <v>3.9</v>
      </c>
      <c r="G4753" s="4" t="str">
        <f>HYPERLINK("http://141.218.60.56/~jnz1568/getInfo.php?workbook=12_04.xlsx&amp;sheet=U0&amp;row=4753&amp;col=7&amp;number=0.0112&amp;sourceID=14","0.0112")</f>
        <v>0.0112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HYPERLINK("http://141.218.60.56/~jnz1568/getInfo.php?workbook=12_04.xlsx&amp;sheet=U0&amp;row=4754&amp;col=6&amp;number=4&amp;sourceID=14","4")</f>
        <v>4</v>
      </c>
      <c r="G4754" s="4" t="str">
        <f>HYPERLINK("http://141.218.60.56/~jnz1568/getInfo.php?workbook=12_04.xlsx&amp;sheet=U0&amp;row=4754&amp;col=7&amp;number=0.0111&amp;sourceID=14","0.0111")</f>
        <v>0.0111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HYPERLINK("http://141.218.60.56/~jnz1568/getInfo.php?workbook=12_04.xlsx&amp;sheet=U0&amp;row=4755&amp;col=6&amp;number=4.1&amp;sourceID=14","4.1")</f>
        <v>4.1</v>
      </c>
      <c r="G4755" s="4" t="str">
        <f>HYPERLINK("http://141.218.60.56/~jnz1568/getInfo.php?workbook=12_04.xlsx&amp;sheet=U0&amp;row=4755&amp;col=7&amp;number=0.0109&amp;sourceID=14","0.0109")</f>
        <v>0.0109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HYPERLINK("http://141.218.60.56/~jnz1568/getInfo.php?workbook=12_04.xlsx&amp;sheet=U0&amp;row=4756&amp;col=6&amp;number=4.2&amp;sourceID=14","4.2")</f>
        <v>4.2</v>
      </c>
      <c r="G4756" s="4" t="str">
        <f>HYPERLINK("http://141.218.60.56/~jnz1568/getInfo.php?workbook=12_04.xlsx&amp;sheet=U0&amp;row=4756&amp;col=7&amp;number=0.0108&amp;sourceID=14","0.0108")</f>
        <v>0.0108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HYPERLINK("http://141.218.60.56/~jnz1568/getInfo.php?workbook=12_04.xlsx&amp;sheet=U0&amp;row=4757&amp;col=6&amp;number=4.3&amp;sourceID=14","4.3")</f>
        <v>4.3</v>
      </c>
      <c r="G4757" s="4" t="str">
        <f>HYPERLINK("http://141.218.60.56/~jnz1568/getInfo.php?workbook=12_04.xlsx&amp;sheet=U0&amp;row=4757&amp;col=7&amp;number=0.0105&amp;sourceID=14","0.0105")</f>
        <v>0.0105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HYPERLINK("http://141.218.60.56/~jnz1568/getInfo.php?workbook=12_04.xlsx&amp;sheet=U0&amp;row=4758&amp;col=6&amp;number=4.4&amp;sourceID=14","4.4")</f>
        <v>4.4</v>
      </c>
      <c r="G4758" s="4" t="str">
        <f>HYPERLINK("http://141.218.60.56/~jnz1568/getInfo.php?workbook=12_04.xlsx&amp;sheet=U0&amp;row=4758&amp;col=7&amp;number=0.0103&amp;sourceID=14","0.0103")</f>
        <v>0.0103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HYPERLINK("http://141.218.60.56/~jnz1568/getInfo.php?workbook=12_04.xlsx&amp;sheet=U0&amp;row=4759&amp;col=6&amp;number=4.5&amp;sourceID=14","4.5")</f>
        <v>4.5</v>
      </c>
      <c r="G4759" s="4" t="str">
        <f>HYPERLINK("http://141.218.60.56/~jnz1568/getInfo.php?workbook=12_04.xlsx&amp;sheet=U0&amp;row=4759&amp;col=7&amp;number=0.00995&amp;sourceID=14","0.00995")</f>
        <v>0.00995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HYPERLINK("http://141.218.60.56/~jnz1568/getInfo.php?workbook=12_04.xlsx&amp;sheet=U0&amp;row=4760&amp;col=6&amp;number=4.6&amp;sourceID=14","4.6")</f>
        <v>4.6</v>
      </c>
      <c r="G4760" s="4" t="str">
        <f>HYPERLINK("http://141.218.60.56/~jnz1568/getInfo.php?workbook=12_04.xlsx&amp;sheet=U0&amp;row=4760&amp;col=7&amp;number=0.00955&amp;sourceID=14","0.00955")</f>
        <v>0.00955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HYPERLINK("http://141.218.60.56/~jnz1568/getInfo.php?workbook=12_04.xlsx&amp;sheet=U0&amp;row=4761&amp;col=6&amp;number=4.7&amp;sourceID=14","4.7")</f>
        <v>4.7</v>
      </c>
      <c r="G4761" s="4" t="str">
        <f>HYPERLINK("http://141.218.60.56/~jnz1568/getInfo.php?workbook=12_04.xlsx&amp;sheet=U0&amp;row=4761&amp;col=7&amp;number=0.00904&amp;sourceID=14","0.00904")</f>
        <v>0.00904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HYPERLINK("http://141.218.60.56/~jnz1568/getInfo.php?workbook=12_04.xlsx&amp;sheet=U0&amp;row=4762&amp;col=6&amp;number=4.8&amp;sourceID=14","4.8")</f>
        <v>4.8</v>
      </c>
      <c r="G4762" s="4" t="str">
        <f>HYPERLINK("http://141.218.60.56/~jnz1568/getInfo.php?workbook=12_04.xlsx&amp;sheet=U0&amp;row=4762&amp;col=7&amp;number=0.00842&amp;sourceID=14","0.00842")</f>
        <v>0.00842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HYPERLINK("http://141.218.60.56/~jnz1568/getInfo.php?workbook=12_04.xlsx&amp;sheet=U0&amp;row=4763&amp;col=6&amp;number=4.9&amp;sourceID=14","4.9")</f>
        <v>4.9</v>
      </c>
      <c r="G4763" s="4" t="str">
        <f>HYPERLINK("http://141.218.60.56/~jnz1568/getInfo.php?workbook=12_04.xlsx&amp;sheet=U0&amp;row=4763&amp;col=7&amp;number=0.00766&amp;sourceID=14","0.00766")</f>
        <v>0.00766</v>
      </c>
    </row>
    <row r="4764" spans="1:7">
      <c r="A4764" s="3">
        <v>12</v>
      </c>
      <c r="B4764" s="3">
        <v>4</v>
      </c>
      <c r="C4764" s="3">
        <v>3</v>
      </c>
      <c r="D4764" s="3">
        <v>49</v>
      </c>
      <c r="E4764" s="3">
        <v>1</v>
      </c>
      <c r="F4764" s="4" t="str">
        <f>HYPERLINK("http://141.218.60.56/~jnz1568/getInfo.php?workbook=12_04.xlsx&amp;sheet=U0&amp;row=4764&amp;col=6&amp;number=3&amp;sourceID=14","3")</f>
        <v>3</v>
      </c>
      <c r="G4764" s="4" t="str">
        <f>HYPERLINK("http://141.218.60.56/~jnz1568/getInfo.php?workbook=12_04.xlsx&amp;sheet=U0&amp;row=4764&amp;col=7&amp;number=0.00938&amp;sourceID=14","0.00938")</f>
        <v>0.00938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HYPERLINK("http://141.218.60.56/~jnz1568/getInfo.php?workbook=12_04.xlsx&amp;sheet=U0&amp;row=4765&amp;col=6&amp;number=3.1&amp;sourceID=14","3.1")</f>
        <v>3.1</v>
      </c>
      <c r="G4765" s="4" t="str">
        <f>HYPERLINK("http://141.218.60.56/~jnz1568/getInfo.php?workbook=12_04.xlsx&amp;sheet=U0&amp;row=4765&amp;col=7&amp;number=0.00937&amp;sourceID=14","0.00937")</f>
        <v>0.00937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HYPERLINK("http://141.218.60.56/~jnz1568/getInfo.php?workbook=12_04.xlsx&amp;sheet=U0&amp;row=4766&amp;col=6&amp;number=3.2&amp;sourceID=14","3.2")</f>
        <v>3.2</v>
      </c>
      <c r="G4766" s="4" t="str">
        <f>HYPERLINK("http://141.218.60.56/~jnz1568/getInfo.php?workbook=12_04.xlsx&amp;sheet=U0&amp;row=4766&amp;col=7&amp;number=0.00935&amp;sourceID=14","0.00935")</f>
        <v>0.00935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HYPERLINK("http://141.218.60.56/~jnz1568/getInfo.php?workbook=12_04.xlsx&amp;sheet=U0&amp;row=4767&amp;col=6&amp;number=3.3&amp;sourceID=14","3.3")</f>
        <v>3.3</v>
      </c>
      <c r="G4767" s="4" t="str">
        <f>HYPERLINK("http://141.218.60.56/~jnz1568/getInfo.php?workbook=12_04.xlsx&amp;sheet=U0&amp;row=4767&amp;col=7&amp;number=0.00933&amp;sourceID=14","0.00933")</f>
        <v>0.00933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HYPERLINK("http://141.218.60.56/~jnz1568/getInfo.php?workbook=12_04.xlsx&amp;sheet=U0&amp;row=4768&amp;col=6&amp;number=3.4&amp;sourceID=14","3.4")</f>
        <v>3.4</v>
      </c>
      <c r="G4768" s="4" t="str">
        <f>HYPERLINK("http://141.218.60.56/~jnz1568/getInfo.php?workbook=12_04.xlsx&amp;sheet=U0&amp;row=4768&amp;col=7&amp;number=0.0093&amp;sourceID=14","0.0093")</f>
        <v>0.0093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HYPERLINK("http://141.218.60.56/~jnz1568/getInfo.php?workbook=12_04.xlsx&amp;sheet=U0&amp;row=4769&amp;col=6&amp;number=3.5&amp;sourceID=14","3.5")</f>
        <v>3.5</v>
      </c>
      <c r="G4769" s="4" t="str">
        <f>HYPERLINK("http://141.218.60.56/~jnz1568/getInfo.php?workbook=12_04.xlsx&amp;sheet=U0&amp;row=4769&amp;col=7&amp;number=0.00927&amp;sourceID=14","0.00927")</f>
        <v>0.00927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HYPERLINK("http://141.218.60.56/~jnz1568/getInfo.php?workbook=12_04.xlsx&amp;sheet=U0&amp;row=4770&amp;col=6&amp;number=3.6&amp;sourceID=14","3.6")</f>
        <v>3.6</v>
      </c>
      <c r="G4770" s="4" t="str">
        <f>HYPERLINK("http://141.218.60.56/~jnz1568/getInfo.php?workbook=12_04.xlsx&amp;sheet=U0&amp;row=4770&amp;col=7&amp;number=0.00923&amp;sourceID=14","0.00923")</f>
        <v>0.00923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HYPERLINK("http://141.218.60.56/~jnz1568/getInfo.php?workbook=12_04.xlsx&amp;sheet=U0&amp;row=4771&amp;col=6&amp;number=3.7&amp;sourceID=14","3.7")</f>
        <v>3.7</v>
      </c>
      <c r="G4771" s="4" t="str">
        <f>HYPERLINK("http://141.218.60.56/~jnz1568/getInfo.php?workbook=12_04.xlsx&amp;sheet=U0&amp;row=4771&amp;col=7&amp;number=0.00918&amp;sourceID=14","0.00918")</f>
        <v>0.00918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HYPERLINK("http://141.218.60.56/~jnz1568/getInfo.php?workbook=12_04.xlsx&amp;sheet=U0&amp;row=4772&amp;col=6&amp;number=3.8&amp;sourceID=14","3.8")</f>
        <v>3.8</v>
      </c>
      <c r="G4772" s="4" t="str">
        <f>HYPERLINK("http://141.218.60.56/~jnz1568/getInfo.php?workbook=12_04.xlsx&amp;sheet=U0&amp;row=4772&amp;col=7&amp;number=0.00912&amp;sourceID=14","0.00912")</f>
        <v>0.00912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HYPERLINK("http://141.218.60.56/~jnz1568/getInfo.php?workbook=12_04.xlsx&amp;sheet=U0&amp;row=4773&amp;col=6&amp;number=3.9&amp;sourceID=14","3.9")</f>
        <v>3.9</v>
      </c>
      <c r="G4773" s="4" t="str">
        <f>HYPERLINK("http://141.218.60.56/~jnz1568/getInfo.php?workbook=12_04.xlsx&amp;sheet=U0&amp;row=4773&amp;col=7&amp;number=0.00904&amp;sourceID=14","0.00904")</f>
        <v>0.00904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HYPERLINK("http://141.218.60.56/~jnz1568/getInfo.php?workbook=12_04.xlsx&amp;sheet=U0&amp;row=4774&amp;col=6&amp;number=4&amp;sourceID=14","4")</f>
        <v>4</v>
      </c>
      <c r="G4774" s="4" t="str">
        <f>HYPERLINK("http://141.218.60.56/~jnz1568/getInfo.php?workbook=12_04.xlsx&amp;sheet=U0&amp;row=4774&amp;col=7&amp;number=0.00894&amp;sourceID=14","0.00894")</f>
        <v>0.00894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HYPERLINK("http://141.218.60.56/~jnz1568/getInfo.php?workbook=12_04.xlsx&amp;sheet=U0&amp;row=4775&amp;col=6&amp;number=4.1&amp;sourceID=14","4.1")</f>
        <v>4.1</v>
      </c>
      <c r="G4775" s="4" t="str">
        <f>HYPERLINK("http://141.218.60.56/~jnz1568/getInfo.php?workbook=12_04.xlsx&amp;sheet=U0&amp;row=4775&amp;col=7&amp;number=0.00881&amp;sourceID=14","0.00881")</f>
        <v>0.00881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HYPERLINK("http://141.218.60.56/~jnz1568/getInfo.php?workbook=12_04.xlsx&amp;sheet=U0&amp;row=4776&amp;col=6&amp;number=4.2&amp;sourceID=14","4.2")</f>
        <v>4.2</v>
      </c>
      <c r="G4776" s="4" t="str">
        <f>HYPERLINK("http://141.218.60.56/~jnz1568/getInfo.php?workbook=12_04.xlsx&amp;sheet=U0&amp;row=4776&amp;col=7&amp;number=0.00865&amp;sourceID=14","0.00865")</f>
        <v>0.00865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HYPERLINK("http://141.218.60.56/~jnz1568/getInfo.php?workbook=12_04.xlsx&amp;sheet=U0&amp;row=4777&amp;col=6&amp;number=4.3&amp;sourceID=14","4.3")</f>
        <v>4.3</v>
      </c>
      <c r="G4777" s="4" t="str">
        <f>HYPERLINK("http://141.218.60.56/~jnz1568/getInfo.php?workbook=12_04.xlsx&amp;sheet=U0&amp;row=4777&amp;col=7&amp;number=0.00845&amp;sourceID=14","0.00845")</f>
        <v>0.00845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HYPERLINK("http://141.218.60.56/~jnz1568/getInfo.php?workbook=12_04.xlsx&amp;sheet=U0&amp;row=4778&amp;col=6&amp;number=4.4&amp;sourceID=14","4.4")</f>
        <v>4.4</v>
      </c>
      <c r="G4778" s="4" t="str">
        <f>HYPERLINK("http://141.218.60.56/~jnz1568/getInfo.php?workbook=12_04.xlsx&amp;sheet=U0&amp;row=4778&amp;col=7&amp;number=0.00821&amp;sourceID=14","0.00821")</f>
        <v>0.00821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HYPERLINK("http://141.218.60.56/~jnz1568/getInfo.php?workbook=12_04.xlsx&amp;sheet=U0&amp;row=4779&amp;col=6&amp;number=4.5&amp;sourceID=14","4.5")</f>
        <v>4.5</v>
      </c>
      <c r="G4779" s="4" t="str">
        <f>HYPERLINK("http://141.218.60.56/~jnz1568/getInfo.php?workbook=12_04.xlsx&amp;sheet=U0&amp;row=4779&amp;col=7&amp;number=0.00791&amp;sourceID=14","0.00791")</f>
        <v>0.00791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HYPERLINK("http://141.218.60.56/~jnz1568/getInfo.php?workbook=12_04.xlsx&amp;sheet=U0&amp;row=4780&amp;col=6&amp;number=4.6&amp;sourceID=14","4.6")</f>
        <v>4.6</v>
      </c>
      <c r="G4780" s="4" t="str">
        <f>HYPERLINK("http://141.218.60.56/~jnz1568/getInfo.php?workbook=12_04.xlsx&amp;sheet=U0&amp;row=4780&amp;col=7&amp;number=0.00754&amp;sourceID=14","0.00754")</f>
        <v>0.00754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HYPERLINK("http://141.218.60.56/~jnz1568/getInfo.php?workbook=12_04.xlsx&amp;sheet=U0&amp;row=4781&amp;col=6&amp;number=4.7&amp;sourceID=14","4.7")</f>
        <v>4.7</v>
      </c>
      <c r="G4781" s="4" t="str">
        <f>HYPERLINK("http://141.218.60.56/~jnz1568/getInfo.php?workbook=12_04.xlsx&amp;sheet=U0&amp;row=4781&amp;col=7&amp;number=0.00709&amp;sourceID=14","0.00709")</f>
        <v>0.00709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HYPERLINK("http://141.218.60.56/~jnz1568/getInfo.php?workbook=12_04.xlsx&amp;sheet=U0&amp;row=4782&amp;col=6&amp;number=4.8&amp;sourceID=14","4.8")</f>
        <v>4.8</v>
      </c>
      <c r="G4782" s="4" t="str">
        <f>HYPERLINK("http://141.218.60.56/~jnz1568/getInfo.php?workbook=12_04.xlsx&amp;sheet=U0&amp;row=4782&amp;col=7&amp;number=0.00655&amp;sourceID=14","0.00655")</f>
        <v>0.00655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HYPERLINK("http://141.218.60.56/~jnz1568/getInfo.php?workbook=12_04.xlsx&amp;sheet=U0&amp;row=4783&amp;col=6&amp;number=4.9&amp;sourceID=14","4.9")</f>
        <v>4.9</v>
      </c>
      <c r="G4783" s="4" t="str">
        <f>HYPERLINK("http://141.218.60.56/~jnz1568/getInfo.php?workbook=12_04.xlsx&amp;sheet=U0&amp;row=4783&amp;col=7&amp;number=0.00593&amp;sourceID=14","0.00593")</f>
        <v>0.00593</v>
      </c>
    </row>
    <row r="4784" spans="1:7">
      <c r="A4784" s="3">
        <v>12</v>
      </c>
      <c r="B4784" s="3">
        <v>4</v>
      </c>
      <c r="C4784" s="3">
        <v>3</v>
      </c>
      <c r="D4784" s="3">
        <v>50</v>
      </c>
      <c r="E4784" s="3">
        <v>1</v>
      </c>
      <c r="F4784" s="4" t="str">
        <f>HYPERLINK("http://141.218.60.56/~jnz1568/getInfo.php?workbook=12_04.xlsx&amp;sheet=U0&amp;row=4784&amp;col=6&amp;number=3&amp;sourceID=14","3")</f>
        <v>3</v>
      </c>
      <c r="G4784" s="4" t="str">
        <f>HYPERLINK("http://141.218.60.56/~jnz1568/getInfo.php?workbook=12_04.xlsx&amp;sheet=U0&amp;row=4784&amp;col=7&amp;number=0.061&amp;sourceID=14","0.061")</f>
        <v>0.061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HYPERLINK("http://141.218.60.56/~jnz1568/getInfo.php?workbook=12_04.xlsx&amp;sheet=U0&amp;row=4785&amp;col=6&amp;number=3.1&amp;sourceID=14","3.1")</f>
        <v>3.1</v>
      </c>
      <c r="G4785" s="4" t="str">
        <f>HYPERLINK("http://141.218.60.56/~jnz1568/getInfo.php?workbook=12_04.xlsx&amp;sheet=U0&amp;row=4785&amp;col=7&amp;number=0.0609&amp;sourceID=14","0.0609")</f>
        <v>0.0609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HYPERLINK("http://141.218.60.56/~jnz1568/getInfo.php?workbook=12_04.xlsx&amp;sheet=U0&amp;row=4786&amp;col=6&amp;number=3.2&amp;sourceID=14","3.2")</f>
        <v>3.2</v>
      </c>
      <c r="G4786" s="4" t="str">
        <f>HYPERLINK("http://141.218.60.56/~jnz1568/getInfo.php?workbook=12_04.xlsx&amp;sheet=U0&amp;row=4786&amp;col=7&amp;number=0.0608&amp;sourceID=14","0.0608")</f>
        <v>0.0608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HYPERLINK("http://141.218.60.56/~jnz1568/getInfo.php?workbook=12_04.xlsx&amp;sheet=U0&amp;row=4787&amp;col=6&amp;number=3.3&amp;sourceID=14","3.3")</f>
        <v>3.3</v>
      </c>
      <c r="G4787" s="4" t="str">
        <f>HYPERLINK("http://141.218.60.56/~jnz1568/getInfo.php?workbook=12_04.xlsx&amp;sheet=U0&amp;row=4787&amp;col=7&amp;number=0.0606&amp;sourceID=14","0.0606")</f>
        <v>0.0606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HYPERLINK("http://141.218.60.56/~jnz1568/getInfo.php?workbook=12_04.xlsx&amp;sheet=U0&amp;row=4788&amp;col=6&amp;number=3.4&amp;sourceID=14","3.4")</f>
        <v>3.4</v>
      </c>
      <c r="G4788" s="4" t="str">
        <f>HYPERLINK("http://141.218.60.56/~jnz1568/getInfo.php?workbook=12_04.xlsx&amp;sheet=U0&amp;row=4788&amp;col=7&amp;number=0.0604&amp;sourceID=14","0.0604")</f>
        <v>0.0604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HYPERLINK("http://141.218.60.56/~jnz1568/getInfo.php?workbook=12_04.xlsx&amp;sheet=U0&amp;row=4789&amp;col=6&amp;number=3.5&amp;sourceID=14","3.5")</f>
        <v>3.5</v>
      </c>
      <c r="G4789" s="4" t="str">
        <f>HYPERLINK("http://141.218.60.56/~jnz1568/getInfo.php?workbook=12_04.xlsx&amp;sheet=U0&amp;row=4789&amp;col=7&amp;number=0.0602&amp;sourceID=14","0.0602")</f>
        <v>0.0602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HYPERLINK("http://141.218.60.56/~jnz1568/getInfo.php?workbook=12_04.xlsx&amp;sheet=U0&amp;row=4790&amp;col=6&amp;number=3.6&amp;sourceID=14","3.6")</f>
        <v>3.6</v>
      </c>
      <c r="G4790" s="4" t="str">
        <f>HYPERLINK("http://141.218.60.56/~jnz1568/getInfo.php?workbook=12_04.xlsx&amp;sheet=U0&amp;row=4790&amp;col=7&amp;number=0.0599&amp;sourceID=14","0.0599")</f>
        <v>0.0599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HYPERLINK("http://141.218.60.56/~jnz1568/getInfo.php?workbook=12_04.xlsx&amp;sheet=U0&amp;row=4791&amp;col=6&amp;number=3.7&amp;sourceID=14","3.7")</f>
        <v>3.7</v>
      </c>
      <c r="G4791" s="4" t="str">
        <f>HYPERLINK("http://141.218.60.56/~jnz1568/getInfo.php?workbook=12_04.xlsx&amp;sheet=U0&amp;row=4791&amp;col=7&amp;number=0.0595&amp;sourceID=14","0.0595")</f>
        <v>0.0595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HYPERLINK("http://141.218.60.56/~jnz1568/getInfo.php?workbook=12_04.xlsx&amp;sheet=U0&amp;row=4792&amp;col=6&amp;number=3.8&amp;sourceID=14","3.8")</f>
        <v>3.8</v>
      </c>
      <c r="G4792" s="4" t="str">
        <f>HYPERLINK("http://141.218.60.56/~jnz1568/getInfo.php?workbook=12_04.xlsx&amp;sheet=U0&amp;row=4792&amp;col=7&amp;number=0.059&amp;sourceID=14","0.059")</f>
        <v>0.059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HYPERLINK("http://141.218.60.56/~jnz1568/getInfo.php?workbook=12_04.xlsx&amp;sheet=U0&amp;row=4793&amp;col=6&amp;number=3.9&amp;sourceID=14","3.9")</f>
        <v>3.9</v>
      </c>
      <c r="G4793" s="4" t="str">
        <f>HYPERLINK("http://141.218.60.56/~jnz1568/getInfo.php?workbook=12_04.xlsx&amp;sheet=U0&amp;row=4793&amp;col=7&amp;number=0.0584&amp;sourceID=14","0.0584")</f>
        <v>0.0584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HYPERLINK("http://141.218.60.56/~jnz1568/getInfo.php?workbook=12_04.xlsx&amp;sheet=U0&amp;row=4794&amp;col=6&amp;number=4&amp;sourceID=14","4")</f>
        <v>4</v>
      </c>
      <c r="G4794" s="4" t="str">
        <f>HYPERLINK("http://141.218.60.56/~jnz1568/getInfo.php?workbook=12_04.xlsx&amp;sheet=U0&amp;row=4794&amp;col=7&amp;number=0.0577&amp;sourceID=14","0.0577")</f>
        <v>0.0577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HYPERLINK("http://141.218.60.56/~jnz1568/getInfo.php?workbook=12_04.xlsx&amp;sheet=U0&amp;row=4795&amp;col=6&amp;number=4.1&amp;sourceID=14","4.1")</f>
        <v>4.1</v>
      </c>
      <c r="G4795" s="4" t="str">
        <f>HYPERLINK("http://141.218.60.56/~jnz1568/getInfo.php?workbook=12_04.xlsx&amp;sheet=U0&amp;row=4795&amp;col=7&amp;number=0.0568&amp;sourceID=14","0.0568")</f>
        <v>0.0568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HYPERLINK("http://141.218.60.56/~jnz1568/getInfo.php?workbook=12_04.xlsx&amp;sheet=U0&amp;row=4796&amp;col=6&amp;number=4.2&amp;sourceID=14","4.2")</f>
        <v>4.2</v>
      </c>
      <c r="G4796" s="4" t="str">
        <f>HYPERLINK("http://141.218.60.56/~jnz1568/getInfo.php?workbook=12_04.xlsx&amp;sheet=U0&amp;row=4796&amp;col=7&amp;number=0.0556&amp;sourceID=14","0.0556")</f>
        <v>0.0556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HYPERLINK("http://141.218.60.56/~jnz1568/getInfo.php?workbook=12_04.xlsx&amp;sheet=U0&amp;row=4797&amp;col=6&amp;number=4.3&amp;sourceID=14","4.3")</f>
        <v>4.3</v>
      </c>
      <c r="G4797" s="4" t="str">
        <f>HYPERLINK("http://141.218.60.56/~jnz1568/getInfo.php?workbook=12_04.xlsx&amp;sheet=U0&amp;row=4797&amp;col=7&amp;number=0.0542&amp;sourceID=14","0.0542")</f>
        <v>0.0542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HYPERLINK("http://141.218.60.56/~jnz1568/getInfo.php?workbook=12_04.xlsx&amp;sheet=U0&amp;row=4798&amp;col=6&amp;number=4.4&amp;sourceID=14","4.4")</f>
        <v>4.4</v>
      </c>
      <c r="G4798" s="4" t="str">
        <f>HYPERLINK("http://141.218.60.56/~jnz1568/getInfo.php?workbook=12_04.xlsx&amp;sheet=U0&amp;row=4798&amp;col=7&amp;number=0.0525&amp;sourceID=14","0.0525")</f>
        <v>0.0525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HYPERLINK("http://141.218.60.56/~jnz1568/getInfo.php?workbook=12_04.xlsx&amp;sheet=U0&amp;row=4799&amp;col=6&amp;number=4.5&amp;sourceID=14","4.5")</f>
        <v>4.5</v>
      </c>
      <c r="G4799" s="4" t="str">
        <f>HYPERLINK("http://141.218.60.56/~jnz1568/getInfo.php?workbook=12_04.xlsx&amp;sheet=U0&amp;row=4799&amp;col=7&amp;number=0.0505&amp;sourceID=14","0.0505")</f>
        <v>0.0505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HYPERLINK("http://141.218.60.56/~jnz1568/getInfo.php?workbook=12_04.xlsx&amp;sheet=U0&amp;row=4800&amp;col=6&amp;number=4.6&amp;sourceID=14","4.6")</f>
        <v>4.6</v>
      </c>
      <c r="G4800" s="4" t="str">
        <f>HYPERLINK("http://141.218.60.56/~jnz1568/getInfo.php?workbook=12_04.xlsx&amp;sheet=U0&amp;row=4800&amp;col=7&amp;number=0.048&amp;sourceID=14","0.048")</f>
        <v>0.048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HYPERLINK("http://141.218.60.56/~jnz1568/getInfo.php?workbook=12_04.xlsx&amp;sheet=U0&amp;row=4801&amp;col=6&amp;number=4.7&amp;sourceID=14","4.7")</f>
        <v>4.7</v>
      </c>
      <c r="G4801" s="4" t="str">
        <f>HYPERLINK("http://141.218.60.56/~jnz1568/getInfo.php?workbook=12_04.xlsx&amp;sheet=U0&amp;row=4801&amp;col=7&amp;number=0.0453&amp;sourceID=14","0.0453")</f>
        <v>0.0453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HYPERLINK("http://141.218.60.56/~jnz1568/getInfo.php?workbook=12_04.xlsx&amp;sheet=U0&amp;row=4802&amp;col=6&amp;number=4.8&amp;sourceID=14","4.8")</f>
        <v>4.8</v>
      </c>
      <c r="G4802" s="4" t="str">
        <f>HYPERLINK("http://141.218.60.56/~jnz1568/getInfo.php?workbook=12_04.xlsx&amp;sheet=U0&amp;row=4802&amp;col=7&amp;number=0.0423&amp;sourceID=14","0.0423")</f>
        <v>0.0423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HYPERLINK("http://141.218.60.56/~jnz1568/getInfo.php?workbook=12_04.xlsx&amp;sheet=U0&amp;row=4803&amp;col=6&amp;number=4.9&amp;sourceID=14","4.9")</f>
        <v>4.9</v>
      </c>
      <c r="G4803" s="4" t="str">
        <f>HYPERLINK("http://141.218.60.56/~jnz1568/getInfo.php?workbook=12_04.xlsx&amp;sheet=U0&amp;row=4803&amp;col=7&amp;number=0.0393&amp;sourceID=14","0.0393")</f>
        <v>0.0393</v>
      </c>
    </row>
    <row r="4804" spans="1:7">
      <c r="A4804" s="3">
        <v>12</v>
      </c>
      <c r="B4804" s="3">
        <v>4</v>
      </c>
      <c r="C4804" s="3">
        <v>3</v>
      </c>
      <c r="D4804" s="3">
        <v>51</v>
      </c>
      <c r="E4804" s="3">
        <v>1</v>
      </c>
      <c r="F4804" s="4" t="str">
        <f>HYPERLINK("http://141.218.60.56/~jnz1568/getInfo.php?workbook=12_04.xlsx&amp;sheet=U0&amp;row=4804&amp;col=6&amp;number=3&amp;sourceID=14","3")</f>
        <v>3</v>
      </c>
      <c r="G4804" s="4" t="str">
        <f>HYPERLINK("http://141.218.60.56/~jnz1568/getInfo.php?workbook=12_04.xlsx&amp;sheet=U0&amp;row=4804&amp;col=7&amp;number=0.0397&amp;sourceID=14","0.0397")</f>
        <v>0.0397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HYPERLINK("http://141.218.60.56/~jnz1568/getInfo.php?workbook=12_04.xlsx&amp;sheet=U0&amp;row=4805&amp;col=6&amp;number=3.1&amp;sourceID=14","3.1")</f>
        <v>3.1</v>
      </c>
      <c r="G4805" s="4" t="str">
        <f>HYPERLINK("http://141.218.60.56/~jnz1568/getInfo.php?workbook=12_04.xlsx&amp;sheet=U0&amp;row=4805&amp;col=7&amp;number=0.0396&amp;sourceID=14","0.0396")</f>
        <v>0.0396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HYPERLINK("http://141.218.60.56/~jnz1568/getInfo.php?workbook=12_04.xlsx&amp;sheet=U0&amp;row=4806&amp;col=6&amp;number=3.2&amp;sourceID=14","3.2")</f>
        <v>3.2</v>
      </c>
      <c r="G4806" s="4" t="str">
        <f>HYPERLINK("http://141.218.60.56/~jnz1568/getInfo.php?workbook=12_04.xlsx&amp;sheet=U0&amp;row=4806&amp;col=7&amp;number=0.0395&amp;sourceID=14","0.0395")</f>
        <v>0.0395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HYPERLINK("http://141.218.60.56/~jnz1568/getInfo.php?workbook=12_04.xlsx&amp;sheet=U0&amp;row=4807&amp;col=6&amp;number=3.3&amp;sourceID=14","3.3")</f>
        <v>3.3</v>
      </c>
      <c r="G4807" s="4" t="str">
        <f>HYPERLINK("http://141.218.60.56/~jnz1568/getInfo.php?workbook=12_04.xlsx&amp;sheet=U0&amp;row=4807&amp;col=7&amp;number=0.0394&amp;sourceID=14","0.0394")</f>
        <v>0.0394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HYPERLINK("http://141.218.60.56/~jnz1568/getInfo.php?workbook=12_04.xlsx&amp;sheet=U0&amp;row=4808&amp;col=6&amp;number=3.4&amp;sourceID=14","3.4")</f>
        <v>3.4</v>
      </c>
      <c r="G4808" s="4" t="str">
        <f>HYPERLINK("http://141.218.60.56/~jnz1568/getInfo.php?workbook=12_04.xlsx&amp;sheet=U0&amp;row=4808&amp;col=7&amp;number=0.0392&amp;sourceID=14","0.0392")</f>
        <v>0.0392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HYPERLINK("http://141.218.60.56/~jnz1568/getInfo.php?workbook=12_04.xlsx&amp;sheet=U0&amp;row=4809&amp;col=6&amp;number=3.5&amp;sourceID=14","3.5")</f>
        <v>3.5</v>
      </c>
      <c r="G4809" s="4" t="str">
        <f>HYPERLINK("http://141.218.60.56/~jnz1568/getInfo.php?workbook=12_04.xlsx&amp;sheet=U0&amp;row=4809&amp;col=7&amp;number=0.039&amp;sourceID=14","0.039")</f>
        <v>0.039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HYPERLINK("http://141.218.60.56/~jnz1568/getInfo.php?workbook=12_04.xlsx&amp;sheet=U0&amp;row=4810&amp;col=6&amp;number=3.6&amp;sourceID=14","3.6")</f>
        <v>3.6</v>
      </c>
      <c r="G4810" s="4" t="str">
        <f>HYPERLINK("http://141.218.60.56/~jnz1568/getInfo.php?workbook=12_04.xlsx&amp;sheet=U0&amp;row=4810&amp;col=7&amp;number=0.0388&amp;sourceID=14","0.0388")</f>
        <v>0.0388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HYPERLINK("http://141.218.60.56/~jnz1568/getInfo.php?workbook=12_04.xlsx&amp;sheet=U0&amp;row=4811&amp;col=6&amp;number=3.7&amp;sourceID=14","3.7")</f>
        <v>3.7</v>
      </c>
      <c r="G4811" s="4" t="str">
        <f>HYPERLINK("http://141.218.60.56/~jnz1568/getInfo.php?workbook=12_04.xlsx&amp;sheet=U0&amp;row=4811&amp;col=7&amp;number=0.0384&amp;sourceID=14","0.0384")</f>
        <v>0.0384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HYPERLINK("http://141.218.60.56/~jnz1568/getInfo.php?workbook=12_04.xlsx&amp;sheet=U0&amp;row=4812&amp;col=6&amp;number=3.8&amp;sourceID=14","3.8")</f>
        <v>3.8</v>
      </c>
      <c r="G4812" s="4" t="str">
        <f>HYPERLINK("http://141.218.60.56/~jnz1568/getInfo.php?workbook=12_04.xlsx&amp;sheet=U0&amp;row=4812&amp;col=7&amp;number=0.038&amp;sourceID=14","0.038")</f>
        <v>0.038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HYPERLINK("http://141.218.60.56/~jnz1568/getInfo.php?workbook=12_04.xlsx&amp;sheet=U0&amp;row=4813&amp;col=6&amp;number=3.9&amp;sourceID=14","3.9")</f>
        <v>3.9</v>
      </c>
      <c r="G4813" s="4" t="str">
        <f>HYPERLINK("http://141.218.60.56/~jnz1568/getInfo.php?workbook=12_04.xlsx&amp;sheet=U0&amp;row=4813&amp;col=7&amp;number=0.0375&amp;sourceID=14","0.0375")</f>
        <v>0.0375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HYPERLINK("http://141.218.60.56/~jnz1568/getInfo.php?workbook=12_04.xlsx&amp;sheet=U0&amp;row=4814&amp;col=6&amp;number=4&amp;sourceID=14","4")</f>
        <v>4</v>
      </c>
      <c r="G4814" s="4" t="str">
        <f>HYPERLINK("http://141.218.60.56/~jnz1568/getInfo.php?workbook=12_04.xlsx&amp;sheet=U0&amp;row=4814&amp;col=7&amp;number=0.0369&amp;sourceID=14","0.0369")</f>
        <v>0.0369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HYPERLINK("http://141.218.60.56/~jnz1568/getInfo.php?workbook=12_04.xlsx&amp;sheet=U0&amp;row=4815&amp;col=6&amp;number=4.1&amp;sourceID=14","4.1")</f>
        <v>4.1</v>
      </c>
      <c r="G4815" s="4" t="str">
        <f>HYPERLINK("http://141.218.60.56/~jnz1568/getInfo.php?workbook=12_04.xlsx&amp;sheet=U0&amp;row=4815&amp;col=7&amp;number=0.0361&amp;sourceID=14","0.0361")</f>
        <v>0.0361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HYPERLINK("http://141.218.60.56/~jnz1568/getInfo.php?workbook=12_04.xlsx&amp;sheet=U0&amp;row=4816&amp;col=6&amp;number=4.2&amp;sourceID=14","4.2")</f>
        <v>4.2</v>
      </c>
      <c r="G4816" s="4" t="str">
        <f>HYPERLINK("http://141.218.60.56/~jnz1568/getInfo.php?workbook=12_04.xlsx&amp;sheet=U0&amp;row=4816&amp;col=7&amp;number=0.0351&amp;sourceID=14","0.0351")</f>
        <v>0.0351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HYPERLINK("http://141.218.60.56/~jnz1568/getInfo.php?workbook=12_04.xlsx&amp;sheet=U0&amp;row=4817&amp;col=6&amp;number=4.3&amp;sourceID=14","4.3")</f>
        <v>4.3</v>
      </c>
      <c r="G4817" s="4" t="str">
        <f>HYPERLINK("http://141.218.60.56/~jnz1568/getInfo.php?workbook=12_04.xlsx&amp;sheet=U0&amp;row=4817&amp;col=7&amp;number=0.0339&amp;sourceID=14","0.0339")</f>
        <v>0.0339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HYPERLINK("http://141.218.60.56/~jnz1568/getInfo.php?workbook=12_04.xlsx&amp;sheet=U0&amp;row=4818&amp;col=6&amp;number=4.4&amp;sourceID=14","4.4")</f>
        <v>4.4</v>
      </c>
      <c r="G4818" s="4" t="str">
        <f>HYPERLINK("http://141.218.60.56/~jnz1568/getInfo.php?workbook=12_04.xlsx&amp;sheet=U0&amp;row=4818&amp;col=7&amp;number=0.0324&amp;sourceID=14","0.0324")</f>
        <v>0.0324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HYPERLINK("http://141.218.60.56/~jnz1568/getInfo.php?workbook=12_04.xlsx&amp;sheet=U0&amp;row=4819&amp;col=6&amp;number=4.5&amp;sourceID=14","4.5")</f>
        <v>4.5</v>
      </c>
      <c r="G4819" s="4" t="str">
        <f>HYPERLINK("http://141.218.60.56/~jnz1568/getInfo.php?workbook=12_04.xlsx&amp;sheet=U0&amp;row=4819&amp;col=7&amp;number=0.0306&amp;sourceID=14","0.0306")</f>
        <v>0.0306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HYPERLINK("http://141.218.60.56/~jnz1568/getInfo.php?workbook=12_04.xlsx&amp;sheet=U0&amp;row=4820&amp;col=6&amp;number=4.6&amp;sourceID=14","4.6")</f>
        <v>4.6</v>
      </c>
      <c r="G4820" s="4" t="str">
        <f>HYPERLINK("http://141.218.60.56/~jnz1568/getInfo.php?workbook=12_04.xlsx&amp;sheet=U0&amp;row=4820&amp;col=7&amp;number=0.0285&amp;sourceID=14","0.0285")</f>
        <v>0.0285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HYPERLINK("http://141.218.60.56/~jnz1568/getInfo.php?workbook=12_04.xlsx&amp;sheet=U0&amp;row=4821&amp;col=6&amp;number=4.7&amp;sourceID=14","4.7")</f>
        <v>4.7</v>
      </c>
      <c r="G4821" s="4" t="str">
        <f>HYPERLINK("http://141.218.60.56/~jnz1568/getInfo.php?workbook=12_04.xlsx&amp;sheet=U0&amp;row=4821&amp;col=7&amp;number=0.0261&amp;sourceID=14","0.0261")</f>
        <v>0.0261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HYPERLINK("http://141.218.60.56/~jnz1568/getInfo.php?workbook=12_04.xlsx&amp;sheet=U0&amp;row=4822&amp;col=6&amp;number=4.8&amp;sourceID=14","4.8")</f>
        <v>4.8</v>
      </c>
      <c r="G4822" s="4" t="str">
        <f>HYPERLINK("http://141.218.60.56/~jnz1568/getInfo.php?workbook=12_04.xlsx&amp;sheet=U0&amp;row=4822&amp;col=7&amp;number=0.0235&amp;sourceID=14","0.0235")</f>
        <v>0.0235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HYPERLINK("http://141.218.60.56/~jnz1568/getInfo.php?workbook=12_04.xlsx&amp;sheet=U0&amp;row=4823&amp;col=6&amp;number=4.9&amp;sourceID=14","4.9")</f>
        <v>4.9</v>
      </c>
      <c r="G4823" s="4" t="str">
        <f>HYPERLINK("http://141.218.60.56/~jnz1568/getInfo.php?workbook=12_04.xlsx&amp;sheet=U0&amp;row=4823&amp;col=7&amp;number=0.0208&amp;sourceID=14","0.0208")</f>
        <v>0.0208</v>
      </c>
    </row>
    <row r="4824" spans="1:7">
      <c r="A4824" s="3">
        <v>12</v>
      </c>
      <c r="B4824" s="3">
        <v>4</v>
      </c>
      <c r="C4824" s="3">
        <v>3</v>
      </c>
      <c r="D4824" s="3">
        <v>52</v>
      </c>
      <c r="E4824" s="3">
        <v>1</v>
      </c>
      <c r="F4824" s="4" t="str">
        <f>HYPERLINK("http://141.218.60.56/~jnz1568/getInfo.php?workbook=12_04.xlsx&amp;sheet=U0&amp;row=4824&amp;col=6&amp;number=3&amp;sourceID=14","3")</f>
        <v>3</v>
      </c>
      <c r="G4824" s="4" t="str">
        <f>HYPERLINK("http://141.218.60.56/~jnz1568/getInfo.php?workbook=12_04.xlsx&amp;sheet=U0&amp;row=4824&amp;col=7&amp;number=0.0247&amp;sourceID=14","0.0247")</f>
        <v>0.0247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HYPERLINK("http://141.218.60.56/~jnz1568/getInfo.php?workbook=12_04.xlsx&amp;sheet=U0&amp;row=4825&amp;col=6&amp;number=3.1&amp;sourceID=14","3.1")</f>
        <v>3.1</v>
      </c>
      <c r="G4825" s="4" t="str">
        <f>HYPERLINK("http://141.218.60.56/~jnz1568/getInfo.php?workbook=12_04.xlsx&amp;sheet=U0&amp;row=4825&amp;col=7&amp;number=0.0247&amp;sourceID=14","0.0247")</f>
        <v>0.0247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HYPERLINK("http://141.218.60.56/~jnz1568/getInfo.php?workbook=12_04.xlsx&amp;sheet=U0&amp;row=4826&amp;col=6&amp;number=3.2&amp;sourceID=14","3.2")</f>
        <v>3.2</v>
      </c>
      <c r="G4826" s="4" t="str">
        <f>HYPERLINK("http://141.218.60.56/~jnz1568/getInfo.php?workbook=12_04.xlsx&amp;sheet=U0&amp;row=4826&amp;col=7&amp;number=0.0246&amp;sourceID=14","0.0246")</f>
        <v>0.0246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HYPERLINK("http://141.218.60.56/~jnz1568/getInfo.php?workbook=12_04.xlsx&amp;sheet=U0&amp;row=4827&amp;col=6&amp;number=3.3&amp;sourceID=14","3.3")</f>
        <v>3.3</v>
      </c>
      <c r="G4827" s="4" t="str">
        <f>HYPERLINK("http://141.218.60.56/~jnz1568/getInfo.php?workbook=12_04.xlsx&amp;sheet=U0&amp;row=4827&amp;col=7&amp;number=0.0246&amp;sourceID=14","0.0246")</f>
        <v>0.0246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HYPERLINK("http://141.218.60.56/~jnz1568/getInfo.php?workbook=12_04.xlsx&amp;sheet=U0&amp;row=4828&amp;col=6&amp;number=3.4&amp;sourceID=14","3.4")</f>
        <v>3.4</v>
      </c>
      <c r="G4828" s="4" t="str">
        <f>HYPERLINK("http://141.218.60.56/~jnz1568/getInfo.php?workbook=12_04.xlsx&amp;sheet=U0&amp;row=4828&amp;col=7&amp;number=0.0245&amp;sourceID=14","0.0245")</f>
        <v>0.0245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HYPERLINK("http://141.218.60.56/~jnz1568/getInfo.php?workbook=12_04.xlsx&amp;sheet=U0&amp;row=4829&amp;col=6&amp;number=3.5&amp;sourceID=14","3.5")</f>
        <v>3.5</v>
      </c>
      <c r="G4829" s="4" t="str">
        <f>HYPERLINK("http://141.218.60.56/~jnz1568/getInfo.php?workbook=12_04.xlsx&amp;sheet=U0&amp;row=4829&amp;col=7&amp;number=0.0244&amp;sourceID=14","0.0244")</f>
        <v>0.0244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HYPERLINK("http://141.218.60.56/~jnz1568/getInfo.php?workbook=12_04.xlsx&amp;sheet=U0&amp;row=4830&amp;col=6&amp;number=3.6&amp;sourceID=14","3.6")</f>
        <v>3.6</v>
      </c>
      <c r="G4830" s="4" t="str">
        <f>HYPERLINK("http://141.218.60.56/~jnz1568/getInfo.php?workbook=12_04.xlsx&amp;sheet=U0&amp;row=4830&amp;col=7&amp;number=0.0243&amp;sourceID=14","0.0243")</f>
        <v>0.0243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HYPERLINK("http://141.218.60.56/~jnz1568/getInfo.php?workbook=12_04.xlsx&amp;sheet=U0&amp;row=4831&amp;col=6&amp;number=3.7&amp;sourceID=14","3.7")</f>
        <v>3.7</v>
      </c>
      <c r="G4831" s="4" t="str">
        <f>HYPERLINK("http://141.218.60.56/~jnz1568/getInfo.php?workbook=12_04.xlsx&amp;sheet=U0&amp;row=4831&amp;col=7&amp;number=0.0242&amp;sourceID=14","0.0242")</f>
        <v>0.0242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HYPERLINK("http://141.218.60.56/~jnz1568/getInfo.php?workbook=12_04.xlsx&amp;sheet=U0&amp;row=4832&amp;col=6&amp;number=3.8&amp;sourceID=14","3.8")</f>
        <v>3.8</v>
      </c>
      <c r="G4832" s="4" t="str">
        <f>HYPERLINK("http://141.218.60.56/~jnz1568/getInfo.php?workbook=12_04.xlsx&amp;sheet=U0&amp;row=4832&amp;col=7&amp;number=0.024&amp;sourceID=14","0.024")</f>
        <v>0.024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HYPERLINK("http://141.218.60.56/~jnz1568/getInfo.php?workbook=12_04.xlsx&amp;sheet=U0&amp;row=4833&amp;col=6&amp;number=3.9&amp;sourceID=14","3.9")</f>
        <v>3.9</v>
      </c>
      <c r="G4833" s="4" t="str">
        <f>HYPERLINK("http://141.218.60.56/~jnz1568/getInfo.php?workbook=12_04.xlsx&amp;sheet=U0&amp;row=4833&amp;col=7&amp;number=0.0238&amp;sourceID=14","0.0238")</f>
        <v>0.0238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HYPERLINK("http://141.218.60.56/~jnz1568/getInfo.php?workbook=12_04.xlsx&amp;sheet=U0&amp;row=4834&amp;col=6&amp;number=4&amp;sourceID=14","4")</f>
        <v>4</v>
      </c>
      <c r="G4834" s="4" t="str">
        <f>HYPERLINK("http://141.218.60.56/~jnz1568/getInfo.php?workbook=12_04.xlsx&amp;sheet=U0&amp;row=4834&amp;col=7&amp;number=0.0235&amp;sourceID=14","0.0235")</f>
        <v>0.0235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HYPERLINK("http://141.218.60.56/~jnz1568/getInfo.php?workbook=12_04.xlsx&amp;sheet=U0&amp;row=4835&amp;col=6&amp;number=4.1&amp;sourceID=14","4.1")</f>
        <v>4.1</v>
      </c>
      <c r="G4835" s="4" t="str">
        <f>HYPERLINK("http://141.218.60.56/~jnz1568/getInfo.php?workbook=12_04.xlsx&amp;sheet=U0&amp;row=4835&amp;col=7&amp;number=0.0232&amp;sourceID=14","0.0232")</f>
        <v>0.0232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HYPERLINK("http://141.218.60.56/~jnz1568/getInfo.php?workbook=12_04.xlsx&amp;sheet=U0&amp;row=4836&amp;col=6&amp;number=4.2&amp;sourceID=14","4.2")</f>
        <v>4.2</v>
      </c>
      <c r="G4836" s="4" t="str">
        <f>HYPERLINK("http://141.218.60.56/~jnz1568/getInfo.php?workbook=12_04.xlsx&amp;sheet=U0&amp;row=4836&amp;col=7&amp;number=0.0228&amp;sourceID=14","0.0228")</f>
        <v>0.0228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HYPERLINK("http://141.218.60.56/~jnz1568/getInfo.php?workbook=12_04.xlsx&amp;sheet=U0&amp;row=4837&amp;col=6&amp;number=4.3&amp;sourceID=14","4.3")</f>
        <v>4.3</v>
      </c>
      <c r="G4837" s="4" t="str">
        <f>HYPERLINK("http://141.218.60.56/~jnz1568/getInfo.php?workbook=12_04.xlsx&amp;sheet=U0&amp;row=4837&amp;col=7&amp;number=0.0223&amp;sourceID=14","0.0223")</f>
        <v>0.0223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HYPERLINK("http://141.218.60.56/~jnz1568/getInfo.php?workbook=12_04.xlsx&amp;sheet=U0&amp;row=4838&amp;col=6&amp;number=4.4&amp;sourceID=14","4.4")</f>
        <v>4.4</v>
      </c>
      <c r="G4838" s="4" t="str">
        <f>HYPERLINK("http://141.218.60.56/~jnz1568/getInfo.php?workbook=12_04.xlsx&amp;sheet=U0&amp;row=4838&amp;col=7&amp;number=0.0217&amp;sourceID=14","0.0217")</f>
        <v>0.0217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HYPERLINK("http://141.218.60.56/~jnz1568/getInfo.php?workbook=12_04.xlsx&amp;sheet=U0&amp;row=4839&amp;col=6&amp;number=4.5&amp;sourceID=14","4.5")</f>
        <v>4.5</v>
      </c>
      <c r="G4839" s="4" t="str">
        <f>HYPERLINK("http://141.218.60.56/~jnz1568/getInfo.php?workbook=12_04.xlsx&amp;sheet=U0&amp;row=4839&amp;col=7&amp;number=0.0209&amp;sourceID=14","0.0209")</f>
        <v>0.0209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HYPERLINK("http://141.218.60.56/~jnz1568/getInfo.php?workbook=12_04.xlsx&amp;sheet=U0&amp;row=4840&amp;col=6&amp;number=4.6&amp;sourceID=14","4.6")</f>
        <v>4.6</v>
      </c>
      <c r="G4840" s="4" t="str">
        <f>HYPERLINK("http://141.218.60.56/~jnz1568/getInfo.php?workbook=12_04.xlsx&amp;sheet=U0&amp;row=4840&amp;col=7&amp;number=0.0199&amp;sourceID=14","0.0199")</f>
        <v>0.0199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HYPERLINK("http://141.218.60.56/~jnz1568/getInfo.php?workbook=12_04.xlsx&amp;sheet=U0&amp;row=4841&amp;col=6&amp;number=4.7&amp;sourceID=14","4.7")</f>
        <v>4.7</v>
      </c>
      <c r="G4841" s="4" t="str">
        <f>HYPERLINK("http://141.218.60.56/~jnz1568/getInfo.php?workbook=12_04.xlsx&amp;sheet=U0&amp;row=4841&amp;col=7&amp;number=0.0188&amp;sourceID=14","0.0188")</f>
        <v>0.0188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HYPERLINK("http://141.218.60.56/~jnz1568/getInfo.php?workbook=12_04.xlsx&amp;sheet=U0&amp;row=4842&amp;col=6&amp;number=4.8&amp;sourceID=14","4.8")</f>
        <v>4.8</v>
      </c>
      <c r="G4842" s="4" t="str">
        <f>HYPERLINK("http://141.218.60.56/~jnz1568/getInfo.php?workbook=12_04.xlsx&amp;sheet=U0&amp;row=4842&amp;col=7&amp;number=0.0174&amp;sourceID=14","0.0174")</f>
        <v>0.0174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HYPERLINK("http://141.218.60.56/~jnz1568/getInfo.php?workbook=12_04.xlsx&amp;sheet=U0&amp;row=4843&amp;col=6&amp;number=4.9&amp;sourceID=14","4.9")</f>
        <v>4.9</v>
      </c>
      <c r="G4843" s="4" t="str">
        <f>HYPERLINK("http://141.218.60.56/~jnz1568/getInfo.php?workbook=12_04.xlsx&amp;sheet=U0&amp;row=4843&amp;col=7&amp;number=0.0157&amp;sourceID=14","0.0157")</f>
        <v>0.0157</v>
      </c>
    </row>
    <row r="4844" spans="1:7">
      <c r="A4844" s="3">
        <v>12</v>
      </c>
      <c r="B4844" s="3">
        <v>4</v>
      </c>
      <c r="C4844" s="3">
        <v>3</v>
      </c>
      <c r="D4844" s="3">
        <v>53</v>
      </c>
      <c r="E4844" s="3">
        <v>1</v>
      </c>
      <c r="F4844" s="4" t="str">
        <f>HYPERLINK("http://141.218.60.56/~jnz1568/getInfo.php?workbook=12_04.xlsx&amp;sheet=U0&amp;row=4844&amp;col=6&amp;number=3&amp;sourceID=14","3")</f>
        <v>3</v>
      </c>
      <c r="G4844" s="4" t="str">
        <f>HYPERLINK("http://141.218.60.56/~jnz1568/getInfo.php?workbook=12_04.xlsx&amp;sheet=U0&amp;row=4844&amp;col=7&amp;number=0.0282&amp;sourceID=14","0.0282")</f>
        <v>0.0282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HYPERLINK("http://141.218.60.56/~jnz1568/getInfo.php?workbook=12_04.xlsx&amp;sheet=U0&amp;row=4845&amp;col=6&amp;number=3.1&amp;sourceID=14","3.1")</f>
        <v>3.1</v>
      </c>
      <c r="G4845" s="4" t="str">
        <f>HYPERLINK("http://141.218.60.56/~jnz1568/getInfo.php?workbook=12_04.xlsx&amp;sheet=U0&amp;row=4845&amp;col=7&amp;number=0.0282&amp;sourceID=14","0.0282")</f>
        <v>0.0282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HYPERLINK("http://141.218.60.56/~jnz1568/getInfo.php?workbook=12_04.xlsx&amp;sheet=U0&amp;row=4846&amp;col=6&amp;number=3.2&amp;sourceID=14","3.2")</f>
        <v>3.2</v>
      </c>
      <c r="G4846" s="4" t="str">
        <f>HYPERLINK("http://141.218.60.56/~jnz1568/getInfo.php?workbook=12_04.xlsx&amp;sheet=U0&amp;row=4846&amp;col=7&amp;number=0.0282&amp;sourceID=14","0.0282")</f>
        <v>0.0282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HYPERLINK("http://141.218.60.56/~jnz1568/getInfo.php?workbook=12_04.xlsx&amp;sheet=U0&amp;row=4847&amp;col=6&amp;number=3.3&amp;sourceID=14","3.3")</f>
        <v>3.3</v>
      </c>
      <c r="G4847" s="4" t="str">
        <f>HYPERLINK("http://141.218.60.56/~jnz1568/getInfo.php?workbook=12_04.xlsx&amp;sheet=U0&amp;row=4847&amp;col=7&amp;number=0.0282&amp;sourceID=14","0.0282")</f>
        <v>0.0282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HYPERLINK("http://141.218.60.56/~jnz1568/getInfo.php?workbook=12_04.xlsx&amp;sheet=U0&amp;row=4848&amp;col=6&amp;number=3.4&amp;sourceID=14","3.4")</f>
        <v>3.4</v>
      </c>
      <c r="G4848" s="4" t="str">
        <f>HYPERLINK("http://141.218.60.56/~jnz1568/getInfo.php?workbook=12_04.xlsx&amp;sheet=U0&amp;row=4848&amp;col=7&amp;number=0.0282&amp;sourceID=14","0.0282")</f>
        <v>0.0282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HYPERLINK("http://141.218.60.56/~jnz1568/getInfo.php?workbook=12_04.xlsx&amp;sheet=U0&amp;row=4849&amp;col=6&amp;number=3.5&amp;sourceID=14","3.5")</f>
        <v>3.5</v>
      </c>
      <c r="G4849" s="4" t="str">
        <f>HYPERLINK("http://141.218.60.56/~jnz1568/getInfo.php?workbook=12_04.xlsx&amp;sheet=U0&amp;row=4849&amp;col=7&amp;number=0.0282&amp;sourceID=14","0.0282")</f>
        <v>0.0282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HYPERLINK("http://141.218.60.56/~jnz1568/getInfo.php?workbook=12_04.xlsx&amp;sheet=U0&amp;row=4850&amp;col=6&amp;number=3.6&amp;sourceID=14","3.6")</f>
        <v>3.6</v>
      </c>
      <c r="G4850" s="4" t="str">
        <f>HYPERLINK("http://141.218.60.56/~jnz1568/getInfo.php?workbook=12_04.xlsx&amp;sheet=U0&amp;row=4850&amp;col=7&amp;number=0.0281&amp;sourceID=14","0.0281")</f>
        <v>0.0281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HYPERLINK("http://141.218.60.56/~jnz1568/getInfo.php?workbook=12_04.xlsx&amp;sheet=U0&amp;row=4851&amp;col=6&amp;number=3.7&amp;sourceID=14","3.7")</f>
        <v>3.7</v>
      </c>
      <c r="G4851" s="4" t="str">
        <f>HYPERLINK("http://141.218.60.56/~jnz1568/getInfo.php?workbook=12_04.xlsx&amp;sheet=U0&amp;row=4851&amp;col=7&amp;number=0.0281&amp;sourceID=14","0.0281")</f>
        <v>0.0281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HYPERLINK("http://141.218.60.56/~jnz1568/getInfo.php?workbook=12_04.xlsx&amp;sheet=U0&amp;row=4852&amp;col=6&amp;number=3.8&amp;sourceID=14","3.8")</f>
        <v>3.8</v>
      </c>
      <c r="G4852" s="4" t="str">
        <f>HYPERLINK("http://141.218.60.56/~jnz1568/getInfo.php?workbook=12_04.xlsx&amp;sheet=U0&amp;row=4852&amp;col=7&amp;number=0.0281&amp;sourceID=14","0.0281")</f>
        <v>0.0281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HYPERLINK("http://141.218.60.56/~jnz1568/getInfo.php?workbook=12_04.xlsx&amp;sheet=U0&amp;row=4853&amp;col=6&amp;number=3.9&amp;sourceID=14","3.9")</f>
        <v>3.9</v>
      </c>
      <c r="G4853" s="4" t="str">
        <f>HYPERLINK("http://141.218.60.56/~jnz1568/getInfo.php?workbook=12_04.xlsx&amp;sheet=U0&amp;row=4853&amp;col=7&amp;number=0.028&amp;sourceID=14","0.028")</f>
        <v>0.028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HYPERLINK("http://141.218.60.56/~jnz1568/getInfo.php?workbook=12_04.xlsx&amp;sheet=U0&amp;row=4854&amp;col=6&amp;number=4&amp;sourceID=14","4")</f>
        <v>4</v>
      </c>
      <c r="G4854" s="4" t="str">
        <f>HYPERLINK("http://141.218.60.56/~jnz1568/getInfo.php?workbook=12_04.xlsx&amp;sheet=U0&amp;row=4854&amp;col=7&amp;number=0.028&amp;sourceID=14","0.028")</f>
        <v>0.028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HYPERLINK("http://141.218.60.56/~jnz1568/getInfo.php?workbook=12_04.xlsx&amp;sheet=U0&amp;row=4855&amp;col=6&amp;number=4.1&amp;sourceID=14","4.1")</f>
        <v>4.1</v>
      </c>
      <c r="G4855" s="4" t="str">
        <f>HYPERLINK("http://141.218.60.56/~jnz1568/getInfo.php?workbook=12_04.xlsx&amp;sheet=U0&amp;row=4855&amp;col=7&amp;number=0.0279&amp;sourceID=14","0.0279")</f>
        <v>0.0279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HYPERLINK("http://141.218.60.56/~jnz1568/getInfo.php?workbook=12_04.xlsx&amp;sheet=U0&amp;row=4856&amp;col=6&amp;number=4.2&amp;sourceID=14","4.2")</f>
        <v>4.2</v>
      </c>
      <c r="G4856" s="4" t="str">
        <f>HYPERLINK("http://141.218.60.56/~jnz1568/getInfo.php?workbook=12_04.xlsx&amp;sheet=U0&amp;row=4856&amp;col=7&amp;number=0.0279&amp;sourceID=14","0.0279")</f>
        <v>0.0279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HYPERLINK("http://141.218.60.56/~jnz1568/getInfo.php?workbook=12_04.xlsx&amp;sheet=U0&amp;row=4857&amp;col=6&amp;number=4.3&amp;sourceID=14","4.3")</f>
        <v>4.3</v>
      </c>
      <c r="G4857" s="4" t="str">
        <f>HYPERLINK("http://141.218.60.56/~jnz1568/getInfo.php?workbook=12_04.xlsx&amp;sheet=U0&amp;row=4857&amp;col=7&amp;number=0.0278&amp;sourceID=14","0.0278")</f>
        <v>0.0278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HYPERLINK("http://141.218.60.56/~jnz1568/getInfo.php?workbook=12_04.xlsx&amp;sheet=U0&amp;row=4858&amp;col=6&amp;number=4.4&amp;sourceID=14","4.4")</f>
        <v>4.4</v>
      </c>
      <c r="G4858" s="4" t="str">
        <f>HYPERLINK("http://141.218.60.56/~jnz1568/getInfo.php?workbook=12_04.xlsx&amp;sheet=U0&amp;row=4858&amp;col=7&amp;number=0.0276&amp;sourceID=14","0.0276")</f>
        <v>0.0276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HYPERLINK("http://141.218.60.56/~jnz1568/getInfo.php?workbook=12_04.xlsx&amp;sheet=U0&amp;row=4859&amp;col=6&amp;number=4.5&amp;sourceID=14","4.5")</f>
        <v>4.5</v>
      </c>
      <c r="G4859" s="4" t="str">
        <f>HYPERLINK("http://141.218.60.56/~jnz1568/getInfo.php?workbook=12_04.xlsx&amp;sheet=U0&amp;row=4859&amp;col=7&amp;number=0.0275&amp;sourceID=14","0.0275")</f>
        <v>0.0275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HYPERLINK("http://141.218.60.56/~jnz1568/getInfo.php?workbook=12_04.xlsx&amp;sheet=U0&amp;row=4860&amp;col=6&amp;number=4.6&amp;sourceID=14","4.6")</f>
        <v>4.6</v>
      </c>
      <c r="G4860" s="4" t="str">
        <f>HYPERLINK("http://141.218.60.56/~jnz1568/getInfo.php?workbook=12_04.xlsx&amp;sheet=U0&amp;row=4860&amp;col=7&amp;number=0.0273&amp;sourceID=14","0.0273")</f>
        <v>0.0273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HYPERLINK("http://141.218.60.56/~jnz1568/getInfo.php?workbook=12_04.xlsx&amp;sheet=U0&amp;row=4861&amp;col=6&amp;number=4.7&amp;sourceID=14","4.7")</f>
        <v>4.7</v>
      </c>
      <c r="G4861" s="4" t="str">
        <f>HYPERLINK("http://141.218.60.56/~jnz1568/getInfo.php?workbook=12_04.xlsx&amp;sheet=U0&amp;row=4861&amp;col=7&amp;number=0.0271&amp;sourceID=14","0.0271")</f>
        <v>0.0271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HYPERLINK("http://141.218.60.56/~jnz1568/getInfo.php?workbook=12_04.xlsx&amp;sheet=U0&amp;row=4862&amp;col=6&amp;number=4.8&amp;sourceID=14","4.8")</f>
        <v>4.8</v>
      </c>
      <c r="G4862" s="4" t="str">
        <f>HYPERLINK("http://141.218.60.56/~jnz1568/getInfo.php?workbook=12_04.xlsx&amp;sheet=U0&amp;row=4862&amp;col=7&amp;number=0.0268&amp;sourceID=14","0.0268")</f>
        <v>0.0268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HYPERLINK("http://141.218.60.56/~jnz1568/getInfo.php?workbook=12_04.xlsx&amp;sheet=U0&amp;row=4863&amp;col=6&amp;number=4.9&amp;sourceID=14","4.9")</f>
        <v>4.9</v>
      </c>
      <c r="G4863" s="4" t="str">
        <f>HYPERLINK("http://141.218.60.56/~jnz1568/getInfo.php?workbook=12_04.xlsx&amp;sheet=U0&amp;row=4863&amp;col=7&amp;number=0.0265&amp;sourceID=14","0.0265")</f>
        <v>0.0265</v>
      </c>
    </row>
    <row r="4864" spans="1:7">
      <c r="A4864" s="3">
        <v>12</v>
      </c>
      <c r="B4864" s="3">
        <v>4</v>
      </c>
      <c r="C4864" s="3">
        <v>3</v>
      </c>
      <c r="D4864" s="3">
        <v>54</v>
      </c>
      <c r="E4864" s="3">
        <v>1</v>
      </c>
      <c r="F4864" s="4" t="str">
        <f>HYPERLINK("http://141.218.60.56/~jnz1568/getInfo.php?workbook=12_04.xlsx&amp;sheet=U0&amp;row=4864&amp;col=6&amp;number=3&amp;sourceID=14","3")</f>
        <v>3</v>
      </c>
      <c r="G4864" s="4" t="str">
        <f>HYPERLINK("http://141.218.60.56/~jnz1568/getInfo.php?workbook=12_04.xlsx&amp;sheet=U0&amp;row=4864&amp;col=7&amp;number=0.0615&amp;sourceID=14","0.0615")</f>
        <v>0.0615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HYPERLINK("http://141.218.60.56/~jnz1568/getInfo.php?workbook=12_04.xlsx&amp;sheet=U0&amp;row=4865&amp;col=6&amp;number=3.1&amp;sourceID=14","3.1")</f>
        <v>3.1</v>
      </c>
      <c r="G4865" s="4" t="str">
        <f>HYPERLINK("http://141.218.60.56/~jnz1568/getInfo.php?workbook=12_04.xlsx&amp;sheet=U0&amp;row=4865&amp;col=7&amp;number=0.0615&amp;sourceID=14","0.0615")</f>
        <v>0.0615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HYPERLINK("http://141.218.60.56/~jnz1568/getInfo.php?workbook=12_04.xlsx&amp;sheet=U0&amp;row=4866&amp;col=6&amp;number=3.2&amp;sourceID=14","3.2")</f>
        <v>3.2</v>
      </c>
      <c r="G4866" s="4" t="str">
        <f>HYPERLINK("http://141.218.60.56/~jnz1568/getInfo.php?workbook=12_04.xlsx&amp;sheet=U0&amp;row=4866&amp;col=7&amp;number=0.0614&amp;sourceID=14","0.0614")</f>
        <v>0.0614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HYPERLINK("http://141.218.60.56/~jnz1568/getInfo.php?workbook=12_04.xlsx&amp;sheet=U0&amp;row=4867&amp;col=6&amp;number=3.3&amp;sourceID=14","3.3")</f>
        <v>3.3</v>
      </c>
      <c r="G4867" s="4" t="str">
        <f>HYPERLINK("http://141.218.60.56/~jnz1568/getInfo.php?workbook=12_04.xlsx&amp;sheet=U0&amp;row=4867&amp;col=7&amp;number=0.0614&amp;sourceID=14","0.0614")</f>
        <v>0.0614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HYPERLINK("http://141.218.60.56/~jnz1568/getInfo.php?workbook=12_04.xlsx&amp;sheet=U0&amp;row=4868&amp;col=6&amp;number=3.4&amp;sourceID=14","3.4")</f>
        <v>3.4</v>
      </c>
      <c r="G4868" s="4" t="str">
        <f>HYPERLINK("http://141.218.60.56/~jnz1568/getInfo.php?workbook=12_04.xlsx&amp;sheet=U0&amp;row=4868&amp;col=7&amp;number=0.0614&amp;sourceID=14","0.0614")</f>
        <v>0.0614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HYPERLINK("http://141.218.60.56/~jnz1568/getInfo.php?workbook=12_04.xlsx&amp;sheet=U0&amp;row=4869&amp;col=6&amp;number=3.5&amp;sourceID=14","3.5")</f>
        <v>3.5</v>
      </c>
      <c r="G4869" s="4" t="str">
        <f>HYPERLINK("http://141.218.60.56/~jnz1568/getInfo.php?workbook=12_04.xlsx&amp;sheet=U0&amp;row=4869&amp;col=7&amp;number=0.0614&amp;sourceID=14","0.0614")</f>
        <v>0.0614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HYPERLINK("http://141.218.60.56/~jnz1568/getInfo.php?workbook=12_04.xlsx&amp;sheet=U0&amp;row=4870&amp;col=6&amp;number=3.6&amp;sourceID=14","3.6")</f>
        <v>3.6</v>
      </c>
      <c r="G4870" s="4" t="str">
        <f>HYPERLINK("http://141.218.60.56/~jnz1568/getInfo.php?workbook=12_04.xlsx&amp;sheet=U0&amp;row=4870&amp;col=7&amp;number=0.0614&amp;sourceID=14","0.0614")</f>
        <v>0.0614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HYPERLINK("http://141.218.60.56/~jnz1568/getInfo.php?workbook=12_04.xlsx&amp;sheet=U0&amp;row=4871&amp;col=6&amp;number=3.7&amp;sourceID=14","3.7")</f>
        <v>3.7</v>
      </c>
      <c r="G4871" s="4" t="str">
        <f>HYPERLINK("http://141.218.60.56/~jnz1568/getInfo.php?workbook=12_04.xlsx&amp;sheet=U0&amp;row=4871&amp;col=7&amp;number=0.0614&amp;sourceID=14","0.0614")</f>
        <v>0.0614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HYPERLINK("http://141.218.60.56/~jnz1568/getInfo.php?workbook=12_04.xlsx&amp;sheet=U0&amp;row=4872&amp;col=6&amp;number=3.8&amp;sourceID=14","3.8")</f>
        <v>3.8</v>
      </c>
      <c r="G4872" s="4" t="str">
        <f>HYPERLINK("http://141.218.60.56/~jnz1568/getInfo.php?workbook=12_04.xlsx&amp;sheet=U0&amp;row=4872&amp;col=7&amp;number=0.0613&amp;sourceID=14","0.0613")</f>
        <v>0.0613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HYPERLINK("http://141.218.60.56/~jnz1568/getInfo.php?workbook=12_04.xlsx&amp;sheet=U0&amp;row=4873&amp;col=6&amp;number=3.9&amp;sourceID=14","3.9")</f>
        <v>3.9</v>
      </c>
      <c r="G4873" s="4" t="str">
        <f>HYPERLINK("http://141.218.60.56/~jnz1568/getInfo.php?workbook=12_04.xlsx&amp;sheet=U0&amp;row=4873&amp;col=7&amp;number=0.0613&amp;sourceID=14","0.0613")</f>
        <v>0.0613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HYPERLINK("http://141.218.60.56/~jnz1568/getInfo.php?workbook=12_04.xlsx&amp;sheet=U0&amp;row=4874&amp;col=6&amp;number=4&amp;sourceID=14","4")</f>
        <v>4</v>
      </c>
      <c r="G4874" s="4" t="str">
        <f>HYPERLINK("http://141.218.60.56/~jnz1568/getInfo.php?workbook=12_04.xlsx&amp;sheet=U0&amp;row=4874&amp;col=7&amp;number=0.0613&amp;sourceID=14","0.0613")</f>
        <v>0.0613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HYPERLINK("http://141.218.60.56/~jnz1568/getInfo.php?workbook=12_04.xlsx&amp;sheet=U0&amp;row=4875&amp;col=6&amp;number=4.1&amp;sourceID=14","4.1")</f>
        <v>4.1</v>
      </c>
      <c r="G4875" s="4" t="str">
        <f>HYPERLINK("http://141.218.60.56/~jnz1568/getInfo.php?workbook=12_04.xlsx&amp;sheet=U0&amp;row=4875&amp;col=7&amp;number=0.0612&amp;sourceID=14","0.0612")</f>
        <v>0.0612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HYPERLINK("http://141.218.60.56/~jnz1568/getInfo.php?workbook=12_04.xlsx&amp;sheet=U0&amp;row=4876&amp;col=6&amp;number=4.2&amp;sourceID=14","4.2")</f>
        <v>4.2</v>
      </c>
      <c r="G4876" s="4" t="str">
        <f>HYPERLINK("http://141.218.60.56/~jnz1568/getInfo.php?workbook=12_04.xlsx&amp;sheet=U0&amp;row=4876&amp;col=7&amp;number=0.0611&amp;sourceID=14","0.0611")</f>
        <v>0.0611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HYPERLINK("http://141.218.60.56/~jnz1568/getInfo.php?workbook=12_04.xlsx&amp;sheet=U0&amp;row=4877&amp;col=6&amp;number=4.3&amp;sourceID=14","4.3")</f>
        <v>4.3</v>
      </c>
      <c r="G4877" s="4" t="str">
        <f>HYPERLINK("http://141.218.60.56/~jnz1568/getInfo.php?workbook=12_04.xlsx&amp;sheet=U0&amp;row=4877&amp;col=7&amp;number=0.061&amp;sourceID=14","0.061")</f>
        <v>0.061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HYPERLINK("http://141.218.60.56/~jnz1568/getInfo.php?workbook=12_04.xlsx&amp;sheet=U0&amp;row=4878&amp;col=6&amp;number=4.4&amp;sourceID=14","4.4")</f>
        <v>4.4</v>
      </c>
      <c r="G4878" s="4" t="str">
        <f>HYPERLINK("http://141.218.60.56/~jnz1568/getInfo.php?workbook=12_04.xlsx&amp;sheet=U0&amp;row=4878&amp;col=7&amp;number=0.0609&amp;sourceID=14","0.0609")</f>
        <v>0.0609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HYPERLINK("http://141.218.60.56/~jnz1568/getInfo.php?workbook=12_04.xlsx&amp;sheet=U0&amp;row=4879&amp;col=6&amp;number=4.5&amp;sourceID=14","4.5")</f>
        <v>4.5</v>
      </c>
      <c r="G4879" s="4" t="str">
        <f>HYPERLINK("http://141.218.60.56/~jnz1568/getInfo.php?workbook=12_04.xlsx&amp;sheet=U0&amp;row=4879&amp;col=7&amp;number=0.0608&amp;sourceID=14","0.0608")</f>
        <v>0.0608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HYPERLINK("http://141.218.60.56/~jnz1568/getInfo.php?workbook=12_04.xlsx&amp;sheet=U0&amp;row=4880&amp;col=6&amp;number=4.6&amp;sourceID=14","4.6")</f>
        <v>4.6</v>
      </c>
      <c r="G4880" s="4" t="str">
        <f>HYPERLINK("http://141.218.60.56/~jnz1568/getInfo.php?workbook=12_04.xlsx&amp;sheet=U0&amp;row=4880&amp;col=7&amp;number=0.0606&amp;sourceID=14","0.0606")</f>
        <v>0.0606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HYPERLINK("http://141.218.60.56/~jnz1568/getInfo.php?workbook=12_04.xlsx&amp;sheet=U0&amp;row=4881&amp;col=6&amp;number=4.7&amp;sourceID=14","4.7")</f>
        <v>4.7</v>
      </c>
      <c r="G4881" s="4" t="str">
        <f>HYPERLINK("http://141.218.60.56/~jnz1568/getInfo.php?workbook=12_04.xlsx&amp;sheet=U0&amp;row=4881&amp;col=7&amp;number=0.0604&amp;sourceID=14","0.0604")</f>
        <v>0.0604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HYPERLINK("http://141.218.60.56/~jnz1568/getInfo.php?workbook=12_04.xlsx&amp;sheet=U0&amp;row=4882&amp;col=6&amp;number=4.8&amp;sourceID=14","4.8")</f>
        <v>4.8</v>
      </c>
      <c r="G4882" s="4" t="str">
        <f>HYPERLINK("http://141.218.60.56/~jnz1568/getInfo.php?workbook=12_04.xlsx&amp;sheet=U0&amp;row=4882&amp;col=7&amp;number=0.0601&amp;sourceID=14","0.0601")</f>
        <v>0.0601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HYPERLINK("http://141.218.60.56/~jnz1568/getInfo.php?workbook=12_04.xlsx&amp;sheet=U0&amp;row=4883&amp;col=6&amp;number=4.9&amp;sourceID=14","4.9")</f>
        <v>4.9</v>
      </c>
      <c r="G4883" s="4" t="str">
        <f>HYPERLINK("http://141.218.60.56/~jnz1568/getInfo.php?workbook=12_04.xlsx&amp;sheet=U0&amp;row=4883&amp;col=7&amp;number=0.0598&amp;sourceID=14","0.0598")</f>
        <v>0.0598</v>
      </c>
    </row>
    <row r="4884" spans="1:7">
      <c r="A4884" s="3">
        <v>12</v>
      </c>
      <c r="B4884" s="3">
        <v>4</v>
      </c>
      <c r="C4884" s="3">
        <v>3</v>
      </c>
      <c r="D4884" s="3">
        <v>55</v>
      </c>
      <c r="E4884" s="3">
        <v>1</v>
      </c>
      <c r="F4884" s="4" t="str">
        <f>HYPERLINK("http://141.218.60.56/~jnz1568/getInfo.php?workbook=12_04.xlsx&amp;sheet=U0&amp;row=4884&amp;col=6&amp;number=3&amp;sourceID=14","3")</f>
        <v>3</v>
      </c>
      <c r="G4884" s="4" t="str">
        <f>HYPERLINK("http://141.218.60.56/~jnz1568/getInfo.php?workbook=12_04.xlsx&amp;sheet=U0&amp;row=4884&amp;col=7&amp;number=0.0215&amp;sourceID=14","0.0215")</f>
        <v>0.0215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HYPERLINK("http://141.218.60.56/~jnz1568/getInfo.php?workbook=12_04.xlsx&amp;sheet=U0&amp;row=4885&amp;col=6&amp;number=3.1&amp;sourceID=14","3.1")</f>
        <v>3.1</v>
      </c>
      <c r="G4885" s="4" t="str">
        <f>HYPERLINK("http://141.218.60.56/~jnz1568/getInfo.php?workbook=12_04.xlsx&amp;sheet=U0&amp;row=4885&amp;col=7&amp;number=0.0214&amp;sourceID=14","0.0214")</f>
        <v>0.0214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HYPERLINK("http://141.218.60.56/~jnz1568/getInfo.php?workbook=12_04.xlsx&amp;sheet=U0&amp;row=4886&amp;col=6&amp;number=3.2&amp;sourceID=14","3.2")</f>
        <v>3.2</v>
      </c>
      <c r="G4886" s="4" t="str">
        <f>HYPERLINK("http://141.218.60.56/~jnz1568/getInfo.php?workbook=12_04.xlsx&amp;sheet=U0&amp;row=4886&amp;col=7&amp;number=0.0214&amp;sourceID=14","0.0214")</f>
        <v>0.0214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HYPERLINK("http://141.218.60.56/~jnz1568/getInfo.php?workbook=12_04.xlsx&amp;sheet=U0&amp;row=4887&amp;col=6&amp;number=3.3&amp;sourceID=14","3.3")</f>
        <v>3.3</v>
      </c>
      <c r="G4887" s="4" t="str">
        <f>HYPERLINK("http://141.218.60.56/~jnz1568/getInfo.php?workbook=12_04.xlsx&amp;sheet=U0&amp;row=4887&amp;col=7&amp;number=0.0214&amp;sourceID=14","0.0214")</f>
        <v>0.0214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HYPERLINK("http://141.218.60.56/~jnz1568/getInfo.php?workbook=12_04.xlsx&amp;sheet=U0&amp;row=4888&amp;col=6&amp;number=3.4&amp;sourceID=14","3.4")</f>
        <v>3.4</v>
      </c>
      <c r="G4888" s="4" t="str">
        <f>HYPERLINK("http://141.218.60.56/~jnz1568/getInfo.php?workbook=12_04.xlsx&amp;sheet=U0&amp;row=4888&amp;col=7&amp;number=0.0214&amp;sourceID=14","0.0214")</f>
        <v>0.0214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HYPERLINK("http://141.218.60.56/~jnz1568/getInfo.php?workbook=12_04.xlsx&amp;sheet=U0&amp;row=4889&amp;col=6&amp;number=3.5&amp;sourceID=14","3.5")</f>
        <v>3.5</v>
      </c>
      <c r="G4889" s="4" t="str">
        <f>HYPERLINK("http://141.218.60.56/~jnz1568/getInfo.php?workbook=12_04.xlsx&amp;sheet=U0&amp;row=4889&amp;col=7&amp;number=0.0213&amp;sourceID=14","0.0213")</f>
        <v>0.0213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HYPERLINK("http://141.218.60.56/~jnz1568/getInfo.php?workbook=12_04.xlsx&amp;sheet=U0&amp;row=4890&amp;col=6&amp;number=3.6&amp;sourceID=14","3.6")</f>
        <v>3.6</v>
      </c>
      <c r="G4890" s="4" t="str">
        <f>HYPERLINK("http://141.218.60.56/~jnz1568/getInfo.php?workbook=12_04.xlsx&amp;sheet=U0&amp;row=4890&amp;col=7&amp;number=0.0213&amp;sourceID=14","0.0213")</f>
        <v>0.0213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HYPERLINK("http://141.218.60.56/~jnz1568/getInfo.php?workbook=12_04.xlsx&amp;sheet=U0&amp;row=4891&amp;col=6&amp;number=3.7&amp;sourceID=14","3.7")</f>
        <v>3.7</v>
      </c>
      <c r="G4891" s="4" t="str">
        <f>HYPERLINK("http://141.218.60.56/~jnz1568/getInfo.php?workbook=12_04.xlsx&amp;sheet=U0&amp;row=4891&amp;col=7&amp;number=0.0212&amp;sourceID=14","0.0212")</f>
        <v>0.0212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HYPERLINK("http://141.218.60.56/~jnz1568/getInfo.php?workbook=12_04.xlsx&amp;sheet=U0&amp;row=4892&amp;col=6&amp;number=3.8&amp;sourceID=14","3.8")</f>
        <v>3.8</v>
      </c>
      <c r="G4892" s="4" t="str">
        <f>HYPERLINK("http://141.218.60.56/~jnz1568/getInfo.php?workbook=12_04.xlsx&amp;sheet=U0&amp;row=4892&amp;col=7&amp;number=0.0212&amp;sourceID=14","0.0212")</f>
        <v>0.0212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HYPERLINK("http://141.218.60.56/~jnz1568/getInfo.php?workbook=12_04.xlsx&amp;sheet=U0&amp;row=4893&amp;col=6&amp;number=3.9&amp;sourceID=14","3.9")</f>
        <v>3.9</v>
      </c>
      <c r="G4893" s="4" t="str">
        <f>HYPERLINK("http://141.218.60.56/~jnz1568/getInfo.php?workbook=12_04.xlsx&amp;sheet=U0&amp;row=4893&amp;col=7&amp;number=0.0211&amp;sourceID=14","0.0211")</f>
        <v>0.0211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HYPERLINK("http://141.218.60.56/~jnz1568/getInfo.php?workbook=12_04.xlsx&amp;sheet=U0&amp;row=4894&amp;col=6&amp;number=4&amp;sourceID=14","4")</f>
        <v>4</v>
      </c>
      <c r="G4894" s="4" t="str">
        <f>HYPERLINK("http://141.218.60.56/~jnz1568/getInfo.php?workbook=12_04.xlsx&amp;sheet=U0&amp;row=4894&amp;col=7&amp;number=0.021&amp;sourceID=14","0.021")</f>
        <v>0.021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HYPERLINK("http://141.218.60.56/~jnz1568/getInfo.php?workbook=12_04.xlsx&amp;sheet=U0&amp;row=4895&amp;col=6&amp;number=4.1&amp;sourceID=14","4.1")</f>
        <v>4.1</v>
      </c>
      <c r="G4895" s="4" t="str">
        <f>HYPERLINK("http://141.218.60.56/~jnz1568/getInfo.php?workbook=12_04.xlsx&amp;sheet=U0&amp;row=4895&amp;col=7&amp;number=0.0208&amp;sourceID=14","0.0208")</f>
        <v>0.0208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HYPERLINK("http://141.218.60.56/~jnz1568/getInfo.php?workbook=12_04.xlsx&amp;sheet=U0&amp;row=4896&amp;col=6&amp;number=4.2&amp;sourceID=14","4.2")</f>
        <v>4.2</v>
      </c>
      <c r="G4896" s="4" t="str">
        <f>HYPERLINK("http://141.218.60.56/~jnz1568/getInfo.php?workbook=12_04.xlsx&amp;sheet=U0&amp;row=4896&amp;col=7&amp;number=0.0207&amp;sourceID=14","0.0207")</f>
        <v>0.0207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HYPERLINK("http://141.218.60.56/~jnz1568/getInfo.php?workbook=12_04.xlsx&amp;sheet=U0&amp;row=4897&amp;col=6&amp;number=4.3&amp;sourceID=14","4.3")</f>
        <v>4.3</v>
      </c>
      <c r="G4897" s="4" t="str">
        <f>HYPERLINK("http://141.218.60.56/~jnz1568/getInfo.php?workbook=12_04.xlsx&amp;sheet=U0&amp;row=4897&amp;col=7&amp;number=0.0205&amp;sourceID=14","0.0205")</f>
        <v>0.0205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HYPERLINK("http://141.218.60.56/~jnz1568/getInfo.php?workbook=12_04.xlsx&amp;sheet=U0&amp;row=4898&amp;col=6&amp;number=4.4&amp;sourceID=14","4.4")</f>
        <v>4.4</v>
      </c>
      <c r="G4898" s="4" t="str">
        <f>HYPERLINK("http://141.218.60.56/~jnz1568/getInfo.php?workbook=12_04.xlsx&amp;sheet=U0&amp;row=4898&amp;col=7&amp;number=0.0202&amp;sourceID=14","0.0202")</f>
        <v>0.0202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HYPERLINK("http://141.218.60.56/~jnz1568/getInfo.php?workbook=12_04.xlsx&amp;sheet=U0&amp;row=4899&amp;col=6&amp;number=4.5&amp;sourceID=14","4.5")</f>
        <v>4.5</v>
      </c>
      <c r="G4899" s="4" t="str">
        <f>HYPERLINK("http://141.218.60.56/~jnz1568/getInfo.php?workbook=12_04.xlsx&amp;sheet=U0&amp;row=4899&amp;col=7&amp;number=0.0199&amp;sourceID=14","0.0199")</f>
        <v>0.0199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HYPERLINK("http://141.218.60.56/~jnz1568/getInfo.php?workbook=12_04.xlsx&amp;sheet=U0&amp;row=4900&amp;col=6&amp;number=4.6&amp;sourceID=14","4.6")</f>
        <v>4.6</v>
      </c>
      <c r="G4900" s="4" t="str">
        <f>HYPERLINK("http://141.218.60.56/~jnz1568/getInfo.php?workbook=12_04.xlsx&amp;sheet=U0&amp;row=4900&amp;col=7&amp;number=0.0195&amp;sourceID=14","0.0195")</f>
        <v>0.0195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HYPERLINK("http://141.218.60.56/~jnz1568/getInfo.php?workbook=12_04.xlsx&amp;sheet=U0&amp;row=4901&amp;col=6&amp;number=4.7&amp;sourceID=14","4.7")</f>
        <v>4.7</v>
      </c>
      <c r="G4901" s="4" t="str">
        <f>HYPERLINK("http://141.218.60.56/~jnz1568/getInfo.php?workbook=12_04.xlsx&amp;sheet=U0&amp;row=4901&amp;col=7&amp;number=0.0191&amp;sourceID=14","0.0191")</f>
        <v>0.0191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HYPERLINK("http://141.218.60.56/~jnz1568/getInfo.php?workbook=12_04.xlsx&amp;sheet=U0&amp;row=4902&amp;col=6&amp;number=4.8&amp;sourceID=14","4.8")</f>
        <v>4.8</v>
      </c>
      <c r="G4902" s="4" t="str">
        <f>HYPERLINK("http://141.218.60.56/~jnz1568/getInfo.php?workbook=12_04.xlsx&amp;sheet=U0&amp;row=4902&amp;col=7&amp;number=0.0186&amp;sourceID=14","0.0186")</f>
        <v>0.0186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HYPERLINK("http://141.218.60.56/~jnz1568/getInfo.php?workbook=12_04.xlsx&amp;sheet=U0&amp;row=4903&amp;col=6&amp;number=4.9&amp;sourceID=14","4.9")</f>
        <v>4.9</v>
      </c>
      <c r="G4903" s="4" t="str">
        <f>HYPERLINK("http://141.218.60.56/~jnz1568/getInfo.php?workbook=12_04.xlsx&amp;sheet=U0&amp;row=4903&amp;col=7&amp;number=0.0181&amp;sourceID=14","0.0181")</f>
        <v>0.0181</v>
      </c>
    </row>
    <row r="4904" spans="1:7">
      <c r="A4904" s="3">
        <v>12</v>
      </c>
      <c r="B4904" s="3">
        <v>4</v>
      </c>
      <c r="C4904" s="3">
        <v>3</v>
      </c>
      <c r="D4904" s="3">
        <v>56</v>
      </c>
      <c r="E4904" s="3">
        <v>1</v>
      </c>
      <c r="F4904" s="4" t="str">
        <f>HYPERLINK("http://141.218.60.56/~jnz1568/getInfo.php?workbook=12_04.xlsx&amp;sheet=U0&amp;row=4904&amp;col=6&amp;number=3&amp;sourceID=14","3")</f>
        <v>3</v>
      </c>
      <c r="G4904" s="4" t="str">
        <f>HYPERLINK("http://141.218.60.56/~jnz1568/getInfo.php?workbook=12_04.xlsx&amp;sheet=U0&amp;row=4904&amp;col=7&amp;number=0.0209&amp;sourceID=14","0.0209")</f>
        <v>0.0209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HYPERLINK("http://141.218.60.56/~jnz1568/getInfo.php?workbook=12_04.xlsx&amp;sheet=U0&amp;row=4905&amp;col=6&amp;number=3.1&amp;sourceID=14","3.1")</f>
        <v>3.1</v>
      </c>
      <c r="G4905" s="4" t="str">
        <f>HYPERLINK("http://141.218.60.56/~jnz1568/getInfo.php?workbook=12_04.xlsx&amp;sheet=U0&amp;row=4905&amp;col=7&amp;number=0.0209&amp;sourceID=14","0.0209")</f>
        <v>0.0209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HYPERLINK("http://141.218.60.56/~jnz1568/getInfo.php?workbook=12_04.xlsx&amp;sheet=U0&amp;row=4906&amp;col=6&amp;number=3.2&amp;sourceID=14","3.2")</f>
        <v>3.2</v>
      </c>
      <c r="G4906" s="4" t="str">
        <f>HYPERLINK("http://141.218.60.56/~jnz1568/getInfo.php?workbook=12_04.xlsx&amp;sheet=U0&amp;row=4906&amp;col=7&amp;number=0.0209&amp;sourceID=14","0.0209")</f>
        <v>0.0209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HYPERLINK("http://141.218.60.56/~jnz1568/getInfo.php?workbook=12_04.xlsx&amp;sheet=U0&amp;row=4907&amp;col=6&amp;number=3.3&amp;sourceID=14","3.3")</f>
        <v>3.3</v>
      </c>
      <c r="G4907" s="4" t="str">
        <f>HYPERLINK("http://141.218.60.56/~jnz1568/getInfo.php?workbook=12_04.xlsx&amp;sheet=U0&amp;row=4907&amp;col=7&amp;number=0.0209&amp;sourceID=14","0.0209")</f>
        <v>0.0209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HYPERLINK("http://141.218.60.56/~jnz1568/getInfo.php?workbook=12_04.xlsx&amp;sheet=U0&amp;row=4908&amp;col=6&amp;number=3.4&amp;sourceID=14","3.4")</f>
        <v>3.4</v>
      </c>
      <c r="G4908" s="4" t="str">
        <f>HYPERLINK("http://141.218.60.56/~jnz1568/getInfo.php?workbook=12_04.xlsx&amp;sheet=U0&amp;row=4908&amp;col=7&amp;number=0.0209&amp;sourceID=14","0.0209")</f>
        <v>0.0209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HYPERLINK("http://141.218.60.56/~jnz1568/getInfo.php?workbook=12_04.xlsx&amp;sheet=U0&amp;row=4909&amp;col=6&amp;number=3.5&amp;sourceID=14","3.5")</f>
        <v>3.5</v>
      </c>
      <c r="G4909" s="4" t="str">
        <f>HYPERLINK("http://141.218.60.56/~jnz1568/getInfo.php?workbook=12_04.xlsx&amp;sheet=U0&amp;row=4909&amp;col=7&amp;number=0.0209&amp;sourceID=14","0.0209")</f>
        <v>0.0209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HYPERLINK("http://141.218.60.56/~jnz1568/getInfo.php?workbook=12_04.xlsx&amp;sheet=U0&amp;row=4910&amp;col=6&amp;number=3.6&amp;sourceID=14","3.6")</f>
        <v>3.6</v>
      </c>
      <c r="G4910" s="4" t="str">
        <f>HYPERLINK("http://141.218.60.56/~jnz1568/getInfo.php?workbook=12_04.xlsx&amp;sheet=U0&amp;row=4910&amp;col=7&amp;number=0.0208&amp;sourceID=14","0.0208")</f>
        <v>0.0208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HYPERLINK("http://141.218.60.56/~jnz1568/getInfo.php?workbook=12_04.xlsx&amp;sheet=U0&amp;row=4911&amp;col=6&amp;number=3.7&amp;sourceID=14","3.7")</f>
        <v>3.7</v>
      </c>
      <c r="G4911" s="4" t="str">
        <f>HYPERLINK("http://141.218.60.56/~jnz1568/getInfo.php?workbook=12_04.xlsx&amp;sheet=U0&amp;row=4911&amp;col=7&amp;number=0.0208&amp;sourceID=14","0.0208")</f>
        <v>0.0208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HYPERLINK("http://141.218.60.56/~jnz1568/getInfo.php?workbook=12_04.xlsx&amp;sheet=U0&amp;row=4912&amp;col=6&amp;number=3.8&amp;sourceID=14","3.8")</f>
        <v>3.8</v>
      </c>
      <c r="G4912" s="4" t="str">
        <f>HYPERLINK("http://141.218.60.56/~jnz1568/getInfo.php?workbook=12_04.xlsx&amp;sheet=U0&amp;row=4912&amp;col=7&amp;number=0.0207&amp;sourceID=14","0.0207")</f>
        <v>0.0207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HYPERLINK("http://141.218.60.56/~jnz1568/getInfo.php?workbook=12_04.xlsx&amp;sheet=U0&amp;row=4913&amp;col=6&amp;number=3.9&amp;sourceID=14","3.9")</f>
        <v>3.9</v>
      </c>
      <c r="G4913" s="4" t="str">
        <f>HYPERLINK("http://141.218.60.56/~jnz1568/getInfo.php?workbook=12_04.xlsx&amp;sheet=U0&amp;row=4913&amp;col=7&amp;number=0.0207&amp;sourceID=14","0.0207")</f>
        <v>0.0207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HYPERLINK("http://141.218.60.56/~jnz1568/getInfo.php?workbook=12_04.xlsx&amp;sheet=U0&amp;row=4914&amp;col=6&amp;number=4&amp;sourceID=14","4")</f>
        <v>4</v>
      </c>
      <c r="G4914" s="4" t="str">
        <f>HYPERLINK("http://141.218.60.56/~jnz1568/getInfo.php?workbook=12_04.xlsx&amp;sheet=U0&amp;row=4914&amp;col=7&amp;number=0.0206&amp;sourceID=14","0.0206")</f>
        <v>0.0206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HYPERLINK("http://141.218.60.56/~jnz1568/getInfo.php?workbook=12_04.xlsx&amp;sheet=U0&amp;row=4915&amp;col=6&amp;number=4.1&amp;sourceID=14","4.1")</f>
        <v>4.1</v>
      </c>
      <c r="G4915" s="4" t="str">
        <f>HYPERLINK("http://141.218.60.56/~jnz1568/getInfo.php?workbook=12_04.xlsx&amp;sheet=U0&amp;row=4915&amp;col=7&amp;number=0.0205&amp;sourceID=14","0.0205")</f>
        <v>0.0205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HYPERLINK("http://141.218.60.56/~jnz1568/getInfo.php?workbook=12_04.xlsx&amp;sheet=U0&amp;row=4916&amp;col=6&amp;number=4.2&amp;sourceID=14","4.2")</f>
        <v>4.2</v>
      </c>
      <c r="G4916" s="4" t="str">
        <f>HYPERLINK("http://141.218.60.56/~jnz1568/getInfo.php?workbook=12_04.xlsx&amp;sheet=U0&amp;row=4916&amp;col=7&amp;number=0.0204&amp;sourceID=14","0.0204")</f>
        <v>0.0204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HYPERLINK("http://141.218.60.56/~jnz1568/getInfo.php?workbook=12_04.xlsx&amp;sheet=U0&amp;row=4917&amp;col=6&amp;number=4.3&amp;sourceID=14","4.3")</f>
        <v>4.3</v>
      </c>
      <c r="G4917" s="4" t="str">
        <f>HYPERLINK("http://141.218.60.56/~jnz1568/getInfo.php?workbook=12_04.xlsx&amp;sheet=U0&amp;row=4917&amp;col=7&amp;number=0.0202&amp;sourceID=14","0.0202")</f>
        <v>0.0202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HYPERLINK("http://141.218.60.56/~jnz1568/getInfo.php?workbook=12_04.xlsx&amp;sheet=U0&amp;row=4918&amp;col=6&amp;number=4.4&amp;sourceID=14","4.4")</f>
        <v>4.4</v>
      </c>
      <c r="G4918" s="4" t="str">
        <f>HYPERLINK("http://141.218.60.56/~jnz1568/getInfo.php?workbook=12_04.xlsx&amp;sheet=U0&amp;row=4918&amp;col=7&amp;number=0.02&amp;sourceID=14","0.02")</f>
        <v>0.02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HYPERLINK("http://141.218.60.56/~jnz1568/getInfo.php?workbook=12_04.xlsx&amp;sheet=U0&amp;row=4919&amp;col=6&amp;number=4.5&amp;sourceID=14","4.5")</f>
        <v>4.5</v>
      </c>
      <c r="G4919" s="4" t="str">
        <f>HYPERLINK("http://141.218.60.56/~jnz1568/getInfo.php?workbook=12_04.xlsx&amp;sheet=U0&amp;row=4919&amp;col=7&amp;number=0.0198&amp;sourceID=14","0.0198")</f>
        <v>0.0198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HYPERLINK("http://141.218.60.56/~jnz1568/getInfo.php?workbook=12_04.xlsx&amp;sheet=U0&amp;row=4920&amp;col=6&amp;number=4.6&amp;sourceID=14","4.6")</f>
        <v>4.6</v>
      </c>
      <c r="G4920" s="4" t="str">
        <f>HYPERLINK("http://141.218.60.56/~jnz1568/getInfo.php?workbook=12_04.xlsx&amp;sheet=U0&amp;row=4920&amp;col=7&amp;number=0.0194&amp;sourceID=14","0.0194")</f>
        <v>0.0194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HYPERLINK("http://141.218.60.56/~jnz1568/getInfo.php?workbook=12_04.xlsx&amp;sheet=U0&amp;row=4921&amp;col=6&amp;number=4.7&amp;sourceID=14","4.7")</f>
        <v>4.7</v>
      </c>
      <c r="G4921" s="4" t="str">
        <f>HYPERLINK("http://141.218.60.56/~jnz1568/getInfo.php?workbook=12_04.xlsx&amp;sheet=U0&amp;row=4921&amp;col=7&amp;number=0.0191&amp;sourceID=14","0.0191")</f>
        <v>0.0191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HYPERLINK("http://141.218.60.56/~jnz1568/getInfo.php?workbook=12_04.xlsx&amp;sheet=U0&amp;row=4922&amp;col=6&amp;number=4.8&amp;sourceID=14","4.8")</f>
        <v>4.8</v>
      </c>
      <c r="G4922" s="4" t="str">
        <f>HYPERLINK("http://141.218.60.56/~jnz1568/getInfo.php?workbook=12_04.xlsx&amp;sheet=U0&amp;row=4922&amp;col=7&amp;number=0.0186&amp;sourceID=14","0.0186")</f>
        <v>0.0186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HYPERLINK("http://141.218.60.56/~jnz1568/getInfo.php?workbook=12_04.xlsx&amp;sheet=U0&amp;row=4923&amp;col=6&amp;number=4.9&amp;sourceID=14","4.9")</f>
        <v>4.9</v>
      </c>
      <c r="G4923" s="4" t="str">
        <f>HYPERLINK("http://141.218.60.56/~jnz1568/getInfo.php?workbook=12_04.xlsx&amp;sheet=U0&amp;row=4923&amp;col=7&amp;number=0.018&amp;sourceID=14","0.018")</f>
        <v>0.018</v>
      </c>
    </row>
    <row r="4924" spans="1:7">
      <c r="A4924" s="3">
        <v>12</v>
      </c>
      <c r="B4924" s="3">
        <v>4</v>
      </c>
      <c r="C4924" s="3">
        <v>3</v>
      </c>
      <c r="D4924" s="3">
        <v>57</v>
      </c>
      <c r="E4924" s="3">
        <v>1</v>
      </c>
      <c r="F4924" s="4" t="str">
        <f>HYPERLINK("http://141.218.60.56/~jnz1568/getInfo.php?workbook=12_04.xlsx&amp;sheet=U0&amp;row=4924&amp;col=6&amp;number=3&amp;sourceID=14","3")</f>
        <v>3</v>
      </c>
      <c r="G4924" s="4" t="str">
        <f>HYPERLINK("http://141.218.60.56/~jnz1568/getInfo.php?workbook=12_04.xlsx&amp;sheet=U0&amp;row=4924&amp;col=7&amp;number=0.00854&amp;sourceID=14","0.00854")</f>
        <v>0.00854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HYPERLINK("http://141.218.60.56/~jnz1568/getInfo.php?workbook=12_04.xlsx&amp;sheet=U0&amp;row=4925&amp;col=6&amp;number=3.1&amp;sourceID=14","3.1")</f>
        <v>3.1</v>
      </c>
      <c r="G4925" s="4" t="str">
        <f>HYPERLINK("http://141.218.60.56/~jnz1568/getInfo.php?workbook=12_04.xlsx&amp;sheet=U0&amp;row=4925&amp;col=7&amp;number=0.00854&amp;sourceID=14","0.00854")</f>
        <v>0.00854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HYPERLINK("http://141.218.60.56/~jnz1568/getInfo.php?workbook=12_04.xlsx&amp;sheet=U0&amp;row=4926&amp;col=6&amp;number=3.2&amp;sourceID=14","3.2")</f>
        <v>3.2</v>
      </c>
      <c r="G4926" s="4" t="str">
        <f>HYPERLINK("http://141.218.60.56/~jnz1568/getInfo.php?workbook=12_04.xlsx&amp;sheet=U0&amp;row=4926&amp;col=7&amp;number=0.00853&amp;sourceID=14","0.00853")</f>
        <v>0.00853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HYPERLINK("http://141.218.60.56/~jnz1568/getInfo.php?workbook=12_04.xlsx&amp;sheet=U0&amp;row=4927&amp;col=6&amp;number=3.3&amp;sourceID=14","3.3")</f>
        <v>3.3</v>
      </c>
      <c r="G4927" s="4" t="str">
        <f>HYPERLINK("http://141.218.60.56/~jnz1568/getInfo.php?workbook=12_04.xlsx&amp;sheet=U0&amp;row=4927&amp;col=7&amp;number=0.00853&amp;sourceID=14","0.00853")</f>
        <v>0.00853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HYPERLINK("http://141.218.60.56/~jnz1568/getInfo.php?workbook=12_04.xlsx&amp;sheet=U0&amp;row=4928&amp;col=6&amp;number=3.4&amp;sourceID=14","3.4")</f>
        <v>3.4</v>
      </c>
      <c r="G4928" s="4" t="str">
        <f>HYPERLINK("http://141.218.60.56/~jnz1568/getInfo.php?workbook=12_04.xlsx&amp;sheet=U0&amp;row=4928&amp;col=7&amp;number=0.00852&amp;sourceID=14","0.00852")</f>
        <v>0.00852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HYPERLINK("http://141.218.60.56/~jnz1568/getInfo.php?workbook=12_04.xlsx&amp;sheet=U0&amp;row=4929&amp;col=6&amp;number=3.5&amp;sourceID=14","3.5")</f>
        <v>3.5</v>
      </c>
      <c r="G4929" s="4" t="str">
        <f>HYPERLINK("http://141.218.60.56/~jnz1568/getInfo.php?workbook=12_04.xlsx&amp;sheet=U0&amp;row=4929&amp;col=7&amp;number=0.00851&amp;sourceID=14","0.00851")</f>
        <v>0.00851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HYPERLINK("http://141.218.60.56/~jnz1568/getInfo.php?workbook=12_04.xlsx&amp;sheet=U0&amp;row=4930&amp;col=6&amp;number=3.6&amp;sourceID=14","3.6")</f>
        <v>3.6</v>
      </c>
      <c r="G4930" s="4" t="str">
        <f>HYPERLINK("http://141.218.60.56/~jnz1568/getInfo.php?workbook=12_04.xlsx&amp;sheet=U0&amp;row=4930&amp;col=7&amp;number=0.0085&amp;sourceID=14","0.0085")</f>
        <v>0.0085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HYPERLINK("http://141.218.60.56/~jnz1568/getInfo.php?workbook=12_04.xlsx&amp;sheet=U0&amp;row=4931&amp;col=6&amp;number=3.7&amp;sourceID=14","3.7")</f>
        <v>3.7</v>
      </c>
      <c r="G4931" s="4" t="str">
        <f>HYPERLINK("http://141.218.60.56/~jnz1568/getInfo.php?workbook=12_04.xlsx&amp;sheet=U0&amp;row=4931&amp;col=7&amp;number=0.00848&amp;sourceID=14","0.00848")</f>
        <v>0.00848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HYPERLINK("http://141.218.60.56/~jnz1568/getInfo.php?workbook=12_04.xlsx&amp;sheet=U0&amp;row=4932&amp;col=6&amp;number=3.8&amp;sourceID=14","3.8")</f>
        <v>3.8</v>
      </c>
      <c r="G4932" s="4" t="str">
        <f>HYPERLINK("http://141.218.60.56/~jnz1568/getInfo.php?workbook=12_04.xlsx&amp;sheet=U0&amp;row=4932&amp;col=7&amp;number=0.00846&amp;sourceID=14","0.00846")</f>
        <v>0.00846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HYPERLINK("http://141.218.60.56/~jnz1568/getInfo.php?workbook=12_04.xlsx&amp;sheet=U0&amp;row=4933&amp;col=6&amp;number=3.9&amp;sourceID=14","3.9")</f>
        <v>3.9</v>
      </c>
      <c r="G4933" s="4" t="str">
        <f>HYPERLINK("http://141.218.60.56/~jnz1568/getInfo.php?workbook=12_04.xlsx&amp;sheet=U0&amp;row=4933&amp;col=7&amp;number=0.00844&amp;sourceID=14","0.00844")</f>
        <v>0.00844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HYPERLINK("http://141.218.60.56/~jnz1568/getInfo.php?workbook=12_04.xlsx&amp;sheet=U0&amp;row=4934&amp;col=6&amp;number=4&amp;sourceID=14","4")</f>
        <v>4</v>
      </c>
      <c r="G4934" s="4" t="str">
        <f>HYPERLINK("http://141.218.60.56/~jnz1568/getInfo.php?workbook=12_04.xlsx&amp;sheet=U0&amp;row=4934&amp;col=7&amp;number=0.00841&amp;sourceID=14","0.00841")</f>
        <v>0.00841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HYPERLINK("http://141.218.60.56/~jnz1568/getInfo.php?workbook=12_04.xlsx&amp;sheet=U0&amp;row=4935&amp;col=6&amp;number=4.1&amp;sourceID=14","4.1")</f>
        <v>4.1</v>
      </c>
      <c r="G4935" s="4" t="str">
        <f>HYPERLINK("http://141.218.60.56/~jnz1568/getInfo.php?workbook=12_04.xlsx&amp;sheet=U0&amp;row=4935&amp;col=7&amp;number=0.00837&amp;sourceID=14","0.00837")</f>
        <v>0.00837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HYPERLINK("http://141.218.60.56/~jnz1568/getInfo.php?workbook=12_04.xlsx&amp;sheet=U0&amp;row=4936&amp;col=6&amp;number=4.2&amp;sourceID=14","4.2")</f>
        <v>4.2</v>
      </c>
      <c r="G4936" s="4" t="str">
        <f>HYPERLINK("http://141.218.60.56/~jnz1568/getInfo.php?workbook=12_04.xlsx&amp;sheet=U0&amp;row=4936&amp;col=7&amp;number=0.00832&amp;sourceID=14","0.00832")</f>
        <v>0.00832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HYPERLINK("http://141.218.60.56/~jnz1568/getInfo.php?workbook=12_04.xlsx&amp;sheet=U0&amp;row=4937&amp;col=6&amp;number=4.3&amp;sourceID=14","4.3")</f>
        <v>4.3</v>
      </c>
      <c r="G4937" s="4" t="str">
        <f>HYPERLINK("http://141.218.60.56/~jnz1568/getInfo.php?workbook=12_04.xlsx&amp;sheet=U0&amp;row=4937&amp;col=7&amp;number=0.00826&amp;sourceID=14","0.00826")</f>
        <v>0.00826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HYPERLINK("http://141.218.60.56/~jnz1568/getInfo.php?workbook=12_04.xlsx&amp;sheet=U0&amp;row=4938&amp;col=6&amp;number=4.4&amp;sourceID=14","4.4")</f>
        <v>4.4</v>
      </c>
      <c r="G4938" s="4" t="str">
        <f>HYPERLINK("http://141.218.60.56/~jnz1568/getInfo.php?workbook=12_04.xlsx&amp;sheet=U0&amp;row=4938&amp;col=7&amp;number=0.00819&amp;sourceID=14","0.00819")</f>
        <v>0.00819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HYPERLINK("http://141.218.60.56/~jnz1568/getInfo.php?workbook=12_04.xlsx&amp;sheet=U0&amp;row=4939&amp;col=6&amp;number=4.5&amp;sourceID=14","4.5")</f>
        <v>4.5</v>
      </c>
      <c r="G4939" s="4" t="str">
        <f>HYPERLINK("http://141.218.60.56/~jnz1568/getInfo.php?workbook=12_04.xlsx&amp;sheet=U0&amp;row=4939&amp;col=7&amp;number=0.0081&amp;sourceID=14","0.0081")</f>
        <v>0.0081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HYPERLINK("http://141.218.60.56/~jnz1568/getInfo.php?workbook=12_04.xlsx&amp;sheet=U0&amp;row=4940&amp;col=6&amp;number=4.6&amp;sourceID=14","4.6")</f>
        <v>4.6</v>
      </c>
      <c r="G4940" s="4" t="str">
        <f>HYPERLINK("http://141.218.60.56/~jnz1568/getInfo.php?workbook=12_04.xlsx&amp;sheet=U0&amp;row=4940&amp;col=7&amp;number=0.00798&amp;sourceID=14","0.00798")</f>
        <v>0.00798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HYPERLINK("http://141.218.60.56/~jnz1568/getInfo.php?workbook=12_04.xlsx&amp;sheet=U0&amp;row=4941&amp;col=6&amp;number=4.7&amp;sourceID=14","4.7")</f>
        <v>4.7</v>
      </c>
      <c r="G4941" s="4" t="str">
        <f>HYPERLINK("http://141.218.60.56/~jnz1568/getInfo.php?workbook=12_04.xlsx&amp;sheet=U0&amp;row=4941&amp;col=7&amp;number=0.00785&amp;sourceID=14","0.00785")</f>
        <v>0.00785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HYPERLINK("http://141.218.60.56/~jnz1568/getInfo.php?workbook=12_04.xlsx&amp;sheet=U0&amp;row=4942&amp;col=6&amp;number=4.8&amp;sourceID=14","4.8")</f>
        <v>4.8</v>
      </c>
      <c r="G4942" s="4" t="str">
        <f>HYPERLINK("http://141.218.60.56/~jnz1568/getInfo.php?workbook=12_04.xlsx&amp;sheet=U0&amp;row=4942&amp;col=7&amp;number=0.00768&amp;sourceID=14","0.00768")</f>
        <v>0.00768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HYPERLINK("http://141.218.60.56/~jnz1568/getInfo.php?workbook=12_04.xlsx&amp;sheet=U0&amp;row=4943&amp;col=6&amp;number=4.9&amp;sourceID=14","4.9")</f>
        <v>4.9</v>
      </c>
      <c r="G4943" s="4" t="str">
        <f>HYPERLINK("http://141.218.60.56/~jnz1568/getInfo.php?workbook=12_04.xlsx&amp;sheet=U0&amp;row=4943&amp;col=7&amp;number=0.00748&amp;sourceID=14","0.00748")</f>
        <v>0.00748</v>
      </c>
    </row>
    <row r="4944" spans="1:7">
      <c r="A4944" s="3">
        <v>12</v>
      </c>
      <c r="B4944" s="3">
        <v>4</v>
      </c>
      <c r="C4944" s="3">
        <v>3</v>
      </c>
      <c r="D4944" s="3">
        <v>58</v>
      </c>
      <c r="E4944" s="3">
        <v>1</v>
      </c>
      <c r="F4944" s="4" t="str">
        <f>HYPERLINK("http://141.218.60.56/~jnz1568/getInfo.php?workbook=12_04.xlsx&amp;sheet=U0&amp;row=4944&amp;col=6&amp;number=3&amp;sourceID=14","3")</f>
        <v>3</v>
      </c>
      <c r="G4944" s="4" t="str">
        <f>HYPERLINK("http://141.218.60.56/~jnz1568/getInfo.php?workbook=12_04.xlsx&amp;sheet=U0&amp;row=4944&amp;col=7&amp;number=0.0122&amp;sourceID=14","0.0122")</f>
        <v>0.0122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HYPERLINK("http://141.218.60.56/~jnz1568/getInfo.php?workbook=12_04.xlsx&amp;sheet=U0&amp;row=4945&amp;col=6&amp;number=3.1&amp;sourceID=14","3.1")</f>
        <v>3.1</v>
      </c>
      <c r="G4945" s="4" t="str">
        <f>HYPERLINK("http://141.218.60.56/~jnz1568/getInfo.php?workbook=12_04.xlsx&amp;sheet=U0&amp;row=4945&amp;col=7&amp;number=0.0122&amp;sourceID=14","0.0122")</f>
        <v>0.0122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HYPERLINK("http://141.218.60.56/~jnz1568/getInfo.php?workbook=12_04.xlsx&amp;sheet=U0&amp;row=4946&amp;col=6&amp;number=3.2&amp;sourceID=14","3.2")</f>
        <v>3.2</v>
      </c>
      <c r="G4946" s="4" t="str">
        <f>HYPERLINK("http://141.218.60.56/~jnz1568/getInfo.php?workbook=12_04.xlsx&amp;sheet=U0&amp;row=4946&amp;col=7&amp;number=0.0122&amp;sourceID=14","0.0122")</f>
        <v>0.0122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HYPERLINK("http://141.218.60.56/~jnz1568/getInfo.php?workbook=12_04.xlsx&amp;sheet=U0&amp;row=4947&amp;col=6&amp;number=3.3&amp;sourceID=14","3.3")</f>
        <v>3.3</v>
      </c>
      <c r="G4947" s="4" t="str">
        <f>HYPERLINK("http://141.218.60.56/~jnz1568/getInfo.php?workbook=12_04.xlsx&amp;sheet=U0&amp;row=4947&amp;col=7&amp;number=0.0121&amp;sourceID=14","0.0121")</f>
        <v>0.0121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HYPERLINK("http://141.218.60.56/~jnz1568/getInfo.php?workbook=12_04.xlsx&amp;sheet=U0&amp;row=4948&amp;col=6&amp;number=3.4&amp;sourceID=14","3.4")</f>
        <v>3.4</v>
      </c>
      <c r="G4948" s="4" t="str">
        <f>HYPERLINK("http://141.218.60.56/~jnz1568/getInfo.php?workbook=12_04.xlsx&amp;sheet=U0&amp;row=4948&amp;col=7&amp;number=0.0121&amp;sourceID=14","0.0121")</f>
        <v>0.0121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HYPERLINK("http://141.218.60.56/~jnz1568/getInfo.php?workbook=12_04.xlsx&amp;sheet=U0&amp;row=4949&amp;col=6&amp;number=3.5&amp;sourceID=14","3.5")</f>
        <v>3.5</v>
      </c>
      <c r="G4949" s="4" t="str">
        <f>HYPERLINK("http://141.218.60.56/~jnz1568/getInfo.php?workbook=12_04.xlsx&amp;sheet=U0&amp;row=4949&amp;col=7&amp;number=0.0121&amp;sourceID=14","0.0121")</f>
        <v>0.0121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HYPERLINK("http://141.218.60.56/~jnz1568/getInfo.php?workbook=12_04.xlsx&amp;sheet=U0&amp;row=4950&amp;col=6&amp;number=3.6&amp;sourceID=14","3.6")</f>
        <v>3.6</v>
      </c>
      <c r="G4950" s="4" t="str">
        <f>HYPERLINK("http://141.218.60.56/~jnz1568/getInfo.php?workbook=12_04.xlsx&amp;sheet=U0&amp;row=4950&amp;col=7&amp;number=0.0121&amp;sourceID=14","0.0121")</f>
        <v>0.0121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HYPERLINK("http://141.218.60.56/~jnz1568/getInfo.php?workbook=12_04.xlsx&amp;sheet=U0&amp;row=4951&amp;col=6&amp;number=3.7&amp;sourceID=14","3.7")</f>
        <v>3.7</v>
      </c>
      <c r="G4951" s="4" t="str">
        <f>HYPERLINK("http://141.218.60.56/~jnz1568/getInfo.php?workbook=12_04.xlsx&amp;sheet=U0&amp;row=4951&amp;col=7&amp;number=0.0121&amp;sourceID=14","0.0121")</f>
        <v>0.0121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HYPERLINK("http://141.218.60.56/~jnz1568/getInfo.php?workbook=12_04.xlsx&amp;sheet=U0&amp;row=4952&amp;col=6&amp;number=3.8&amp;sourceID=14","3.8")</f>
        <v>3.8</v>
      </c>
      <c r="G4952" s="4" t="str">
        <f>HYPERLINK("http://141.218.60.56/~jnz1568/getInfo.php?workbook=12_04.xlsx&amp;sheet=U0&amp;row=4952&amp;col=7&amp;number=0.0121&amp;sourceID=14","0.0121")</f>
        <v>0.0121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HYPERLINK("http://141.218.60.56/~jnz1568/getInfo.php?workbook=12_04.xlsx&amp;sheet=U0&amp;row=4953&amp;col=6&amp;number=3.9&amp;sourceID=14","3.9")</f>
        <v>3.9</v>
      </c>
      <c r="G4953" s="4" t="str">
        <f>HYPERLINK("http://141.218.60.56/~jnz1568/getInfo.php?workbook=12_04.xlsx&amp;sheet=U0&amp;row=4953&amp;col=7&amp;number=0.012&amp;sourceID=14","0.012")</f>
        <v>0.012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HYPERLINK("http://141.218.60.56/~jnz1568/getInfo.php?workbook=12_04.xlsx&amp;sheet=U0&amp;row=4954&amp;col=6&amp;number=4&amp;sourceID=14","4")</f>
        <v>4</v>
      </c>
      <c r="G4954" s="4" t="str">
        <f>HYPERLINK("http://141.218.60.56/~jnz1568/getInfo.php?workbook=12_04.xlsx&amp;sheet=U0&amp;row=4954&amp;col=7&amp;number=0.012&amp;sourceID=14","0.012")</f>
        <v>0.012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HYPERLINK("http://141.218.60.56/~jnz1568/getInfo.php?workbook=12_04.xlsx&amp;sheet=U0&amp;row=4955&amp;col=6&amp;number=4.1&amp;sourceID=14","4.1")</f>
        <v>4.1</v>
      </c>
      <c r="G4955" s="4" t="str">
        <f>HYPERLINK("http://141.218.60.56/~jnz1568/getInfo.php?workbook=12_04.xlsx&amp;sheet=U0&amp;row=4955&amp;col=7&amp;number=0.012&amp;sourceID=14","0.012")</f>
        <v>0.012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HYPERLINK("http://141.218.60.56/~jnz1568/getInfo.php?workbook=12_04.xlsx&amp;sheet=U0&amp;row=4956&amp;col=6&amp;number=4.2&amp;sourceID=14","4.2")</f>
        <v>4.2</v>
      </c>
      <c r="G4956" s="4" t="str">
        <f>HYPERLINK("http://141.218.60.56/~jnz1568/getInfo.php?workbook=12_04.xlsx&amp;sheet=U0&amp;row=4956&amp;col=7&amp;number=0.0119&amp;sourceID=14","0.0119")</f>
        <v>0.0119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HYPERLINK("http://141.218.60.56/~jnz1568/getInfo.php?workbook=12_04.xlsx&amp;sheet=U0&amp;row=4957&amp;col=6&amp;number=4.3&amp;sourceID=14","4.3")</f>
        <v>4.3</v>
      </c>
      <c r="G4957" s="4" t="str">
        <f>HYPERLINK("http://141.218.60.56/~jnz1568/getInfo.php?workbook=12_04.xlsx&amp;sheet=U0&amp;row=4957&amp;col=7&amp;number=0.0119&amp;sourceID=14","0.0119")</f>
        <v>0.0119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HYPERLINK("http://141.218.60.56/~jnz1568/getInfo.php?workbook=12_04.xlsx&amp;sheet=U0&amp;row=4958&amp;col=6&amp;number=4.4&amp;sourceID=14","4.4")</f>
        <v>4.4</v>
      </c>
      <c r="G4958" s="4" t="str">
        <f>HYPERLINK("http://141.218.60.56/~jnz1568/getInfo.php?workbook=12_04.xlsx&amp;sheet=U0&amp;row=4958&amp;col=7&amp;number=0.0118&amp;sourceID=14","0.0118")</f>
        <v>0.0118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HYPERLINK("http://141.218.60.56/~jnz1568/getInfo.php?workbook=12_04.xlsx&amp;sheet=U0&amp;row=4959&amp;col=6&amp;number=4.5&amp;sourceID=14","4.5")</f>
        <v>4.5</v>
      </c>
      <c r="G4959" s="4" t="str">
        <f>HYPERLINK("http://141.218.60.56/~jnz1568/getInfo.php?workbook=12_04.xlsx&amp;sheet=U0&amp;row=4959&amp;col=7&amp;number=0.0117&amp;sourceID=14","0.0117")</f>
        <v>0.0117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HYPERLINK("http://141.218.60.56/~jnz1568/getInfo.php?workbook=12_04.xlsx&amp;sheet=U0&amp;row=4960&amp;col=6&amp;number=4.6&amp;sourceID=14","4.6")</f>
        <v>4.6</v>
      </c>
      <c r="G4960" s="4" t="str">
        <f>HYPERLINK("http://141.218.60.56/~jnz1568/getInfo.php?workbook=12_04.xlsx&amp;sheet=U0&amp;row=4960&amp;col=7&amp;number=0.0115&amp;sourceID=14","0.0115")</f>
        <v>0.0115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HYPERLINK("http://141.218.60.56/~jnz1568/getInfo.php?workbook=12_04.xlsx&amp;sheet=U0&amp;row=4961&amp;col=6&amp;number=4.7&amp;sourceID=14","4.7")</f>
        <v>4.7</v>
      </c>
      <c r="G4961" s="4" t="str">
        <f>HYPERLINK("http://141.218.60.56/~jnz1568/getInfo.php?workbook=12_04.xlsx&amp;sheet=U0&amp;row=4961&amp;col=7&amp;number=0.0114&amp;sourceID=14","0.0114")</f>
        <v>0.0114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HYPERLINK("http://141.218.60.56/~jnz1568/getInfo.php?workbook=12_04.xlsx&amp;sheet=U0&amp;row=4962&amp;col=6&amp;number=4.8&amp;sourceID=14","4.8")</f>
        <v>4.8</v>
      </c>
      <c r="G4962" s="4" t="str">
        <f>HYPERLINK("http://141.218.60.56/~jnz1568/getInfo.php?workbook=12_04.xlsx&amp;sheet=U0&amp;row=4962&amp;col=7&amp;number=0.0112&amp;sourceID=14","0.0112")</f>
        <v>0.0112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HYPERLINK("http://141.218.60.56/~jnz1568/getInfo.php?workbook=12_04.xlsx&amp;sheet=U0&amp;row=4963&amp;col=6&amp;number=4.9&amp;sourceID=14","4.9")</f>
        <v>4.9</v>
      </c>
      <c r="G4963" s="4" t="str">
        <f>HYPERLINK("http://141.218.60.56/~jnz1568/getInfo.php?workbook=12_04.xlsx&amp;sheet=U0&amp;row=4963&amp;col=7&amp;number=0.011&amp;sourceID=14","0.011")</f>
        <v>0.011</v>
      </c>
    </row>
    <row r="4964" spans="1:7">
      <c r="A4964" s="3">
        <v>12</v>
      </c>
      <c r="B4964" s="3">
        <v>4</v>
      </c>
      <c r="C4964" s="3">
        <v>3</v>
      </c>
      <c r="D4964" s="3">
        <v>59</v>
      </c>
      <c r="E4964" s="3">
        <v>1</v>
      </c>
      <c r="F4964" s="4" t="str">
        <f>HYPERLINK("http://141.218.60.56/~jnz1568/getInfo.php?workbook=12_04.xlsx&amp;sheet=U0&amp;row=4964&amp;col=6&amp;number=3&amp;sourceID=14","3")</f>
        <v>3</v>
      </c>
      <c r="G4964" s="4" t="str">
        <f>HYPERLINK("http://141.218.60.56/~jnz1568/getInfo.php?workbook=12_04.xlsx&amp;sheet=U0&amp;row=4964&amp;col=7&amp;number=0.00829&amp;sourceID=14","0.00829")</f>
        <v>0.00829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HYPERLINK("http://141.218.60.56/~jnz1568/getInfo.php?workbook=12_04.xlsx&amp;sheet=U0&amp;row=4965&amp;col=6&amp;number=3.1&amp;sourceID=14","3.1")</f>
        <v>3.1</v>
      </c>
      <c r="G4965" s="4" t="str">
        <f>HYPERLINK("http://141.218.60.56/~jnz1568/getInfo.php?workbook=12_04.xlsx&amp;sheet=U0&amp;row=4965&amp;col=7&amp;number=0.00829&amp;sourceID=14","0.00829")</f>
        <v>0.00829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HYPERLINK("http://141.218.60.56/~jnz1568/getInfo.php?workbook=12_04.xlsx&amp;sheet=U0&amp;row=4966&amp;col=6&amp;number=3.2&amp;sourceID=14","3.2")</f>
        <v>3.2</v>
      </c>
      <c r="G4966" s="4" t="str">
        <f>HYPERLINK("http://141.218.60.56/~jnz1568/getInfo.php?workbook=12_04.xlsx&amp;sheet=U0&amp;row=4966&amp;col=7&amp;number=0.00829&amp;sourceID=14","0.00829")</f>
        <v>0.00829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HYPERLINK("http://141.218.60.56/~jnz1568/getInfo.php?workbook=12_04.xlsx&amp;sheet=U0&amp;row=4967&amp;col=6&amp;number=3.3&amp;sourceID=14","3.3")</f>
        <v>3.3</v>
      </c>
      <c r="G4967" s="4" t="str">
        <f>HYPERLINK("http://141.218.60.56/~jnz1568/getInfo.php?workbook=12_04.xlsx&amp;sheet=U0&amp;row=4967&amp;col=7&amp;number=0.00828&amp;sourceID=14","0.00828")</f>
        <v>0.00828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HYPERLINK("http://141.218.60.56/~jnz1568/getInfo.php?workbook=12_04.xlsx&amp;sheet=U0&amp;row=4968&amp;col=6&amp;number=3.4&amp;sourceID=14","3.4")</f>
        <v>3.4</v>
      </c>
      <c r="G4968" s="4" t="str">
        <f>HYPERLINK("http://141.218.60.56/~jnz1568/getInfo.php?workbook=12_04.xlsx&amp;sheet=U0&amp;row=4968&amp;col=7&amp;number=0.00827&amp;sourceID=14","0.00827")</f>
        <v>0.00827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HYPERLINK("http://141.218.60.56/~jnz1568/getInfo.php?workbook=12_04.xlsx&amp;sheet=U0&amp;row=4969&amp;col=6&amp;number=3.5&amp;sourceID=14","3.5")</f>
        <v>3.5</v>
      </c>
      <c r="G4969" s="4" t="str">
        <f>HYPERLINK("http://141.218.60.56/~jnz1568/getInfo.php?workbook=12_04.xlsx&amp;sheet=U0&amp;row=4969&amp;col=7&amp;number=0.00826&amp;sourceID=14","0.00826")</f>
        <v>0.00826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HYPERLINK("http://141.218.60.56/~jnz1568/getInfo.php?workbook=12_04.xlsx&amp;sheet=U0&amp;row=4970&amp;col=6&amp;number=3.6&amp;sourceID=14","3.6")</f>
        <v>3.6</v>
      </c>
      <c r="G4970" s="4" t="str">
        <f>HYPERLINK("http://141.218.60.56/~jnz1568/getInfo.php?workbook=12_04.xlsx&amp;sheet=U0&amp;row=4970&amp;col=7&amp;number=0.00825&amp;sourceID=14","0.00825")</f>
        <v>0.00825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HYPERLINK("http://141.218.60.56/~jnz1568/getInfo.php?workbook=12_04.xlsx&amp;sheet=U0&amp;row=4971&amp;col=6&amp;number=3.7&amp;sourceID=14","3.7")</f>
        <v>3.7</v>
      </c>
      <c r="G4971" s="4" t="str">
        <f>HYPERLINK("http://141.218.60.56/~jnz1568/getInfo.php?workbook=12_04.xlsx&amp;sheet=U0&amp;row=4971&amp;col=7&amp;number=0.00824&amp;sourceID=14","0.00824")</f>
        <v>0.00824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HYPERLINK("http://141.218.60.56/~jnz1568/getInfo.php?workbook=12_04.xlsx&amp;sheet=U0&amp;row=4972&amp;col=6&amp;number=3.8&amp;sourceID=14","3.8")</f>
        <v>3.8</v>
      </c>
      <c r="G4972" s="4" t="str">
        <f>HYPERLINK("http://141.218.60.56/~jnz1568/getInfo.php?workbook=12_04.xlsx&amp;sheet=U0&amp;row=4972&amp;col=7&amp;number=0.00822&amp;sourceID=14","0.00822")</f>
        <v>0.00822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HYPERLINK("http://141.218.60.56/~jnz1568/getInfo.php?workbook=12_04.xlsx&amp;sheet=U0&amp;row=4973&amp;col=6&amp;number=3.9&amp;sourceID=14","3.9")</f>
        <v>3.9</v>
      </c>
      <c r="G4973" s="4" t="str">
        <f>HYPERLINK("http://141.218.60.56/~jnz1568/getInfo.php?workbook=12_04.xlsx&amp;sheet=U0&amp;row=4973&amp;col=7&amp;number=0.0082&amp;sourceID=14","0.0082")</f>
        <v>0.0082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HYPERLINK("http://141.218.60.56/~jnz1568/getInfo.php?workbook=12_04.xlsx&amp;sheet=U0&amp;row=4974&amp;col=6&amp;number=4&amp;sourceID=14","4")</f>
        <v>4</v>
      </c>
      <c r="G4974" s="4" t="str">
        <f>HYPERLINK("http://141.218.60.56/~jnz1568/getInfo.php?workbook=12_04.xlsx&amp;sheet=U0&amp;row=4974&amp;col=7&amp;number=0.00817&amp;sourceID=14","0.00817")</f>
        <v>0.00817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HYPERLINK("http://141.218.60.56/~jnz1568/getInfo.php?workbook=12_04.xlsx&amp;sheet=U0&amp;row=4975&amp;col=6&amp;number=4.1&amp;sourceID=14","4.1")</f>
        <v>4.1</v>
      </c>
      <c r="G4975" s="4" t="str">
        <f>HYPERLINK("http://141.218.60.56/~jnz1568/getInfo.php?workbook=12_04.xlsx&amp;sheet=U0&amp;row=4975&amp;col=7&amp;number=0.00813&amp;sourceID=14","0.00813")</f>
        <v>0.00813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HYPERLINK("http://141.218.60.56/~jnz1568/getInfo.php?workbook=12_04.xlsx&amp;sheet=U0&amp;row=4976&amp;col=6&amp;number=4.2&amp;sourceID=14","4.2")</f>
        <v>4.2</v>
      </c>
      <c r="G4976" s="4" t="str">
        <f>HYPERLINK("http://141.218.60.56/~jnz1568/getInfo.php?workbook=12_04.xlsx&amp;sheet=U0&amp;row=4976&amp;col=7&amp;number=0.00809&amp;sourceID=14","0.00809")</f>
        <v>0.00809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HYPERLINK("http://141.218.60.56/~jnz1568/getInfo.php?workbook=12_04.xlsx&amp;sheet=U0&amp;row=4977&amp;col=6&amp;number=4.3&amp;sourceID=14","4.3")</f>
        <v>4.3</v>
      </c>
      <c r="G4977" s="4" t="str">
        <f>HYPERLINK("http://141.218.60.56/~jnz1568/getInfo.php?workbook=12_04.xlsx&amp;sheet=U0&amp;row=4977&amp;col=7&amp;number=0.00803&amp;sourceID=14","0.00803")</f>
        <v>0.00803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HYPERLINK("http://141.218.60.56/~jnz1568/getInfo.php?workbook=12_04.xlsx&amp;sheet=U0&amp;row=4978&amp;col=6&amp;number=4.4&amp;sourceID=14","4.4")</f>
        <v>4.4</v>
      </c>
      <c r="G4978" s="4" t="str">
        <f>HYPERLINK("http://141.218.60.56/~jnz1568/getInfo.php?workbook=12_04.xlsx&amp;sheet=U0&amp;row=4978&amp;col=7&amp;number=0.00796&amp;sourceID=14","0.00796")</f>
        <v>0.00796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HYPERLINK("http://141.218.60.56/~jnz1568/getInfo.php?workbook=12_04.xlsx&amp;sheet=U0&amp;row=4979&amp;col=6&amp;number=4.5&amp;sourceID=14","4.5")</f>
        <v>4.5</v>
      </c>
      <c r="G4979" s="4" t="str">
        <f>HYPERLINK("http://141.218.60.56/~jnz1568/getInfo.php?workbook=12_04.xlsx&amp;sheet=U0&amp;row=4979&amp;col=7&amp;number=0.00787&amp;sourceID=14","0.00787")</f>
        <v>0.00787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HYPERLINK("http://141.218.60.56/~jnz1568/getInfo.php?workbook=12_04.xlsx&amp;sheet=U0&amp;row=4980&amp;col=6&amp;number=4.6&amp;sourceID=14","4.6")</f>
        <v>4.6</v>
      </c>
      <c r="G4980" s="4" t="str">
        <f>HYPERLINK("http://141.218.60.56/~jnz1568/getInfo.php?workbook=12_04.xlsx&amp;sheet=U0&amp;row=4980&amp;col=7&amp;number=0.00776&amp;sourceID=14","0.00776")</f>
        <v>0.00776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HYPERLINK("http://141.218.60.56/~jnz1568/getInfo.php?workbook=12_04.xlsx&amp;sheet=U0&amp;row=4981&amp;col=6&amp;number=4.7&amp;sourceID=14","4.7")</f>
        <v>4.7</v>
      </c>
      <c r="G4981" s="4" t="str">
        <f>HYPERLINK("http://141.218.60.56/~jnz1568/getInfo.php?workbook=12_04.xlsx&amp;sheet=U0&amp;row=4981&amp;col=7&amp;number=0.00763&amp;sourceID=14","0.00763")</f>
        <v>0.00763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HYPERLINK("http://141.218.60.56/~jnz1568/getInfo.php?workbook=12_04.xlsx&amp;sheet=U0&amp;row=4982&amp;col=6&amp;number=4.8&amp;sourceID=14","4.8")</f>
        <v>4.8</v>
      </c>
      <c r="G4982" s="4" t="str">
        <f>HYPERLINK("http://141.218.60.56/~jnz1568/getInfo.php?workbook=12_04.xlsx&amp;sheet=U0&amp;row=4982&amp;col=7&amp;number=0.00747&amp;sourceID=14","0.00747")</f>
        <v>0.00747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HYPERLINK("http://141.218.60.56/~jnz1568/getInfo.php?workbook=12_04.xlsx&amp;sheet=U0&amp;row=4983&amp;col=6&amp;number=4.9&amp;sourceID=14","4.9")</f>
        <v>4.9</v>
      </c>
      <c r="G4983" s="4" t="str">
        <f>HYPERLINK("http://141.218.60.56/~jnz1568/getInfo.php?workbook=12_04.xlsx&amp;sheet=U0&amp;row=4983&amp;col=7&amp;number=0.00727&amp;sourceID=14","0.00727")</f>
        <v>0.00727</v>
      </c>
    </row>
    <row r="4984" spans="1:7">
      <c r="A4984" s="3">
        <v>12</v>
      </c>
      <c r="B4984" s="3">
        <v>4</v>
      </c>
      <c r="C4984" s="3">
        <v>3</v>
      </c>
      <c r="D4984" s="3">
        <v>60</v>
      </c>
      <c r="E4984" s="3">
        <v>1</v>
      </c>
      <c r="F4984" s="4" t="str">
        <f>HYPERLINK("http://141.218.60.56/~jnz1568/getInfo.php?workbook=12_04.xlsx&amp;sheet=U0&amp;row=4984&amp;col=6&amp;number=3&amp;sourceID=14","3")</f>
        <v>3</v>
      </c>
      <c r="G4984" s="4" t="str">
        <f>HYPERLINK("http://141.218.60.56/~jnz1568/getInfo.php?workbook=12_04.xlsx&amp;sheet=U0&amp;row=4984&amp;col=7&amp;number=0.00748&amp;sourceID=14","0.00748")</f>
        <v>0.00748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HYPERLINK("http://141.218.60.56/~jnz1568/getInfo.php?workbook=12_04.xlsx&amp;sheet=U0&amp;row=4985&amp;col=6&amp;number=3.1&amp;sourceID=14","3.1")</f>
        <v>3.1</v>
      </c>
      <c r="G4985" s="4" t="str">
        <f>HYPERLINK("http://141.218.60.56/~jnz1568/getInfo.php?workbook=12_04.xlsx&amp;sheet=U0&amp;row=4985&amp;col=7&amp;number=0.00748&amp;sourceID=14","0.00748")</f>
        <v>0.00748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HYPERLINK("http://141.218.60.56/~jnz1568/getInfo.php?workbook=12_04.xlsx&amp;sheet=U0&amp;row=4986&amp;col=6&amp;number=3.2&amp;sourceID=14","3.2")</f>
        <v>3.2</v>
      </c>
      <c r="G4986" s="4" t="str">
        <f>HYPERLINK("http://141.218.60.56/~jnz1568/getInfo.php?workbook=12_04.xlsx&amp;sheet=U0&amp;row=4986&amp;col=7&amp;number=0.00747&amp;sourceID=14","0.00747")</f>
        <v>0.00747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HYPERLINK("http://141.218.60.56/~jnz1568/getInfo.php?workbook=12_04.xlsx&amp;sheet=U0&amp;row=4987&amp;col=6&amp;number=3.3&amp;sourceID=14","3.3")</f>
        <v>3.3</v>
      </c>
      <c r="G4987" s="4" t="str">
        <f>HYPERLINK("http://141.218.60.56/~jnz1568/getInfo.php?workbook=12_04.xlsx&amp;sheet=U0&amp;row=4987&amp;col=7&amp;number=0.00747&amp;sourceID=14","0.00747")</f>
        <v>0.00747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HYPERLINK("http://141.218.60.56/~jnz1568/getInfo.php?workbook=12_04.xlsx&amp;sheet=U0&amp;row=4988&amp;col=6&amp;number=3.4&amp;sourceID=14","3.4")</f>
        <v>3.4</v>
      </c>
      <c r="G4988" s="4" t="str">
        <f>HYPERLINK("http://141.218.60.56/~jnz1568/getInfo.php?workbook=12_04.xlsx&amp;sheet=U0&amp;row=4988&amp;col=7&amp;number=0.00746&amp;sourceID=14","0.00746")</f>
        <v>0.00746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HYPERLINK("http://141.218.60.56/~jnz1568/getInfo.php?workbook=12_04.xlsx&amp;sheet=U0&amp;row=4989&amp;col=6&amp;number=3.5&amp;sourceID=14","3.5")</f>
        <v>3.5</v>
      </c>
      <c r="G4989" s="4" t="str">
        <f>HYPERLINK("http://141.218.60.56/~jnz1568/getInfo.php?workbook=12_04.xlsx&amp;sheet=U0&amp;row=4989&amp;col=7&amp;number=0.00745&amp;sourceID=14","0.00745")</f>
        <v>0.00745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HYPERLINK("http://141.218.60.56/~jnz1568/getInfo.php?workbook=12_04.xlsx&amp;sheet=U0&amp;row=4990&amp;col=6&amp;number=3.6&amp;sourceID=14","3.6")</f>
        <v>3.6</v>
      </c>
      <c r="G4990" s="4" t="str">
        <f>HYPERLINK("http://141.218.60.56/~jnz1568/getInfo.php?workbook=12_04.xlsx&amp;sheet=U0&amp;row=4990&amp;col=7&amp;number=0.00744&amp;sourceID=14","0.00744")</f>
        <v>0.00744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HYPERLINK("http://141.218.60.56/~jnz1568/getInfo.php?workbook=12_04.xlsx&amp;sheet=U0&amp;row=4991&amp;col=6&amp;number=3.7&amp;sourceID=14","3.7")</f>
        <v>3.7</v>
      </c>
      <c r="G4991" s="4" t="str">
        <f>HYPERLINK("http://141.218.60.56/~jnz1568/getInfo.php?workbook=12_04.xlsx&amp;sheet=U0&amp;row=4991&amp;col=7&amp;number=0.00742&amp;sourceID=14","0.00742")</f>
        <v>0.00742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HYPERLINK("http://141.218.60.56/~jnz1568/getInfo.php?workbook=12_04.xlsx&amp;sheet=U0&amp;row=4992&amp;col=6&amp;number=3.8&amp;sourceID=14","3.8")</f>
        <v>3.8</v>
      </c>
      <c r="G4992" s="4" t="str">
        <f>HYPERLINK("http://141.218.60.56/~jnz1568/getInfo.php?workbook=12_04.xlsx&amp;sheet=U0&amp;row=4992&amp;col=7&amp;number=0.0074&amp;sourceID=14","0.0074")</f>
        <v>0.0074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HYPERLINK("http://141.218.60.56/~jnz1568/getInfo.php?workbook=12_04.xlsx&amp;sheet=U0&amp;row=4993&amp;col=6&amp;number=3.9&amp;sourceID=14","3.9")</f>
        <v>3.9</v>
      </c>
      <c r="G4993" s="4" t="str">
        <f>HYPERLINK("http://141.218.60.56/~jnz1568/getInfo.php?workbook=12_04.xlsx&amp;sheet=U0&amp;row=4993&amp;col=7&amp;number=0.00738&amp;sourceID=14","0.00738")</f>
        <v>0.00738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HYPERLINK("http://141.218.60.56/~jnz1568/getInfo.php?workbook=12_04.xlsx&amp;sheet=U0&amp;row=4994&amp;col=6&amp;number=4&amp;sourceID=14","4")</f>
        <v>4</v>
      </c>
      <c r="G4994" s="4" t="str">
        <f>HYPERLINK("http://141.218.60.56/~jnz1568/getInfo.php?workbook=12_04.xlsx&amp;sheet=U0&amp;row=4994&amp;col=7&amp;number=0.00735&amp;sourceID=14","0.00735")</f>
        <v>0.00735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HYPERLINK("http://141.218.60.56/~jnz1568/getInfo.php?workbook=12_04.xlsx&amp;sheet=U0&amp;row=4995&amp;col=6&amp;number=4.1&amp;sourceID=14","4.1")</f>
        <v>4.1</v>
      </c>
      <c r="G4995" s="4" t="str">
        <f>HYPERLINK("http://141.218.60.56/~jnz1568/getInfo.php?workbook=12_04.xlsx&amp;sheet=U0&amp;row=4995&amp;col=7&amp;number=0.00731&amp;sourceID=14","0.00731")</f>
        <v>0.00731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HYPERLINK("http://141.218.60.56/~jnz1568/getInfo.php?workbook=12_04.xlsx&amp;sheet=U0&amp;row=4996&amp;col=6&amp;number=4.2&amp;sourceID=14","4.2")</f>
        <v>4.2</v>
      </c>
      <c r="G4996" s="4" t="str">
        <f>HYPERLINK("http://141.218.60.56/~jnz1568/getInfo.php?workbook=12_04.xlsx&amp;sheet=U0&amp;row=4996&amp;col=7&amp;number=0.00727&amp;sourceID=14","0.00727")</f>
        <v>0.00727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HYPERLINK("http://141.218.60.56/~jnz1568/getInfo.php?workbook=12_04.xlsx&amp;sheet=U0&amp;row=4997&amp;col=6&amp;number=4.3&amp;sourceID=14","4.3")</f>
        <v>4.3</v>
      </c>
      <c r="G4997" s="4" t="str">
        <f>HYPERLINK("http://141.218.60.56/~jnz1568/getInfo.php?workbook=12_04.xlsx&amp;sheet=U0&amp;row=4997&amp;col=7&amp;number=0.00721&amp;sourceID=14","0.00721")</f>
        <v>0.00721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HYPERLINK("http://141.218.60.56/~jnz1568/getInfo.php?workbook=12_04.xlsx&amp;sheet=U0&amp;row=4998&amp;col=6&amp;number=4.4&amp;sourceID=14","4.4")</f>
        <v>4.4</v>
      </c>
      <c r="G4998" s="4" t="str">
        <f>HYPERLINK("http://141.218.60.56/~jnz1568/getInfo.php?workbook=12_04.xlsx&amp;sheet=U0&amp;row=4998&amp;col=7&amp;number=0.00713&amp;sourceID=14","0.00713")</f>
        <v>0.00713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HYPERLINK("http://141.218.60.56/~jnz1568/getInfo.php?workbook=12_04.xlsx&amp;sheet=U0&amp;row=4999&amp;col=6&amp;number=4.5&amp;sourceID=14","4.5")</f>
        <v>4.5</v>
      </c>
      <c r="G4999" s="4" t="str">
        <f>HYPERLINK("http://141.218.60.56/~jnz1568/getInfo.php?workbook=12_04.xlsx&amp;sheet=U0&amp;row=4999&amp;col=7&amp;number=0.00704&amp;sourceID=14","0.00704")</f>
        <v>0.00704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HYPERLINK("http://141.218.60.56/~jnz1568/getInfo.php?workbook=12_04.xlsx&amp;sheet=U0&amp;row=5000&amp;col=6&amp;number=4.6&amp;sourceID=14","4.6")</f>
        <v>4.6</v>
      </c>
      <c r="G5000" s="4" t="str">
        <f>HYPERLINK("http://141.218.60.56/~jnz1568/getInfo.php?workbook=12_04.xlsx&amp;sheet=U0&amp;row=5000&amp;col=7&amp;number=0.00693&amp;sourceID=14","0.00693")</f>
        <v>0.00693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HYPERLINK("http://141.218.60.56/~jnz1568/getInfo.php?workbook=12_04.xlsx&amp;sheet=U0&amp;row=5001&amp;col=6&amp;number=4.7&amp;sourceID=14","4.7")</f>
        <v>4.7</v>
      </c>
      <c r="G5001" s="4" t="str">
        <f>HYPERLINK("http://141.218.60.56/~jnz1568/getInfo.php?workbook=12_04.xlsx&amp;sheet=U0&amp;row=5001&amp;col=7&amp;number=0.00679&amp;sourceID=14","0.00679")</f>
        <v>0.00679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HYPERLINK("http://141.218.60.56/~jnz1568/getInfo.php?workbook=12_04.xlsx&amp;sheet=U0&amp;row=5002&amp;col=6&amp;number=4.8&amp;sourceID=14","4.8")</f>
        <v>4.8</v>
      </c>
      <c r="G5002" s="4" t="str">
        <f>HYPERLINK("http://141.218.60.56/~jnz1568/getInfo.php?workbook=12_04.xlsx&amp;sheet=U0&amp;row=5002&amp;col=7&amp;number=0.00662&amp;sourceID=14","0.00662")</f>
        <v>0.00662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HYPERLINK("http://141.218.60.56/~jnz1568/getInfo.php?workbook=12_04.xlsx&amp;sheet=U0&amp;row=5003&amp;col=6&amp;number=4.9&amp;sourceID=14","4.9")</f>
        <v>4.9</v>
      </c>
      <c r="G5003" s="4" t="str">
        <f>HYPERLINK("http://141.218.60.56/~jnz1568/getInfo.php?workbook=12_04.xlsx&amp;sheet=U0&amp;row=5003&amp;col=7&amp;number=0.00642&amp;sourceID=14","0.00642")</f>
        <v>0.00642</v>
      </c>
    </row>
    <row r="5004" spans="1:7">
      <c r="A5004" s="3">
        <v>12</v>
      </c>
      <c r="B5004" s="3">
        <v>4</v>
      </c>
      <c r="C5004" s="3">
        <v>3</v>
      </c>
      <c r="D5004" s="3">
        <v>61</v>
      </c>
      <c r="E5004" s="3">
        <v>1</v>
      </c>
      <c r="F5004" s="4" t="str">
        <f>HYPERLINK("http://141.218.60.56/~jnz1568/getInfo.php?workbook=12_04.xlsx&amp;sheet=U0&amp;row=5004&amp;col=6&amp;number=3&amp;sourceID=14","3")</f>
        <v>3</v>
      </c>
      <c r="G5004" s="4" t="str">
        <f>HYPERLINK("http://141.218.60.56/~jnz1568/getInfo.php?workbook=12_04.xlsx&amp;sheet=U0&amp;row=5004&amp;col=7&amp;number=0.00406&amp;sourceID=14","0.00406")</f>
        <v>0.00406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HYPERLINK("http://141.218.60.56/~jnz1568/getInfo.php?workbook=12_04.xlsx&amp;sheet=U0&amp;row=5005&amp;col=6&amp;number=3.1&amp;sourceID=14","3.1")</f>
        <v>3.1</v>
      </c>
      <c r="G5005" s="4" t="str">
        <f>HYPERLINK("http://141.218.60.56/~jnz1568/getInfo.php?workbook=12_04.xlsx&amp;sheet=U0&amp;row=5005&amp;col=7&amp;number=0.00406&amp;sourceID=14","0.00406")</f>
        <v>0.00406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HYPERLINK("http://141.218.60.56/~jnz1568/getInfo.php?workbook=12_04.xlsx&amp;sheet=U0&amp;row=5006&amp;col=6&amp;number=3.2&amp;sourceID=14","3.2")</f>
        <v>3.2</v>
      </c>
      <c r="G5006" s="4" t="str">
        <f>HYPERLINK("http://141.218.60.56/~jnz1568/getInfo.php?workbook=12_04.xlsx&amp;sheet=U0&amp;row=5006&amp;col=7&amp;number=0.00405&amp;sourceID=14","0.00405")</f>
        <v>0.00405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HYPERLINK("http://141.218.60.56/~jnz1568/getInfo.php?workbook=12_04.xlsx&amp;sheet=U0&amp;row=5007&amp;col=6&amp;number=3.3&amp;sourceID=14","3.3")</f>
        <v>3.3</v>
      </c>
      <c r="G5007" s="4" t="str">
        <f>HYPERLINK("http://141.218.60.56/~jnz1568/getInfo.php?workbook=12_04.xlsx&amp;sheet=U0&amp;row=5007&amp;col=7&amp;number=0.00404&amp;sourceID=14","0.00404")</f>
        <v>0.00404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HYPERLINK("http://141.218.60.56/~jnz1568/getInfo.php?workbook=12_04.xlsx&amp;sheet=U0&amp;row=5008&amp;col=6&amp;number=3.4&amp;sourceID=14","3.4")</f>
        <v>3.4</v>
      </c>
      <c r="G5008" s="4" t="str">
        <f>HYPERLINK("http://141.218.60.56/~jnz1568/getInfo.php?workbook=12_04.xlsx&amp;sheet=U0&amp;row=5008&amp;col=7&amp;number=0.00403&amp;sourceID=14","0.00403")</f>
        <v>0.00403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HYPERLINK("http://141.218.60.56/~jnz1568/getInfo.php?workbook=12_04.xlsx&amp;sheet=U0&amp;row=5009&amp;col=6&amp;number=3.5&amp;sourceID=14","3.5")</f>
        <v>3.5</v>
      </c>
      <c r="G5009" s="4" t="str">
        <f>HYPERLINK("http://141.218.60.56/~jnz1568/getInfo.php?workbook=12_04.xlsx&amp;sheet=U0&amp;row=5009&amp;col=7&amp;number=0.00401&amp;sourceID=14","0.00401")</f>
        <v>0.00401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HYPERLINK("http://141.218.60.56/~jnz1568/getInfo.php?workbook=12_04.xlsx&amp;sheet=U0&amp;row=5010&amp;col=6&amp;number=3.6&amp;sourceID=14","3.6")</f>
        <v>3.6</v>
      </c>
      <c r="G5010" s="4" t="str">
        <f>HYPERLINK("http://141.218.60.56/~jnz1568/getInfo.php?workbook=12_04.xlsx&amp;sheet=U0&amp;row=5010&amp;col=7&amp;number=0.00399&amp;sourceID=14","0.00399")</f>
        <v>0.00399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HYPERLINK("http://141.218.60.56/~jnz1568/getInfo.php?workbook=12_04.xlsx&amp;sheet=U0&amp;row=5011&amp;col=6&amp;number=3.7&amp;sourceID=14","3.7")</f>
        <v>3.7</v>
      </c>
      <c r="G5011" s="4" t="str">
        <f>HYPERLINK("http://141.218.60.56/~jnz1568/getInfo.php?workbook=12_04.xlsx&amp;sheet=U0&amp;row=5011&amp;col=7&amp;number=0.00397&amp;sourceID=14","0.00397")</f>
        <v>0.00397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HYPERLINK("http://141.218.60.56/~jnz1568/getInfo.php?workbook=12_04.xlsx&amp;sheet=U0&amp;row=5012&amp;col=6&amp;number=3.8&amp;sourceID=14","3.8")</f>
        <v>3.8</v>
      </c>
      <c r="G5012" s="4" t="str">
        <f>HYPERLINK("http://141.218.60.56/~jnz1568/getInfo.php?workbook=12_04.xlsx&amp;sheet=U0&amp;row=5012&amp;col=7&amp;number=0.00394&amp;sourceID=14","0.00394")</f>
        <v>0.00394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HYPERLINK("http://141.218.60.56/~jnz1568/getInfo.php?workbook=12_04.xlsx&amp;sheet=U0&amp;row=5013&amp;col=6&amp;number=3.9&amp;sourceID=14","3.9")</f>
        <v>3.9</v>
      </c>
      <c r="G5013" s="4" t="str">
        <f>HYPERLINK("http://141.218.60.56/~jnz1568/getInfo.php?workbook=12_04.xlsx&amp;sheet=U0&amp;row=5013&amp;col=7&amp;number=0.0039&amp;sourceID=14","0.0039")</f>
        <v>0.0039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HYPERLINK("http://141.218.60.56/~jnz1568/getInfo.php?workbook=12_04.xlsx&amp;sheet=U0&amp;row=5014&amp;col=6&amp;number=4&amp;sourceID=14","4")</f>
        <v>4</v>
      </c>
      <c r="G5014" s="4" t="str">
        <f>HYPERLINK("http://141.218.60.56/~jnz1568/getInfo.php?workbook=12_04.xlsx&amp;sheet=U0&amp;row=5014&amp;col=7&amp;number=0.00385&amp;sourceID=14","0.00385")</f>
        <v>0.00385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HYPERLINK("http://141.218.60.56/~jnz1568/getInfo.php?workbook=12_04.xlsx&amp;sheet=U0&amp;row=5015&amp;col=6&amp;number=4.1&amp;sourceID=14","4.1")</f>
        <v>4.1</v>
      </c>
      <c r="G5015" s="4" t="str">
        <f>HYPERLINK("http://141.218.60.56/~jnz1568/getInfo.php?workbook=12_04.xlsx&amp;sheet=U0&amp;row=5015&amp;col=7&amp;number=0.00379&amp;sourceID=14","0.00379")</f>
        <v>0.00379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HYPERLINK("http://141.218.60.56/~jnz1568/getInfo.php?workbook=12_04.xlsx&amp;sheet=U0&amp;row=5016&amp;col=6&amp;number=4.2&amp;sourceID=14","4.2")</f>
        <v>4.2</v>
      </c>
      <c r="G5016" s="4" t="str">
        <f>HYPERLINK("http://141.218.60.56/~jnz1568/getInfo.php?workbook=12_04.xlsx&amp;sheet=U0&amp;row=5016&amp;col=7&amp;number=0.00372&amp;sourceID=14","0.00372")</f>
        <v>0.00372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HYPERLINK("http://141.218.60.56/~jnz1568/getInfo.php?workbook=12_04.xlsx&amp;sheet=U0&amp;row=5017&amp;col=6&amp;number=4.3&amp;sourceID=14","4.3")</f>
        <v>4.3</v>
      </c>
      <c r="G5017" s="4" t="str">
        <f>HYPERLINK("http://141.218.60.56/~jnz1568/getInfo.php?workbook=12_04.xlsx&amp;sheet=U0&amp;row=5017&amp;col=7&amp;number=0.00362&amp;sourceID=14","0.00362")</f>
        <v>0.00362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HYPERLINK("http://141.218.60.56/~jnz1568/getInfo.php?workbook=12_04.xlsx&amp;sheet=U0&amp;row=5018&amp;col=6&amp;number=4.4&amp;sourceID=14","4.4")</f>
        <v>4.4</v>
      </c>
      <c r="G5018" s="4" t="str">
        <f>HYPERLINK("http://141.218.60.56/~jnz1568/getInfo.php?workbook=12_04.xlsx&amp;sheet=U0&amp;row=5018&amp;col=7&amp;number=0.00351&amp;sourceID=14","0.00351")</f>
        <v>0.00351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HYPERLINK("http://141.218.60.56/~jnz1568/getInfo.php?workbook=12_04.xlsx&amp;sheet=U0&amp;row=5019&amp;col=6&amp;number=4.5&amp;sourceID=14","4.5")</f>
        <v>4.5</v>
      </c>
      <c r="G5019" s="4" t="str">
        <f>HYPERLINK("http://141.218.60.56/~jnz1568/getInfo.php?workbook=12_04.xlsx&amp;sheet=U0&amp;row=5019&amp;col=7&amp;number=0.00336&amp;sourceID=14","0.00336")</f>
        <v>0.00336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HYPERLINK("http://141.218.60.56/~jnz1568/getInfo.php?workbook=12_04.xlsx&amp;sheet=U0&amp;row=5020&amp;col=6&amp;number=4.6&amp;sourceID=14","4.6")</f>
        <v>4.6</v>
      </c>
      <c r="G5020" s="4" t="str">
        <f>HYPERLINK("http://141.218.60.56/~jnz1568/getInfo.php?workbook=12_04.xlsx&amp;sheet=U0&amp;row=5020&amp;col=7&amp;number=0.00318&amp;sourceID=14","0.00318")</f>
        <v>0.00318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HYPERLINK("http://141.218.60.56/~jnz1568/getInfo.php?workbook=12_04.xlsx&amp;sheet=U0&amp;row=5021&amp;col=6&amp;number=4.7&amp;sourceID=14","4.7")</f>
        <v>4.7</v>
      </c>
      <c r="G5021" s="4" t="str">
        <f>HYPERLINK("http://141.218.60.56/~jnz1568/getInfo.php?workbook=12_04.xlsx&amp;sheet=U0&amp;row=5021&amp;col=7&amp;number=0.00297&amp;sourceID=14","0.00297")</f>
        <v>0.00297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HYPERLINK("http://141.218.60.56/~jnz1568/getInfo.php?workbook=12_04.xlsx&amp;sheet=U0&amp;row=5022&amp;col=6&amp;number=4.8&amp;sourceID=14","4.8")</f>
        <v>4.8</v>
      </c>
      <c r="G5022" s="4" t="str">
        <f>HYPERLINK("http://141.218.60.56/~jnz1568/getInfo.php?workbook=12_04.xlsx&amp;sheet=U0&amp;row=5022&amp;col=7&amp;number=0.00271&amp;sourceID=14","0.00271")</f>
        <v>0.00271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HYPERLINK("http://141.218.60.56/~jnz1568/getInfo.php?workbook=12_04.xlsx&amp;sheet=U0&amp;row=5023&amp;col=6&amp;number=4.9&amp;sourceID=14","4.9")</f>
        <v>4.9</v>
      </c>
      <c r="G5023" s="4" t="str">
        <f>HYPERLINK("http://141.218.60.56/~jnz1568/getInfo.php?workbook=12_04.xlsx&amp;sheet=U0&amp;row=5023&amp;col=7&amp;number=0.00241&amp;sourceID=14","0.00241")</f>
        <v>0.00241</v>
      </c>
    </row>
    <row r="5024" spans="1:7">
      <c r="A5024" s="3">
        <v>12</v>
      </c>
      <c r="B5024" s="3">
        <v>4</v>
      </c>
      <c r="C5024" s="3">
        <v>3</v>
      </c>
      <c r="D5024" s="3">
        <v>62</v>
      </c>
      <c r="E5024" s="3">
        <v>1</v>
      </c>
      <c r="F5024" s="4" t="str">
        <f>HYPERLINK("http://141.218.60.56/~jnz1568/getInfo.php?workbook=12_04.xlsx&amp;sheet=U0&amp;row=5024&amp;col=6&amp;number=3&amp;sourceID=14","3")</f>
        <v>3</v>
      </c>
      <c r="G5024" s="4" t="str">
        <f>HYPERLINK("http://141.218.60.56/~jnz1568/getInfo.php?workbook=12_04.xlsx&amp;sheet=U0&amp;row=5024&amp;col=7&amp;number=0.0296&amp;sourceID=14","0.0296")</f>
        <v>0.0296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HYPERLINK("http://141.218.60.56/~jnz1568/getInfo.php?workbook=12_04.xlsx&amp;sheet=U0&amp;row=5025&amp;col=6&amp;number=3.1&amp;sourceID=14","3.1")</f>
        <v>3.1</v>
      </c>
      <c r="G5025" s="4" t="str">
        <f>HYPERLINK("http://141.218.60.56/~jnz1568/getInfo.php?workbook=12_04.xlsx&amp;sheet=U0&amp;row=5025&amp;col=7&amp;number=0.0295&amp;sourceID=14","0.0295")</f>
        <v>0.0295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HYPERLINK("http://141.218.60.56/~jnz1568/getInfo.php?workbook=12_04.xlsx&amp;sheet=U0&amp;row=5026&amp;col=6&amp;number=3.2&amp;sourceID=14","3.2")</f>
        <v>3.2</v>
      </c>
      <c r="G5026" s="4" t="str">
        <f>HYPERLINK("http://141.218.60.56/~jnz1568/getInfo.php?workbook=12_04.xlsx&amp;sheet=U0&amp;row=5026&amp;col=7&amp;number=0.0295&amp;sourceID=14","0.0295")</f>
        <v>0.0295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HYPERLINK("http://141.218.60.56/~jnz1568/getInfo.php?workbook=12_04.xlsx&amp;sheet=U0&amp;row=5027&amp;col=6&amp;number=3.3&amp;sourceID=14","3.3")</f>
        <v>3.3</v>
      </c>
      <c r="G5027" s="4" t="str">
        <f>HYPERLINK("http://141.218.60.56/~jnz1568/getInfo.php?workbook=12_04.xlsx&amp;sheet=U0&amp;row=5027&amp;col=7&amp;number=0.0294&amp;sourceID=14","0.0294")</f>
        <v>0.0294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HYPERLINK("http://141.218.60.56/~jnz1568/getInfo.php?workbook=12_04.xlsx&amp;sheet=U0&amp;row=5028&amp;col=6&amp;number=3.4&amp;sourceID=14","3.4")</f>
        <v>3.4</v>
      </c>
      <c r="G5028" s="4" t="str">
        <f>HYPERLINK("http://141.218.60.56/~jnz1568/getInfo.php?workbook=12_04.xlsx&amp;sheet=U0&amp;row=5028&amp;col=7&amp;number=0.0294&amp;sourceID=14","0.0294")</f>
        <v>0.0294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HYPERLINK("http://141.218.60.56/~jnz1568/getInfo.php?workbook=12_04.xlsx&amp;sheet=U0&amp;row=5029&amp;col=6&amp;number=3.5&amp;sourceID=14","3.5")</f>
        <v>3.5</v>
      </c>
      <c r="G5029" s="4" t="str">
        <f>HYPERLINK("http://141.218.60.56/~jnz1568/getInfo.php?workbook=12_04.xlsx&amp;sheet=U0&amp;row=5029&amp;col=7&amp;number=0.0293&amp;sourceID=14","0.0293")</f>
        <v>0.0293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HYPERLINK("http://141.218.60.56/~jnz1568/getInfo.php?workbook=12_04.xlsx&amp;sheet=U0&amp;row=5030&amp;col=6&amp;number=3.6&amp;sourceID=14","3.6")</f>
        <v>3.6</v>
      </c>
      <c r="G5030" s="4" t="str">
        <f>HYPERLINK("http://141.218.60.56/~jnz1568/getInfo.php?workbook=12_04.xlsx&amp;sheet=U0&amp;row=5030&amp;col=7&amp;number=0.0292&amp;sourceID=14","0.0292")</f>
        <v>0.0292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HYPERLINK("http://141.218.60.56/~jnz1568/getInfo.php?workbook=12_04.xlsx&amp;sheet=U0&amp;row=5031&amp;col=6&amp;number=3.7&amp;sourceID=14","3.7")</f>
        <v>3.7</v>
      </c>
      <c r="G5031" s="4" t="str">
        <f>HYPERLINK("http://141.218.60.56/~jnz1568/getInfo.php?workbook=12_04.xlsx&amp;sheet=U0&amp;row=5031&amp;col=7&amp;number=0.0291&amp;sourceID=14","0.0291")</f>
        <v>0.0291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HYPERLINK("http://141.218.60.56/~jnz1568/getInfo.php?workbook=12_04.xlsx&amp;sheet=U0&amp;row=5032&amp;col=6&amp;number=3.8&amp;sourceID=14","3.8")</f>
        <v>3.8</v>
      </c>
      <c r="G5032" s="4" t="str">
        <f>HYPERLINK("http://141.218.60.56/~jnz1568/getInfo.php?workbook=12_04.xlsx&amp;sheet=U0&amp;row=5032&amp;col=7&amp;number=0.0289&amp;sourceID=14","0.0289")</f>
        <v>0.0289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HYPERLINK("http://141.218.60.56/~jnz1568/getInfo.php?workbook=12_04.xlsx&amp;sheet=U0&amp;row=5033&amp;col=6&amp;number=3.9&amp;sourceID=14","3.9")</f>
        <v>3.9</v>
      </c>
      <c r="G5033" s="4" t="str">
        <f>HYPERLINK("http://141.218.60.56/~jnz1568/getInfo.php?workbook=12_04.xlsx&amp;sheet=U0&amp;row=5033&amp;col=7&amp;number=0.0287&amp;sourceID=14","0.0287")</f>
        <v>0.0287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HYPERLINK("http://141.218.60.56/~jnz1568/getInfo.php?workbook=12_04.xlsx&amp;sheet=U0&amp;row=5034&amp;col=6&amp;number=4&amp;sourceID=14","4")</f>
        <v>4</v>
      </c>
      <c r="G5034" s="4" t="str">
        <f>HYPERLINK("http://141.218.60.56/~jnz1568/getInfo.php?workbook=12_04.xlsx&amp;sheet=U0&amp;row=5034&amp;col=7&amp;number=0.0285&amp;sourceID=14","0.0285")</f>
        <v>0.0285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HYPERLINK("http://141.218.60.56/~jnz1568/getInfo.php?workbook=12_04.xlsx&amp;sheet=U0&amp;row=5035&amp;col=6&amp;number=4.1&amp;sourceID=14","4.1")</f>
        <v>4.1</v>
      </c>
      <c r="G5035" s="4" t="str">
        <f>HYPERLINK("http://141.218.60.56/~jnz1568/getInfo.php?workbook=12_04.xlsx&amp;sheet=U0&amp;row=5035&amp;col=7&amp;number=0.0281&amp;sourceID=14","0.0281")</f>
        <v>0.0281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HYPERLINK("http://141.218.60.56/~jnz1568/getInfo.php?workbook=12_04.xlsx&amp;sheet=U0&amp;row=5036&amp;col=6&amp;number=4.2&amp;sourceID=14","4.2")</f>
        <v>4.2</v>
      </c>
      <c r="G5036" s="4" t="str">
        <f>HYPERLINK("http://141.218.60.56/~jnz1568/getInfo.php?workbook=12_04.xlsx&amp;sheet=U0&amp;row=5036&amp;col=7&amp;number=0.0278&amp;sourceID=14","0.0278")</f>
        <v>0.0278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HYPERLINK("http://141.218.60.56/~jnz1568/getInfo.php?workbook=12_04.xlsx&amp;sheet=U0&amp;row=5037&amp;col=6&amp;number=4.3&amp;sourceID=14","4.3")</f>
        <v>4.3</v>
      </c>
      <c r="G5037" s="4" t="str">
        <f>HYPERLINK("http://141.218.60.56/~jnz1568/getInfo.php?workbook=12_04.xlsx&amp;sheet=U0&amp;row=5037&amp;col=7&amp;number=0.0273&amp;sourceID=14","0.0273")</f>
        <v>0.0273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HYPERLINK("http://141.218.60.56/~jnz1568/getInfo.php?workbook=12_04.xlsx&amp;sheet=U0&amp;row=5038&amp;col=6&amp;number=4.4&amp;sourceID=14","4.4")</f>
        <v>4.4</v>
      </c>
      <c r="G5038" s="4" t="str">
        <f>HYPERLINK("http://141.218.60.56/~jnz1568/getInfo.php?workbook=12_04.xlsx&amp;sheet=U0&amp;row=5038&amp;col=7&amp;number=0.0267&amp;sourceID=14","0.0267")</f>
        <v>0.0267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HYPERLINK("http://141.218.60.56/~jnz1568/getInfo.php?workbook=12_04.xlsx&amp;sheet=U0&amp;row=5039&amp;col=6&amp;number=4.5&amp;sourceID=14","4.5")</f>
        <v>4.5</v>
      </c>
      <c r="G5039" s="4" t="str">
        <f>HYPERLINK("http://141.218.60.56/~jnz1568/getInfo.php?workbook=12_04.xlsx&amp;sheet=U0&amp;row=5039&amp;col=7&amp;number=0.026&amp;sourceID=14","0.026")</f>
        <v>0.026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HYPERLINK("http://141.218.60.56/~jnz1568/getInfo.php?workbook=12_04.xlsx&amp;sheet=U0&amp;row=5040&amp;col=6&amp;number=4.6&amp;sourceID=14","4.6")</f>
        <v>4.6</v>
      </c>
      <c r="G5040" s="4" t="str">
        <f>HYPERLINK("http://141.218.60.56/~jnz1568/getInfo.php?workbook=12_04.xlsx&amp;sheet=U0&amp;row=5040&amp;col=7&amp;number=0.0252&amp;sourceID=14","0.0252")</f>
        <v>0.0252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HYPERLINK("http://141.218.60.56/~jnz1568/getInfo.php?workbook=12_04.xlsx&amp;sheet=U0&amp;row=5041&amp;col=6&amp;number=4.7&amp;sourceID=14","4.7")</f>
        <v>4.7</v>
      </c>
      <c r="G5041" s="4" t="str">
        <f>HYPERLINK("http://141.218.60.56/~jnz1568/getInfo.php?workbook=12_04.xlsx&amp;sheet=U0&amp;row=5041&amp;col=7&amp;number=0.0242&amp;sourceID=14","0.0242")</f>
        <v>0.0242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HYPERLINK("http://141.218.60.56/~jnz1568/getInfo.php?workbook=12_04.xlsx&amp;sheet=U0&amp;row=5042&amp;col=6&amp;number=4.8&amp;sourceID=14","4.8")</f>
        <v>4.8</v>
      </c>
      <c r="G5042" s="4" t="str">
        <f>HYPERLINK("http://141.218.60.56/~jnz1568/getInfo.php?workbook=12_04.xlsx&amp;sheet=U0&amp;row=5042&amp;col=7&amp;number=0.0231&amp;sourceID=14","0.0231")</f>
        <v>0.0231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HYPERLINK("http://141.218.60.56/~jnz1568/getInfo.php?workbook=12_04.xlsx&amp;sheet=U0&amp;row=5043&amp;col=6&amp;number=4.9&amp;sourceID=14","4.9")</f>
        <v>4.9</v>
      </c>
      <c r="G5043" s="4" t="str">
        <f>HYPERLINK("http://141.218.60.56/~jnz1568/getInfo.php?workbook=12_04.xlsx&amp;sheet=U0&amp;row=5043&amp;col=7&amp;number=0.0221&amp;sourceID=14","0.0221")</f>
        <v>0.0221</v>
      </c>
    </row>
    <row r="5044" spans="1:7">
      <c r="A5044" s="3">
        <v>12</v>
      </c>
      <c r="B5044" s="3">
        <v>4</v>
      </c>
      <c r="C5044" s="3">
        <v>3</v>
      </c>
      <c r="D5044" s="3">
        <v>63</v>
      </c>
      <c r="E5044" s="3">
        <v>1</v>
      </c>
      <c r="F5044" s="4" t="str">
        <f>HYPERLINK("http://141.218.60.56/~jnz1568/getInfo.php?workbook=12_04.xlsx&amp;sheet=U0&amp;row=5044&amp;col=6&amp;number=3&amp;sourceID=14","3")</f>
        <v>3</v>
      </c>
      <c r="G5044" s="4" t="str">
        <f>HYPERLINK("http://141.218.60.56/~jnz1568/getInfo.php?workbook=12_04.xlsx&amp;sheet=U0&amp;row=5044&amp;col=7&amp;number=0.00978&amp;sourceID=14","0.00978")</f>
        <v>0.00978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HYPERLINK("http://141.218.60.56/~jnz1568/getInfo.php?workbook=12_04.xlsx&amp;sheet=U0&amp;row=5045&amp;col=6&amp;number=3.1&amp;sourceID=14","3.1")</f>
        <v>3.1</v>
      </c>
      <c r="G5045" s="4" t="str">
        <f>HYPERLINK("http://141.218.60.56/~jnz1568/getInfo.php?workbook=12_04.xlsx&amp;sheet=U0&amp;row=5045&amp;col=7&amp;number=0.00975&amp;sourceID=14","0.00975")</f>
        <v>0.00975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HYPERLINK("http://141.218.60.56/~jnz1568/getInfo.php?workbook=12_04.xlsx&amp;sheet=U0&amp;row=5046&amp;col=6&amp;number=3.2&amp;sourceID=14","3.2")</f>
        <v>3.2</v>
      </c>
      <c r="G5046" s="4" t="str">
        <f>HYPERLINK("http://141.218.60.56/~jnz1568/getInfo.php?workbook=12_04.xlsx&amp;sheet=U0&amp;row=5046&amp;col=7&amp;number=0.00972&amp;sourceID=14","0.00972")</f>
        <v>0.00972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HYPERLINK("http://141.218.60.56/~jnz1568/getInfo.php?workbook=12_04.xlsx&amp;sheet=U0&amp;row=5047&amp;col=6&amp;number=3.3&amp;sourceID=14","3.3")</f>
        <v>3.3</v>
      </c>
      <c r="G5047" s="4" t="str">
        <f>HYPERLINK("http://141.218.60.56/~jnz1568/getInfo.php?workbook=12_04.xlsx&amp;sheet=U0&amp;row=5047&amp;col=7&amp;number=0.00968&amp;sourceID=14","0.00968")</f>
        <v>0.00968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HYPERLINK("http://141.218.60.56/~jnz1568/getInfo.php?workbook=12_04.xlsx&amp;sheet=U0&amp;row=5048&amp;col=6&amp;number=3.4&amp;sourceID=14","3.4")</f>
        <v>3.4</v>
      </c>
      <c r="G5048" s="4" t="str">
        <f>HYPERLINK("http://141.218.60.56/~jnz1568/getInfo.php?workbook=12_04.xlsx&amp;sheet=U0&amp;row=5048&amp;col=7&amp;number=0.00963&amp;sourceID=14","0.00963")</f>
        <v>0.00963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HYPERLINK("http://141.218.60.56/~jnz1568/getInfo.php?workbook=12_04.xlsx&amp;sheet=U0&amp;row=5049&amp;col=6&amp;number=3.5&amp;sourceID=14","3.5")</f>
        <v>3.5</v>
      </c>
      <c r="G5049" s="4" t="str">
        <f>HYPERLINK("http://141.218.60.56/~jnz1568/getInfo.php?workbook=12_04.xlsx&amp;sheet=U0&amp;row=5049&amp;col=7&amp;number=0.00957&amp;sourceID=14","0.00957")</f>
        <v>0.00957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HYPERLINK("http://141.218.60.56/~jnz1568/getInfo.php?workbook=12_04.xlsx&amp;sheet=U0&amp;row=5050&amp;col=6&amp;number=3.6&amp;sourceID=14","3.6")</f>
        <v>3.6</v>
      </c>
      <c r="G5050" s="4" t="str">
        <f>HYPERLINK("http://141.218.60.56/~jnz1568/getInfo.php?workbook=12_04.xlsx&amp;sheet=U0&amp;row=5050&amp;col=7&amp;number=0.00949&amp;sourceID=14","0.00949")</f>
        <v>0.00949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HYPERLINK("http://141.218.60.56/~jnz1568/getInfo.php?workbook=12_04.xlsx&amp;sheet=U0&amp;row=5051&amp;col=6&amp;number=3.7&amp;sourceID=14","3.7")</f>
        <v>3.7</v>
      </c>
      <c r="G5051" s="4" t="str">
        <f>HYPERLINK("http://141.218.60.56/~jnz1568/getInfo.php?workbook=12_04.xlsx&amp;sheet=U0&amp;row=5051&amp;col=7&amp;number=0.00939&amp;sourceID=14","0.00939")</f>
        <v>0.00939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HYPERLINK("http://141.218.60.56/~jnz1568/getInfo.php?workbook=12_04.xlsx&amp;sheet=U0&amp;row=5052&amp;col=6&amp;number=3.8&amp;sourceID=14","3.8")</f>
        <v>3.8</v>
      </c>
      <c r="G5052" s="4" t="str">
        <f>HYPERLINK("http://141.218.60.56/~jnz1568/getInfo.php?workbook=12_04.xlsx&amp;sheet=U0&amp;row=5052&amp;col=7&amp;number=0.00926&amp;sourceID=14","0.00926")</f>
        <v>0.00926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HYPERLINK("http://141.218.60.56/~jnz1568/getInfo.php?workbook=12_04.xlsx&amp;sheet=U0&amp;row=5053&amp;col=6&amp;number=3.9&amp;sourceID=14","3.9")</f>
        <v>3.9</v>
      </c>
      <c r="G5053" s="4" t="str">
        <f>HYPERLINK("http://141.218.60.56/~jnz1568/getInfo.php?workbook=12_04.xlsx&amp;sheet=U0&amp;row=5053&amp;col=7&amp;number=0.00911&amp;sourceID=14","0.00911")</f>
        <v>0.00911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HYPERLINK("http://141.218.60.56/~jnz1568/getInfo.php?workbook=12_04.xlsx&amp;sheet=U0&amp;row=5054&amp;col=6&amp;number=4&amp;sourceID=14","4")</f>
        <v>4</v>
      </c>
      <c r="G5054" s="4" t="str">
        <f>HYPERLINK("http://141.218.60.56/~jnz1568/getInfo.php?workbook=12_04.xlsx&amp;sheet=U0&amp;row=5054&amp;col=7&amp;number=0.00891&amp;sourceID=14","0.00891")</f>
        <v>0.00891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HYPERLINK("http://141.218.60.56/~jnz1568/getInfo.php?workbook=12_04.xlsx&amp;sheet=U0&amp;row=5055&amp;col=6&amp;number=4.1&amp;sourceID=14","4.1")</f>
        <v>4.1</v>
      </c>
      <c r="G5055" s="4" t="str">
        <f>HYPERLINK("http://141.218.60.56/~jnz1568/getInfo.php?workbook=12_04.xlsx&amp;sheet=U0&amp;row=5055&amp;col=7&amp;number=0.00867&amp;sourceID=14","0.00867")</f>
        <v>0.00867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HYPERLINK("http://141.218.60.56/~jnz1568/getInfo.php?workbook=12_04.xlsx&amp;sheet=U0&amp;row=5056&amp;col=6&amp;number=4.2&amp;sourceID=14","4.2")</f>
        <v>4.2</v>
      </c>
      <c r="G5056" s="4" t="str">
        <f>HYPERLINK("http://141.218.60.56/~jnz1568/getInfo.php?workbook=12_04.xlsx&amp;sheet=U0&amp;row=5056&amp;col=7&amp;number=0.00837&amp;sourceID=14","0.00837")</f>
        <v>0.00837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HYPERLINK("http://141.218.60.56/~jnz1568/getInfo.php?workbook=12_04.xlsx&amp;sheet=U0&amp;row=5057&amp;col=6&amp;number=4.3&amp;sourceID=14","4.3")</f>
        <v>4.3</v>
      </c>
      <c r="G5057" s="4" t="str">
        <f>HYPERLINK("http://141.218.60.56/~jnz1568/getInfo.php?workbook=12_04.xlsx&amp;sheet=U0&amp;row=5057&amp;col=7&amp;number=0.008&amp;sourceID=14","0.008")</f>
        <v>0.008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HYPERLINK("http://141.218.60.56/~jnz1568/getInfo.php?workbook=12_04.xlsx&amp;sheet=U0&amp;row=5058&amp;col=6&amp;number=4.4&amp;sourceID=14","4.4")</f>
        <v>4.4</v>
      </c>
      <c r="G5058" s="4" t="str">
        <f>HYPERLINK("http://141.218.60.56/~jnz1568/getInfo.php?workbook=12_04.xlsx&amp;sheet=U0&amp;row=5058&amp;col=7&amp;number=0.00755&amp;sourceID=14","0.00755")</f>
        <v>0.00755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HYPERLINK("http://141.218.60.56/~jnz1568/getInfo.php?workbook=12_04.xlsx&amp;sheet=U0&amp;row=5059&amp;col=6&amp;number=4.5&amp;sourceID=14","4.5")</f>
        <v>4.5</v>
      </c>
      <c r="G5059" s="4" t="str">
        <f>HYPERLINK("http://141.218.60.56/~jnz1568/getInfo.php?workbook=12_04.xlsx&amp;sheet=U0&amp;row=5059&amp;col=7&amp;number=0.00701&amp;sourceID=14","0.00701")</f>
        <v>0.00701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HYPERLINK("http://141.218.60.56/~jnz1568/getInfo.php?workbook=12_04.xlsx&amp;sheet=U0&amp;row=5060&amp;col=6&amp;number=4.6&amp;sourceID=14","4.6")</f>
        <v>4.6</v>
      </c>
      <c r="G5060" s="4" t="str">
        <f>HYPERLINK("http://141.218.60.56/~jnz1568/getInfo.php?workbook=12_04.xlsx&amp;sheet=U0&amp;row=5060&amp;col=7&amp;number=0.00636&amp;sourceID=14","0.00636")</f>
        <v>0.00636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HYPERLINK("http://141.218.60.56/~jnz1568/getInfo.php?workbook=12_04.xlsx&amp;sheet=U0&amp;row=5061&amp;col=6&amp;number=4.7&amp;sourceID=14","4.7")</f>
        <v>4.7</v>
      </c>
      <c r="G5061" s="4" t="str">
        <f>HYPERLINK("http://141.218.60.56/~jnz1568/getInfo.php?workbook=12_04.xlsx&amp;sheet=U0&amp;row=5061&amp;col=7&amp;number=0.00561&amp;sourceID=14","0.00561")</f>
        <v>0.00561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HYPERLINK("http://141.218.60.56/~jnz1568/getInfo.php?workbook=12_04.xlsx&amp;sheet=U0&amp;row=5062&amp;col=6&amp;number=4.8&amp;sourceID=14","4.8")</f>
        <v>4.8</v>
      </c>
      <c r="G5062" s="4" t="str">
        <f>HYPERLINK("http://141.218.60.56/~jnz1568/getInfo.php?workbook=12_04.xlsx&amp;sheet=U0&amp;row=5062&amp;col=7&amp;number=0.00478&amp;sourceID=14","0.00478")</f>
        <v>0.00478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HYPERLINK("http://141.218.60.56/~jnz1568/getInfo.php?workbook=12_04.xlsx&amp;sheet=U0&amp;row=5063&amp;col=6&amp;number=4.9&amp;sourceID=14","4.9")</f>
        <v>4.9</v>
      </c>
      <c r="G5063" s="4" t="str">
        <f>HYPERLINK("http://141.218.60.56/~jnz1568/getInfo.php?workbook=12_04.xlsx&amp;sheet=U0&amp;row=5063&amp;col=7&amp;number=0.00394&amp;sourceID=14","0.00394")</f>
        <v>0.00394</v>
      </c>
    </row>
    <row r="5064" spans="1:7">
      <c r="A5064" s="3">
        <v>12</v>
      </c>
      <c r="B5064" s="3">
        <v>4</v>
      </c>
      <c r="C5064" s="3">
        <v>3</v>
      </c>
      <c r="D5064" s="3">
        <v>64</v>
      </c>
      <c r="E5064" s="3">
        <v>1</v>
      </c>
      <c r="F5064" s="4" t="str">
        <f>HYPERLINK("http://141.218.60.56/~jnz1568/getInfo.php?workbook=12_04.xlsx&amp;sheet=U0&amp;row=5064&amp;col=6&amp;number=3&amp;sourceID=14","3")</f>
        <v>3</v>
      </c>
      <c r="G5064" s="4" t="str">
        <f>HYPERLINK("http://141.218.60.56/~jnz1568/getInfo.php?workbook=12_04.xlsx&amp;sheet=U0&amp;row=5064&amp;col=7&amp;number=0.00825&amp;sourceID=14","0.00825")</f>
        <v>0.00825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HYPERLINK("http://141.218.60.56/~jnz1568/getInfo.php?workbook=12_04.xlsx&amp;sheet=U0&amp;row=5065&amp;col=6&amp;number=3.1&amp;sourceID=14","3.1")</f>
        <v>3.1</v>
      </c>
      <c r="G5065" s="4" t="str">
        <f>HYPERLINK("http://141.218.60.56/~jnz1568/getInfo.php?workbook=12_04.xlsx&amp;sheet=U0&amp;row=5065&amp;col=7&amp;number=0.00823&amp;sourceID=14","0.00823")</f>
        <v>0.00823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HYPERLINK("http://141.218.60.56/~jnz1568/getInfo.php?workbook=12_04.xlsx&amp;sheet=U0&amp;row=5066&amp;col=6&amp;number=3.2&amp;sourceID=14","3.2")</f>
        <v>3.2</v>
      </c>
      <c r="G5066" s="4" t="str">
        <f>HYPERLINK("http://141.218.60.56/~jnz1568/getInfo.php?workbook=12_04.xlsx&amp;sheet=U0&amp;row=5066&amp;col=7&amp;number=0.0082&amp;sourceID=14","0.0082")</f>
        <v>0.0082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HYPERLINK("http://141.218.60.56/~jnz1568/getInfo.php?workbook=12_04.xlsx&amp;sheet=U0&amp;row=5067&amp;col=6&amp;number=3.3&amp;sourceID=14","3.3")</f>
        <v>3.3</v>
      </c>
      <c r="G5067" s="4" t="str">
        <f>HYPERLINK("http://141.218.60.56/~jnz1568/getInfo.php?workbook=12_04.xlsx&amp;sheet=U0&amp;row=5067&amp;col=7&amp;number=0.00817&amp;sourceID=14","0.00817")</f>
        <v>0.00817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HYPERLINK("http://141.218.60.56/~jnz1568/getInfo.php?workbook=12_04.xlsx&amp;sheet=U0&amp;row=5068&amp;col=6&amp;number=3.4&amp;sourceID=14","3.4")</f>
        <v>3.4</v>
      </c>
      <c r="G5068" s="4" t="str">
        <f>HYPERLINK("http://141.218.60.56/~jnz1568/getInfo.php?workbook=12_04.xlsx&amp;sheet=U0&amp;row=5068&amp;col=7&amp;number=0.00813&amp;sourceID=14","0.00813")</f>
        <v>0.00813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HYPERLINK("http://141.218.60.56/~jnz1568/getInfo.php?workbook=12_04.xlsx&amp;sheet=U0&amp;row=5069&amp;col=6&amp;number=3.5&amp;sourceID=14","3.5")</f>
        <v>3.5</v>
      </c>
      <c r="G5069" s="4" t="str">
        <f>HYPERLINK("http://141.218.60.56/~jnz1568/getInfo.php?workbook=12_04.xlsx&amp;sheet=U0&amp;row=5069&amp;col=7&amp;number=0.00808&amp;sourceID=14","0.00808")</f>
        <v>0.00808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HYPERLINK("http://141.218.60.56/~jnz1568/getInfo.php?workbook=12_04.xlsx&amp;sheet=U0&amp;row=5070&amp;col=6&amp;number=3.6&amp;sourceID=14","3.6")</f>
        <v>3.6</v>
      </c>
      <c r="G5070" s="4" t="str">
        <f>HYPERLINK("http://141.218.60.56/~jnz1568/getInfo.php?workbook=12_04.xlsx&amp;sheet=U0&amp;row=5070&amp;col=7&amp;number=0.00802&amp;sourceID=14","0.00802")</f>
        <v>0.00802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HYPERLINK("http://141.218.60.56/~jnz1568/getInfo.php?workbook=12_04.xlsx&amp;sheet=U0&amp;row=5071&amp;col=6&amp;number=3.7&amp;sourceID=14","3.7")</f>
        <v>3.7</v>
      </c>
      <c r="G5071" s="4" t="str">
        <f>HYPERLINK("http://141.218.60.56/~jnz1568/getInfo.php?workbook=12_04.xlsx&amp;sheet=U0&amp;row=5071&amp;col=7&amp;number=0.00794&amp;sourceID=14","0.00794")</f>
        <v>0.00794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HYPERLINK("http://141.218.60.56/~jnz1568/getInfo.php?workbook=12_04.xlsx&amp;sheet=U0&amp;row=5072&amp;col=6&amp;number=3.8&amp;sourceID=14","3.8")</f>
        <v>3.8</v>
      </c>
      <c r="G5072" s="4" t="str">
        <f>HYPERLINK("http://141.218.60.56/~jnz1568/getInfo.php?workbook=12_04.xlsx&amp;sheet=U0&amp;row=5072&amp;col=7&amp;number=0.00784&amp;sourceID=14","0.00784")</f>
        <v>0.00784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HYPERLINK("http://141.218.60.56/~jnz1568/getInfo.php?workbook=12_04.xlsx&amp;sheet=U0&amp;row=5073&amp;col=6&amp;number=3.9&amp;sourceID=14","3.9")</f>
        <v>3.9</v>
      </c>
      <c r="G5073" s="4" t="str">
        <f>HYPERLINK("http://141.218.60.56/~jnz1568/getInfo.php?workbook=12_04.xlsx&amp;sheet=U0&amp;row=5073&amp;col=7&amp;number=0.00771&amp;sourceID=14","0.00771")</f>
        <v>0.00771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HYPERLINK("http://141.218.60.56/~jnz1568/getInfo.php?workbook=12_04.xlsx&amp;sheet=U0&amp;row=5074&amp;col=6&amp;number=4&amp;sourceID=14","4")</f>
        <v>4</v>
      </c>
      <c r="G5074" s="4" t="str">
        <f>HYPERLINK("http://141.218.60.56/~jnz1568/getInfo.php?workbook=12_04.xlsx&amp;sheet=U0&amp;row=5074&amp;col=7&amp;number=0.00756&amp;sourceID=14","0.00756")</f>
        <v>0.00756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HYPERLINK("http://141.218.60.56/~jnz1568/getInfo.php?workbook=12_04.xlsx&amp;sheet=U0&amp;row=5075&amp;col=6&amp;number=4.1&amp;sourceID=14","4.1")</f>
        <v>4.1</v>
      </c>
      <c r="G5075" s="4" t="str">
        <f>HYPERLINK("http://141.218.60.56/~jnz1568/getInfo.php?workbook=12_04.xlsx&amp;sheet=U0&amp;row=5075&amp;col=7&amp;number=0.00737&amp;sourceID=14","0.00737")</f>
        <v>0.00737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HYPERLINK("http://141.218.60.56/~jnz1568/getInfo.php?workbook=12_04.xlsx&amp;sheet=U0&amp;row=5076&amp;col=6&amp;number=4.2&amp;sourceID=14","4.2")</f>
        <v>4.2</v>
      </c>
      <c r="G5076" s="4" t="str">
        <f>HYPERLINK("http://141.218.60.56/~jnz1568/getInfo.php?workbook=12_04.xlsx&amp;sheet=U0&amp;row=5076&amp;col=7&amp;number=0.00712&amp;sourceID=14","0.00712")</f>
        <v>0.00712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HYPERLINK("http://141.218.60.56/~jnz1568/getInfo.php?workbook=12_04.xlsx&amp;sheet=U0&amp;row=5077&amp;col=6&amp;number=4.3&amp;sourceID=14","4.3")</f>
        <v>4.3</v>
      </c>
      <c r="G5077" s="4" t="str">
        <f>HYPERLINK("http://141.218.60.56/~jnz1568/getInfo.php?workbook=12_04.xlsx&amp;sheet=U0&amp;row=5077&amp;col=7&amp;number=0.00683&amp;sourceID=14","0.00683")</f>
        <v>0.00683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HYPERLINK("http://141.218.60.56/~jnz1568/getInfo.php?workbook=12_04.xlsx&amp;sheet=U0&amp;row=5078&amp;col=6&amp;number=4.4&amp;sourceID=14","4.4")</f>
        <v>4.4</v>
      </c>
      <c r="G5078" s="4" t="str">
        <f>HYPERLINK("http://141.218.60.56/~jnz1568/getInfo.php?workbook=12_04.xlsx&amp;sheet=U0&amp;row=5078&amp;col=7&amp;number=0.00647&amp;sourceID=14","0.00647")</f>
        <v>0.00647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HYPERLINK("http://141.218.60.56/~jnz1568/getInfo.php?workbook=12_04.xlsx&amp;sheet=U0&amp;row=5079&amp;col=6&amp;number=4.5&amp;sourceID=14","4.5")</f>
        <v>4.5</v>
      </c>
      <c r="G5079" s="4" t="str">
        <f>HYPERLINK("http://141.218.60.56/~jnz1568/getInfo.php?workbook=12_04.xlsx&amp;sheet=U0&amp;row=5079&amp;col=7&amp;number=0.00603&amp;sourceID=14","0.00603")</f>
        <v>0.00603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HYPERLINK("http://141.218.60.56/~jnz1568/getInfo.php?workbook=12_04.xlsx&amp;sheet=U0&amp;row=5080&amp;col=6&amp;number=4.6&amp;sourceID=14","4.6")</f>
        <v>4.6</v>
      </c>
      <c r="G5080" s="4" t="str">
        <f>HYPERLINK("http://141.218.60.56/~jnz1568/getInfo.php?workbook=12_04.xlsx&amp;sheet=U0&amp;row=5080&amp;col=7&amp;number=0.00551&amp;sourceID=14","0.00551")</f>
        <v>0.00551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HYPERLINK("http://141.218.60.56/~jnz1568/getInfo.php?workbook=12_04.xlsx&amp;sheet=U0&amp;row=5081&amp;col=6&amp;number=4.7&amp;sourceID=14","4.7")</f>
        <v>4.7</v>
      </c>
      <c r="G5081" s="4" t="str">
        <f>HYPERLINK("http://141.218.60.56/~jnz1568/getInfo.php?workbook=12_04.xlsx&amp;sheet=U0&amp;row=5081&amp;col=7&amp;number=0.00492&amp;sourceID=14","0.00492")</f>
        <v>0.00492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HYPERLINK("http://141.218.60.56/~jnz1568/getInfo.php?workbook=12_04.xlsx&amp;sheet=U0&amp;row=5082&amp;col=6&amp;number=4.8&amp;sourceID=14","4.8")</f>
        <v>4.8</v>
      </c>
      <c r="G5082" s="4" t="str">
        <f>HYPERLINK("http://141.218.60.56/~jnz1568/getInfo.php?workbook=12_04.xlsx&amp;sheet=U0&amp;row=5082&amp;col=7&amp;number=0.00426&amp;sourceID=14","0.00426")</f>
        <v>0.00426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HYPERLINK("http://141.218.60.56/~jnz1568/getInfo.php?workbook=12_04.xlsx&amp;sheet=U0&amp;row=5083&amp;col=6&amp;number=4.9&amp;sourceID=14","4.9")</f>
        <v>4.9</v>
      </c>
      <c r="G5083" s="4" t="str">
        <f>HYPERLINK("http://141.218.60.56/~jnz1568/getInfo.php?workbook=12_04.xlsx&amp;sheet=U0&amp;row=5083&amp;col=7&amp;number=0.00359&amp;sourceID=14","0.00359")</f>
        <v>0.00359</v>
      </c>
    </row>
    <row r="5084" spans="1:7">
      <c r="A5084" s="3">
        <v>12</v>
      </c>
      <c r="B5084" s="3">
        <v>4</v>
      </c>
      <c r="C5084" s="3">
        <v>3</v>
      </c>
      <c r="D5084" s="3">
        <v>65</v>
      </c>
      <c r="E5084" s="3">
        <v>1</v>
      </c>
      <c r="F5084" s="4" t="str">
        <f>HYPERLINK("http://141.218.60.56/~jnz1568/getInfo.php?workbook=12_04.xlsx&amp;sheet=U0&amp;row=5084&amp;col=6&amp;number=3&amp;sourceID=14","3")</f>
        <v>3</v>
      </c>
      <c r="G5084" s="4" t="str">
        <f>HYPERLINK("http://141.218.60.56/~jnz1568/getInfo.php?workbook=12_04.xlsx&amp;sheet=U0&amp;row=5084&amp;col=7&amp;number=0.00598&amp;sourceID=14","0.00598")</f>
        <v>0.00598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HYPERLINK("http://141.218.60.56/~jnz1568/getInfo.php?workbook=12_04.xlsx&amp;sheet=U0&amp;row=5085&amp;col=6&amp;number=3.1&amp;sourceID=14","3.1")</f>
        <v>3.1</v>
      </c>
      <c r="G5085" s="4" t="str">
        <f>HYPERLINK("http://141.218.60.56/~jnz1568/getInfo.php?workbook=12_04.xlsx&amp;sheet=U0&amp;row=5085&amp;col=7&amp;number=0.00598&amp;sourceID=14","0.00598")</f>
        <v>0.00598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HYPERLINK("http://141.218.60.56/~jnz1568/getInfo.php?workbook=12_04.xlsx&amp;sheet=U0&amp;row=5086&amp;col=6&amp;number=3.2&amp;sourceID=14","3.2")</f>
        <v>3.2</v>
      </c>
      <c r="G5086" s="4" t="str">
        <f>HYPERLINK("http://141.218.60.56/~jnz1568/getInfo.php?workbook=12_04.xlsx&amp;sheet=U0&amp;row=5086&amp;col=7&amp;number=0.00597&amp;sourceID=14","0.00597")</f>
        <v>0.00597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HYPERLINK("http://141.218.60.56/~jnz1568/getInfo.php?workbook=12_04.xlsx&amp;sheet=U0&amp;row=5087&amp;col=6&amp;number=3.3&amp;sourceID=14","3.3")</f>
        <v>3.3</v>
      </c>
      <c r="G5087" s="4" t="str">
        <f>HYPERLINK("http://141.218.60.56/~jnz1568/getInfo.php?workbook=12_04.xlsx&amp;sheet=U0&amp;row=5087&amp;col=7&amp;number=0.00596&amp;sourceID=14","0.00596")</f>
        <v>0.00596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HYPERLINK("http://141.218.60.56/~jnz1568/getInfo.php?workbook=12_04.xlsx&amp;sheet=U0&amp;row=5088&amp;col=6&amp;number=3.4&amp;sourceID=14","3.4")</f>
        <v>3.4</v>
      </c>
      <c r="G5088" s="4" t="str">
        <f>HYPERLINK("http://141.218.60.56/~jnz1568/getInfo.php?workbook=12_04.xlsx&amp;sheet=U0&amp;row=5088&amp;col=7&amp;number=0.00595&amp;sourceID=14","0.00595")</f>
        <v>0.00595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HYPERLINK("http://141.218.60.56/~jnz1568/getInfo.php?workbook=12_04.xlsx&amp;sheet=U0&amp;row=5089&amp;col=6&amp;number=3.5&amp;sourceID=14","3.5")</f>
        <v>3.5</v>
      </c>
      <c r="G5089" s="4" t="str">
        <f>HYPERLINK("http://141.218.60.56/~jnz1568/getInfo.php?workbook=12_04.xlsx&amp;sheet=U0&amp;row=5089&amp;col=7&amp;number=0.00594&amp;sourceID=14","0.00594")</f>
        <v>0.00594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HYPERLINK("http://141.218.60.56/~jnz1568/getInfo.php?workbook=12_04.xlsx&amp;sheet=U0&amp;row=5090&amp;col=6&amp;number=3.6&amp;sourceID=14","3.6")</f>
        <v>3.6</v>
      </c>
      <c r="G5090" s="4" t="str">
        <f>HYPERLINK("http://141.218.60.56/~jnz1568/getInfo.php?workbook=12_04.xlsx&amp;sheet=U0&amp;row=5090&amp;col=7&amp;number=0.00592&amp;sourceID=14","0.00592")</f>
        <v>0.00592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HYPERLINK("http://141.218.60.56/~jnz1568/getInfo.php?workbook=12_04.xlsx&amp;sheet=U0&amp;row=5091&amp;col=6&amp;number=3.7&amp;sourceID=14","3.7")</f>
        <v>3.7</v>
      </c>
      <c r="G5091" s="4" t="str">
        <f>HYPERLINK("http://141.218.60.56/~jnz1568/getInfo.php?workbook=12_04.xlsx&amp;sheet=U0&amp;row=5091&amp;col=7&amp;number=0.0059&amp;sourceID=14","0.0059")</f>
        <v>0.0059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HYPERLINK("http://141.218.60.56/~jnz1568/getInfo.php?workbook=12_04.xlsx&amp;sheet=U0&amp;row=5092&amp;col=6&amp;number=3.8&amp;sourceID=14","3.8")</f>
        <v>3.8</v>
      </c>
      <c r="G5092" s="4" t="str">
        <f>HYPERLINK("http://141.218.60.56/~jnz1568/getInfo.php?workbook=12_04.xlsx&amp;sheet=U0&amp;row=5092&amp;col=7&amp;number=0.00588&amp;sourceID=14","0.00588")</f>
        <v>0.00588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HYPERLINK("http://141.218.60.56/~jnz1568/getInfo.php?workbook=12_04.xlsx&amp;sheet=U0&amp;row=5093&amp;col=6&amp;number=3.9&amp;sourceID=14","3.9")</f>
        <v>3.9</v>
      </c>
      <c r="G5093" s="4" t="str">
        <f>HYPERLINK("http://141.218.60.56/~jnz1568/getInfo.php?workbook=12_04.xlsx&amp;sheet=U0&amp;row=5093&amp;col=7&amp;number=0.00584&amp;sourceID=14","0.00584")</f>
        <v>0.00584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HYPERLINK("http://141.218.60.56/~jnz1568/getInfo.php?workbook=12_04.xlsx&amp;sheet=U0&amp;row=5094&amp;col=6&amp;number=4&amp;sourceID=14","4")</f>
        <v>4</v>
      </c>
      <c r="G5094" s="4" t="str">
        <f>HYPERLINK("http://141.218.60.56/~jnz1568/getInfo.php?workbook=12_04.xlsx&amp;sheet=U0&amp;row=5094&amp;col=7&amp;number=0.0058&amp;sourceID=14","0.0058")</f>
        <v>0.0058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HYPERLINK("http://141.218.60.56/~jnz1568/getInfo.php?workbook=12_04.xlsx&amp;sheet=U0&amp;row=5095&amp;col=6&amp;number=4.1&amp;sourceID=14","4.1")</f>
        <v>4.1</v>
      </c>
      <c r="G5095" s="4" t="str">
        <f>HYPERLINK("http://141.218.60.56/~jnz1568/getInfo.php?workbook=12_04.xlsx&amp;sheet=U0&amp;row=5095&amp;col=7&amp;number=0.00575&amp;sourceID=14","0.00575")</f>
        <v>0.00575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HYPERLINK("http://141.218.60.56/~jnz1568/getInfo.php?workbook=12_04.xlsx&amp;sheet=U0&amp;row=5096&amp;col=6&amp;number=4.2&amp;sourceID=14","4.2")</f>
        <v>4.2</v>
      </c>
      <c r="G5096" s="4" t="str">
        <f>HYPERLINK("http://141.218.60.56/~jnz1568/getInfo.php?workbook=12_04.xlsx&amp;sheet=U0&amp;row=5096&amp;col=7&amp;number=0.00569&amp;sourceID=14","0.00569")</f>
        <v>0.00569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HYPERLINK("http://141.218.60.56/~jnz1568/getInfo.php?workbook=12_04.xlsx&amp;sheet=U0&amp;row=5097&amp;col=6&amp;number=4.3&amp;sourceID=14","4.3")</f>
        <v>4.3</v>
      </c>
      <c r="G5097" s="4" t="str">
        <f>HYPERLINK("http://141.218.60.56/~jnz1568/getInfo.php?workbook=12_04.xlsx&amp;sheet=U0&amp;row=5097&amp;col=7&amp;number=0.00561&amp;sourceID=14","0.00561")</f>
        <v>0.00561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HYPERLINK("http://141.218.60.56/~jnz1568/getInfo.php?workbook=12_04.xlsx&amp;sheet=U0&amp;row=5098&amp;col=6&amp;number=4.4&amp;sourceID=14","4.4")</f>
        <v>4.4</v>
      </c>
      <c r="G5098" s="4" t="str">
        <f>HYPERLINK("http://141.218.60.56/~jnz1568/getInfo.php?workbook=12_04.xlsx&amp;sheet=U0&amp;row=5098&amp;col=7&amp;number=0.0055&amp;sourceID=14","0.0055")</f>
        <v>0.0055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HYPERLINK("http://141.218.60.56/~jnz1568/getInfo.php?workbook=12_04.xlsx&amp;sheet=U0&amp;row=5099&amp;col=6&amp;number=4.5&amp;sourceID=14","4.5")</f>
        <v>4.5</v>
      </c>
      <c r="G5099" s="4" t="str">
        <f>HYPERLINK("http://141.218.60.56/~jnz1568/getInfo.php?workbook=12_04.xlsx&amp;sheet=U0&amp;row=5099&amp;col=7&amp;number=0.00538&amp;sourceID=14","0.00538")</f>
        <v>0.00538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HYPERLINK("http://141.218.60.56/~jnz1568/getInfo.php?workbook=12_04.xlsx&amp;sheet=U0&amp;row=5100&amp;col=6&amp;number=4.6&amp;sourceID=14","4.6")</f>
        <v>4.6</v>
      </c>
      <c r="G5100" s="4" t="str">
        <f>HYPERLINK("http://141.218.60.56/~jnz1568/getInfo.php?workbook=12_04.xlsx&amp;sheet=U0&amp;row=5100&amp;col=7&amp;number=0.00523&amp;sourceID=14","0.00523")</f>
        <v>0.00523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HYPERLINK("http://141.218.60.56/~jnz1568/getInfo.php?workbook=12_04.xlsx&amp;sheet=U0&amp;row=5101&amp;col=6&amp;number=4.7&amp;sourceID=14","4.7")</f>
        <v>4.7</v>
      </c>
      <c r="G5101" s="4" t="str">
        <f>HYPERLINK("http://141.218.60.56/~jnz1568/getInfo.php?workbook=12_04.xlsx&amp;sheet=U0&amp;row=5101&amp;col=7&amp;number=0.00503&amp;sourceID=14","0.00503")</f>
        <v>0.00503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HYPERLINK("http://141.218.60.56/~jnz1568/getInfo.php?workbook=12_04.xlsx&amp;sheet=U0&amp;row=5102&amp;col=6&amp;number=4.8&amp;sourceID=14","4.8")</f>
        <v>4.8</v>
      </c>
      <c r="G5102" s="4" t="str">
        <f>HYPERLINK("http://141.218.60.56/~jnz1568/getInfo.php?workbook=12_04.xlsx&amp;sheet=U0&amp;row=5102&amp;col=7&amp;number=0.0048&amp;sourceID=14","0.0048")</f>
        <v>0.0048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HYPERLINK("http://141.218.60.56/~jnz1568/getInfo.php?workbook=12_04.xlsx&amp;sheet=U0&amp;row=5103&amp;col=6&amp;number=4.9&amp;sourceID=14","4.9")</f>
        <v>4.9</v>
      </c>
      <c r="G5103" s="4" t="str">
        <f>HYPERLINK("http://141.218.60.56/~jnz1568/getInfo.php?workbook=12_04.xlsx&amp;sheet=U0&amp;row=5103&amp;col=7&amp;number=0.00452&amp;sourceID=14","0.00452")</f>
        <v>0.00452</v>
      </c>
    </row>
    <row r="5104" spans="1:7">
      <c r="A5104" s="3">
        <v>12</v>
      </c>
      <c r="B5104" s="3">
        <v>4</v>
      </c>
      <c r="C5104" s="3">
        <v>3</v>
      </c>
      <c r="D5104" s="3">
        <v>66</v>
      </c>
      <c r="E5104" s="3">
        <v>1</v>
      </c>
      <c r="F5104" s="4" t="str">
        <f>HYPERLINK("http://141.218.60.56/~jnz1568/getInfo.php?workbook=12_04.xlsx&amp;sheet=U0&amp;row=5104&amp;col=6&amp;number=3&amp;sourceID=14","3")</f>
        <v>3</v>
      </c>
      <c r="G5104" s="4" t="str">
        <f>HYPERLINK("http://141.218.60.56/~jnz1568/getInfo.php?workbook=12_04.xlsx&amp;sheet=U0&amp;row=5104&amp;col=7&amp;number=0.00459&amp;sourceID=14","0.00459")</f>
        <v>0.00459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HYPERLINK("http://141.218.60.56/~jnz1568/getInfo.php?workbook=12_04.xlsx&amp;sheet=U0&amp;row=5105&amp;col=6&amp;number=3.1&amp;sourceID=14","3.1")</f>
        <v>3.1</v>
      </c>
      <c r="G5105" s="4" t="str">
        <f>HYPERLINK("http://141.218.60.56/~jnz1568/getInfo.php?workbook=12_04.xlsx&amp;sheet=U0&amp;row=5105&amp;col=7&amp;number=0.00459&amp;sourceID=14","0.00459")</f>
        <v>0.00459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HYPERLINK("http://141.218.60.56/~jnz1568/getInfo.php?workbook=12_04.xlsx&amp;sheet=U0&amp;row=5106&amp;col=6&amp;number=3.2&amp;sourceID=14","3.2")</f>
        <v>3.2</v>
      </c>
      <c r="G5106" s="4" t="str">
        <f>HYPERLINK("http://141.218.60.56/~jnz1568/getInfo.php?workbook=12_04.xlsx&amp;sheet=U0&amp;row=5106&amp;col=7&amp;number=0.00458&amp;sourceID=14","0.00458")</f>
        <v>0.00458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HYPERLINK("http://141.218.60.56/~jnz1568/getInfo.php?workbook=12_04.xlsx&amp;sheet=U0&amp;row=5107&amp;col=6&amp;number=3.3&amp;sourceID=14","3.3")</f>
        <v>3.3</v>
      </c>
      <c r="G5107" s="4" t="str">
        <f>HYPERLINK("http://141.218.60.56/~jnz1568/getInfo.php?workbook=12_04.xlsx&amp;sheet=U0&amp;row=5107&amp;col=7&amp;number=0.00458&amp;sourceID=14","0.00458")</f>
        <v>0.00458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HYPERLINK("http://141.218.60.56/~jnz1568/getInfo.php?workbook=12_04.xlsx&amp;sheet=U0&amp;row=5108&amp;col=6&amp;number=3.4&amp;sourceID=14","3.4")</f>
        <v>3.4</v>
      </c>
      <c r="G5108" s="4" t="str">
        <f>HYPERLINK("http://141.218.60.56/~jnz1568/getInfo.php?workbook=12_04.xlsx&amp;sheet=U0&amp;row=5108&amp;col=7&amp;number=0.00457&amp;sourceID=14","0.00457")</f>
        <v>0.00457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HYPERLINK("http://141.218.60.56/~jnz1568/getInfo.php?workbook=12_04.xlsx&amp;sheet=U0&amp;row=5109&amp;col=6&amp;number=3.5&amp;sourceID=14","3.5")</f>
        <v>3.5</v>
      </c>
      <c r="G5109" s="4" t="str">
        <f>HYPERLINK("http://141.218.60.56/~jnz1568/getInfo.php?workbook=12_04.xlsx&amp;sheet=U0&amp;row=5109&amp;col=7&amp;number=0.00456&amp;sourceID=14","0.00456")</f>
        <v>0.00456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HYPERLINK("http://141.218.60.56/~jnz1568/getInfo.php?workbook=12_04.xlsx&amp;sheet=U0&amp;row=5110&amp;col=6&amp;number=3.6&amp;sourceID=14","3.6")</f>
        <v>3.6</v>
      </c>
      <c r="G5110" s="4" t="str">
        <f>HYPERLINK("http://141.218.60.56/~jnz1568/getInfo.php?workbook=12_04.xlsx&amp;sheet=U0&amp;row=5110&amp;col=7&amp;number=0.00454&amp;sourceID=14","0.00454")</f>
        <v>0.00454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HYPERLINK("http://141.218.60.56/~jnz1568/getInfo.php?workbook=12_04.xlsx&amp;sheet=U0&amp;row=5111&amp;col=6&amp;number=3.7&amp;sourceID=14","3.7")</f>
        <v>3.7</v>
      </c>
      <c r="G5111" s="4" t="str">
        <f>HYPERLINK("http://141.218.60.56/~jnz1568/getInfo.php?workbook=12_04.xlsx&amp;sheet=U0&amp;row=5111&amp;col=7&amp;number=0.00453&amp;sourceID=14","0.00453")</f>
        <v>0.00453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HYPERLINK("http://141.218.60.56/~jnz1568/getInfo.php?workbook=12_04.xlsx&amp;sheet=U0&amp;row=5112&amp;col=6&amp;number=3.8&amp;sourceID=14","3.8")</f>
        <v>3.8</v>
      </c>
      <c r="G5112" s="4" t="str">
        <f>HYPERLINK("http://141.218.60.56/~jnz1568/getInfo.php?workbook=12_04.xlsx&amp;sheet=U0&amp;row=5112&amp;col=7&amp;number=0.00451&amp;sourceID=14","0.00451")</f>
        <v>0.00451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HYPERLINK("http://141.218.60.56/~jnz1568/getInfo.php?workbook=12_04.xlsx&amp;sheet=U0&amp;row=5113&amp;col=6&amp;number=3.9&amp;sourceID=14","3.9")</f>
        <v>3.9</v>
      </c>
      <c r="G5113" s="4" t="str">
        <f>HYPERLINK("http://141.218.60.56/~jnz1568/getInfo.php?workbook=12_04.xlsx&amp;sheet=U0&amp;row=5113&amp;col=7&amp;number=0.00448&amp;sourceID=14","0.00448")</f>
        <v>0.00448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HYPERLINK("http://141.218.60.56/~jnz1568/getInfo.php?workbook=12_04.xlsx&amp;sheet=U0&amp;row=5114&amp;col=6&amp;number=4&amp;sourceID=14","4")</f>
        <v>4</v>
      </c>
      <c r="G5114" s="4" t="str">
        <f>HYPERLINK("http://141.218.60.56/~jnz1568/getInfo.php?workbook=12_04.xlsx&amp;sheet=U0&amp;row=5114&amp;col=7&amp;number=0.00444&amp;sourceID=14","0.00444")</f>
        <v>0.00444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HYPERLINK("http://141.218.60.56/~jnz1568/getInfo.php?workbook=12_04.xlsx&amp;sheet=U0&amp;row=5115&amp;col=6&amp;number=4.1&amp;sourceID=14","4.1")</f>
        <v>4.1</v>
      </c>
      <c r="G5115" s="4" t="str">
        <f>HYPERLINK("http://141.218.60.56/~jnz1568/getInfo.php?workbook=12_04.xlsx&amp;sheet=U0&amp;row=5115&amp;col=7&amp;number=0.0044&amp;sourceID=14","0.0044")</f>
        <v>0.0044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HYPERLINK("http://141.218.60.56/~jnz1568/getInfo.php?workbook=12_04.xlsx&amp;sheet=U0&amp;row=5116&amp;col=6&amp;number=4.2&amp;sourceID=14","4.2")</f>
        <v>4.2</v>
      </c>
      <c r="G5116" s="4" t="str">
        <f>HYPERLINK("http://141.218.60.56/~jnz1568/getInfo.php?workbook=12_04.xlsx&amp;sheet=U0&amp;row=5116&amp;col=7&amp;number=0.00435&amp;sourceID=14","0.00435")</f>
        <v>0.00435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HYPERLINK("http://141.218.60.56/~jnz1568/getInfo.php?workbook=12_04.xlsx&amp;sheet=U0&amp;row=5117&amp;col=6&amp;number=4.3&amp;sourceID=14","4.3")</f>
        <v>4.3</v>
      </c>
      <c r="G5117" s="4" t="str">
        <f>HYPERLINK("http://141.218.60.56/~jnz1568/getInfo.php?workbook=12_04.xlsx&amp;sheet=U0&amp;row=5117&amp;col=7&amp;number=0.00428&amp;sourceID=14","0.00428")</f>
        <v>0.00428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HYPERLINK("http://141.218.60.56/~jnz1568/getInfo.php?workbook=12_04.xlsx&amp;sheet=U0&amp;row=5118&amp;col=6&amp;number=4.4&amp;sourceID=14","4.4")</f>
        <v>4.4</v>
      </c>
      <c r="G5118" s="4" t="str">
        <f>HYPERLINK("http://141.218.60.56/~jnz1568/getInfo.php?workbook=12_04.xlsx&amp;sheet=U0&amp;row=5118&amp;col=7&amp;number=0.0042&amp;sourceID=14","0.0042")</f>
        <v>0.0042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HYPERLINK("http://141.218.60.56/~jnz1568/getInfo.php?workbook=12_04.xlsx&amp;sheet=U0&amp;row=5119&amp;col=6&amp;number=4.5&amp;sourceID=14","4.5")</f>
        <v>4.5</v>
      </c>
      <c r="G5119" s="4" t="str">
        <f>HYPERLINK("http://141.218.60.56/~jnz1568/getInfo.php?workbook=12_04.xlsx&amp;sheet=U0&amp;row=5119&amp;col=7&amp;number=0.00409&amp;sourceID=14","0.00409")</f>
        <v>0.00409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HYPERLINK("http://141.218.60.56/~jnz1568/getInfo.php?workbook=12_04.xlsx&amp;sheet=U0&amp;row=5120&amp;col=6&amp;number=4.6&amp;sourceID=14","4.6")</f>
        <v>4.6</v>
      </c>
      <c r="G5120" s="4" t="str">
        <f>HYPERLINK("http://141.218.60.56/~jnz1568/getInfo.php?workbook=12_04.xlsx&amp;sheet=U0&amp;row=5120&amp;col=7&amp;number=0.00396&amp;sourceID=14","0.00396")</f>
        <v>0.00396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HYPERLINK("http://141.218.60.56/~jnz1568/getInfo.php?workbook=12_04.xlsx&amp;sheet=U0&amp;row=5121&amp;col=6&amp;number=4.7&amp;sourceID=14","4.7")</f>
        <v>4.7</v>
      </c>
      <c r="G5121" s="4" t="str">
        <f>HYPERLINK("http://141.218.60.56/~jnz1568/getInfo.php?workbook=12_04.xlsx&amp;sheet=U0&amp;row=5121&amp;col=7&amp;number=0.00381&amp;sourceID=14","0.00381")</f>
        <v>0.00381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HYPERLINK("http://141.218.60.56/~jnz1568/getInfo.php?workbook=12_04.xlsx&amp;sheet=U0&amp;row=5122&amp;col=6&amp;number=4.8&amp;sourceID=14","4.8")</f>
        <v>4.8</v>
      </c>
      <c r="G5122" s="4" t="str">
        <f>HYPERLINK("http://141.218.60.56/~jnz1568/getInfo.php?workbook=12_04.xlsx&amp;sheet=U0&amp;row=5122&amp;col=7&amp;number=0.00361&amp;sourceID=14","0.00361")</f>
        <v>0.00361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HYPERLINK("http://141.218.60.56/~jnz1568/getInfo.php?workbook=12_04.xlsx&amp;sheet=U0&amp;row=5123&amp;col=6&amp;number=4.9&amp;sourceID=14","4.9")</f>
        <v>4.9</v>
      </c>
      <c r="G5123" s="4" t="str">
        <f>HYPERLINK("http://141.218.60.56/~jnz1568/getInfo.php?workbook=12_04.xlsx&amp;sheet=U0&amp;row=5123&amp;col=7&amp;number=0.00338&amp;sourceID=14","0.00338")</f>
        <v>0.00338</v>
      </c>
    </row>
    <row r="5124" spans="1:7">
      <c r="A5124" s="3">
        <v>12</v>
      </c>
      <c r="B5124" s="3">
        <v>4</v>
      </c>
      <c r="C5124" s="3">
        <v>3</v>
      </c>
      <c r="D5124" s="3">
        <v>67</v>
      </c>
      <c r="E5124" s="3">
        <v>1</v>
      </c>
      <c r="F5124" s="4" t="str">
        <f>HYPERLINK("http://141.218.60.56/~jnz1568/getInfo.php?workbook=12_04.xlsx&amp;sheet=U0&amp;row=5124&amp;col=6&amp;number=3&amp;sourceID=14","3")</f>
        <v>3</v>
      </c>
      <c r="G5124" s="4" t="str">
        <f>HYPERLINK("http://141.218.60.56/~jnz1568/getInfo.php?workbook=12_04.xlsx&amp;sheet=U0&amp;row=5124&amp;col=7&amp;number=0.0131&amp;sourceID=14","0.0131")</f>
        <v>0.0131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HYPERLINK("http://141.218.60.56/~jnz1568/getInfo.php?workbook=12_04.xlsx&amp;sheet=U0&amp;row=5125&amp;col=6&amp;number=3.1&amp;sourceID=14","3.1")</f>
        <v>3.1</v>
      </c>
      <c r="G5125" s="4" t="str">
        <f>HYPERLINK("http://141.218.60.56/~jnz1568/getInfo.php?workbook=12_04.xlsx&amp;sheet=U0&amp;row=5125&amp;col=7&amp;number=0.0131&amp;sourceID=14","0.0131")</f>
        <v>0.0131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HYPERLINK("http://141.218.60.56/~jnz1568/getInfo.php?workbook=12_04.xlsx&amp;sheet=U0&amp;row=5126&amp;col=6&amp;number=3.2&amp;sourceID=14","3.2")</f>
        <v>3.2</v>
      </c>
      <c r="G5126" s="4" t="str">
        <f>HYPERLINK("http://141.218.60.56/~jnz1568/getInfo.php?workbook=12_04.xlsx&amp;sheet=U0&amp;row=5126&amp;col=7&amp;number=0.013&amp;sourceID=14","0.013")</f>
        <v>0.013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HYPERLINK("http://141.218.60.56/~jnz1568/getInfo.php?workbook=12_04.xlsx&amp;sheet=U0&amp;row=5127&amp;col=6&amp;number=3.3&amp;sourceID=14","3.3")</f>
        <v>3.3</v>
      </c>
      <c r="G5127" s="4" t="str">
        <f>HYPERLINK("http://141.218.60.56/~jnz1568/getInfo.php?workbook=12_04.xlsx&amp;sheet=U0&amp;row=5127&amp;col=7&amp;number=0.013&amp;sourceID=14","0.013")</f>
        <v>0.013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HYPERLINK("http://141.218.60.56/~jnz1568/getInfo.php?workbook=12_04.xlsx&amp;sheet=U0&amp;row=5128&amp;col=6&amp;number=3.4&amp;sourceID=14","3.4")</f>
        <v>3.4</v>
      </c>
      <c r="G5128" s="4" t="str">
        <f>HYPERLINK("http://141.218.60.56/~jnz1568/getInfo.php?workbook=12_04.xlsx&amp;sheet=U0&amp;row=5128&amp;col=7&amp;number=0.013&amp;sourceID=14","0.013")</f>
        <v>0.013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HYPERLINK("http://141.218.60.56/~jnz1568/getInfo.php?workbook=12_04.xlsx&amp;sheet=U0&amp;row=5129&amp;col=6&amp;number=3.5&amp;sourceID=14","3.5")</f>
        <v>3.5</v>
      </c>
      <c r="G5129" s="4" t="str">
        <f>HYPERLINK("http://141.218.60.56/~jnz1568/getInfo.php?workbook=12_04.xlsx&amp;sheet=U0&amp;row=5129&amp;col=7&amp;number=0.013&amp;sourceID=14","0.013")</f>
        <v>0.013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HYPERLINK("http://141.218.60.56/~jnz1568/getInfo.php?workbook=12_04.xlsx&amp;sheet=U0&amp;row=5130&amp;col=6&amp;number=3.6&amp;sourceID=14","3.6")</f>
        <v>3.6</v>
      </c>
      <c r="G5130" s="4" t="str">
        <f>HYPERLINK("http://141.218.60.56/~jnz1568/getInfo.php?workbook=12_04.xlsx&amp;sheet=U0&amp;row=5130&amp;col=7&amp;number=0.0129&amp;sourceID=14","0.0129")</f>
        <v>0.0129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HYPERLINK("http://141.218.60.56/~jnz1568/getInfo.php?workbook=12_04.xlsx&amp;sheet=U0&amp;row=5131&amp;col=6&amp;number=3.7&amp;sourceID=14","3.7")</f>
        <v>3.7</v>
      </c>
      <c r="G5131" s="4" t="str">
        <f>HYPERLINK("http://141.218.60.56/~jnz1568/getInfo.php?workbook=12_04.xlsx&amp;sheet=U0&amp;row=5131&amp;col=7&amp;number=0.0129&amp;sourceID=14","0.0129")</f>
        <v>0.0129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HYPERLINK("http://141.218.60.56/~jnz1568/getInfo.php?workbook=12_04.xlsx&amp;sheet=U0&amp;row=5132&amp;col=6&amp;number=3.8&amp;sourceID=14","3.8")</f>
        <v>3.8</v>
      </c>
      <c r="G5132" s="4" t="str">
        <f>HYPERLINK("http://141.218.60.56/~jnz1568/getInfo.php?workbook=12_04.xlsx&amp;sheet=U0&amp;row=5132&amp;col=7&amp;number=0.0129&amp;sourceID=14","0.0129")</f>
        <v>0.0129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HYPERLINK("http://141.218.60.56/~jnz1568/getInfo.php?workbook=12_04.xlsx&amp;sheet=U0&amp;row=5133&amp;col=6&amp;number=3.9&amp;sourceID=14","3.9")</f>
        <v>3.9</v>
      </c>
      <c r="G5133" s="4" t="str">
        <f>HYPERLINK("http://141.218.60.56/~jnz1568/getInfo.php?workbook=12_04.xlsx&amp;sheet=U0&amp;row=5133&amp;col=7&amp;number=0.0128&amp;sourceID=14","0.0128")</f>
        <v>0.0128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HYPERLINK("http://141.218.60.56/~jnz1568/getInfo.php?workbook=12_04.xlsx&amp;sheet=U0&amp;row=5134&amp;col=6&amp;number=4&amp;sourceID=14","4")</f>
        <v>4</v>
      </c>
      <c r="G5134" s="4" t="str">
        <f>HYPERLINK("http://141.218.60.56/~jnz1568/getInfo.php?workbook=12_04.xlsx&amp;sheet=U0&amp;row=5134&amp;col=7&amp;number=0.0127&amp;sourceID=14","0.0127")</f>
        <v>0.0127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HYPERLINK("http://141.218.60.56/~jnz1568/getInfo.php?workbook=12_04.xlsx&amp;sheet=U0&amp;row=5135&amp;col=6&amp;number=4.1&amp;sourceID=14","4.1")</f>
        <v>4.1</v>
      </c>
      <c r="G5135" s="4" t="str">
        <f>HYPERLINK("http://141.218.60.56/~jnz1568/getInfo.php?workbook=12_04.xlsx&amp;sheet=U0&amp;row=5135&amp;col=7&amp;number=0.0126&amp;sourceID=14","0.0126")</f>
        <v>0.0126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HYPERLINK("http://141.218.60.56/~jnz1568/getInfo.php?workbook=12_04.xlsx&amp;sheet=U0&amp;row=5136&amp;col=6&amp;number=4.2&amp;sourceID=14","4.2")</f>
        <v>4.2</v>
      </c>
      <c r="G5136" s="4" t="str">
        <f>HYPERLINK("http://141.218.60.56/~jnz1568/getInfo.php?workbook=12_04.xlsx&amp;sheet=U0&amp;row=5136&amp;col=7&amp;number=0.0125&amp;sourceID=14","0.0125")</f>
        <v>0.0125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HYPERLINK("http://141.218.60.56/~jnz1568/getInfo.php?workbook=12_04.xlsx&amp;sheet=U0&amp;row=5137&amp;col=6&amp;number=4.3&amp;sourceID=14","4.3")</f>
        <v>4.3</v>
      </c>
      <c r="G5137" s="4" t="str">
        <f>HYPERLINK("http://141.218.60.56/~jnz1568/getInfo.php?workbook=12_04.xlsx&amp;sheet=U0&amp;row=5137&amp;col=7&amp;number=0.0123&amp;sourceID=14","0.0123")</f>
        <v>0.0123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HYPERLINK("http://141.218.60.56/~jnz1568/getInfo.php?workbook=12_04.xlsx&amp;sheet=U0&amp;row=5138&amp;col=6&amp;number=4.4&amp;sourceID=14","4.4")</f>
        <v>4.4</v>
      </c>
      <c r="G5138" s="4" t="str">
        <f>HYPERLINK("http://141.218.60.56/~jnz1568/getInfo.php?workbook=12_04.xlsx&amp;sheet=U0&amp;row=5138&amp;col=7&amp;number=0.0121&amp;sourceID=14","0.0121")</f>
        <v>0.0121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HYPERLINK("http://141.218.60.56/~jnz1568/getInfo.php?workbook=12_04.xlsx&amp;sheet=U0&amp;row=5139&amp;col=6&amp;number=4.5&amp;sourceID=14","4.5")</f>
        <v>4.5</v>
      </c>
      <c r="G5139" s="4" t="str">
        <f>HYPERLINK("http://141.218.60.56/~jnz1568/getInfo.php?workbook=12_04.xlsx&amp;sheet=U0&amp;row=5139&amp;col=7&amp;number=0.0119&amp;sourceID=14","0.0119")</f>
        <v>0.0119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HYPERLINK("http://141.218.60.56/~jnz1568/getInfo.php?workbook=12_04.xlsx&amp;sheet=U0&amp;row=5140&amp;col=6&amp;number=4.6&amp;sourceID=14","4.6")</f>
        <v>4.6</v>
      </c>
      <c r="G5140" s="4" t="str">
        <f>HYPERLINK("http://141.218.60.56/~jnz1568/getInfo.php?workbook=12_04.xlsx&amp;sheet=U0&amp;row=5140&amp;col=7&amp;number=0.0116&amp;sourceID=14","0.0116")</f>
        <v>0.0116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HYPERLINK("http://141.218.60.56/~jnz1568/getInfo.php?workbook=12_04.xlsx&amp;sheet=U0&amp;row=5141&amp;col=6&amp;number=4.7&amp;sourceID=14","4.7")</f>
        <v>4.7</v>
      </c>
      <c r="G5141" s="4" t="str">
        <f>HYPERLINK("http://141.218.60.56/~jnz1568/getInfo.php?workbook=12_04.xlsx&amp;sheet=U0&amp;row=5141&amp;col=7&amp;number=0.0112&amp;sourceID=14","0.0112")</f>
        <v>0.0112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HYPERLINK("http://141.218.60.56/~jnz1568/getInfo.php?workbook=12_04.xlsx&amp;sheet=U0&amp;row=5142&amp;col=6&amp;number=4.8&amp;sourceID=14","4.8")</f>
        <v>4.8</v>
      </c>
      <c r="G5142" s="4" t="str">
        <f>HYPERLINK("http://141.218.60.56/~jnz1568/getInfo.php?workbook=12_04.xlsx&amp;sheet=U0&amp;row=5142&amp;col=7&amp;number=0.0108&amp;sourceID=14","0.0108")</f>
        <v>0.0108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HYPERLINK("http://141.218.60.56/~jnz1568/getInfo.php?workbook=12_04.xlsx&amp;sheet=U0&amp;row=5143&amp;col=6&amp;number=4.9&amp;sourceID=14","4.9")</f>
        <v>4.9</v>
      </c>
      <c r="G5143" s="4" t="str">
        <f>HYPERLINK("http://141.218.60.56/~jnz1568/getInfo.php?workbook=12_04.xlsx&amp;sheet=U0&amp;row=5143&amp;col=7&amp;number=0.0102&amp;sourceID=14","0.0102")</f>
        <v>0.0102</v>
      </c>
    </row>
    <row r="5144" spans="1:7">
      <c r="A5144" s="3">
        <v>12</v>
      </c>
      <c r="B5144" s="3">
        <v>4</v>
      </c>
      <c r="C5144" s="3">
        <v>3</v>
      </c>
      <c r="D5144" s="3">
        <v>68</v>
      </c>
      <c r="E5144" s="3">
        <v>1</v>
      </c>
      <c r="F5144" s="4" t="str">
        <f>HYPERLINK("http://141.218.60.56/~jnz1568/getInfo.php?workbook=12_04.xlsx&amp;sheet=U0&amp;row=5144&amp;col=6&amp;number=3&amp;sourceID=14","3")</f>
        <v>3</v>
      </c>
      <c r="G5144" s="4" t="str">
        <f>HYPERLINK("http://141.218.60.56/~jnz1568/getInfo.php?workbook=12_04.xlsx&amp;sheet=U0&amp;row=5144&amp;col=7&amp;number=0.00516&amp;sourceID=14","0.00516")</f>
        <v>0.00516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HYPERLINK("http://141.218.60.56/~jnz1568/getInfo.php?workbook=12_04.xlsx&amp;sheet=U0&amp;row=5145&amp;col=6&amp;number=3.1&amp;sourceID=14","3.1")</f>
        <v>3.1</v>
      </c>
      <c r="G5145" s="4" t="str">
        <f>HYPERLINK("http://141.218.60.56/~jnz1568/getInfo.php?workbook=12_04.xlsx&amp;sheet=U0&amp;row=5145&amp;col=7&amp;number=0.00515&amp;sourceID=14","0.00515")</f>
        <v>0.00515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HYPERLINK("http://141.218.60.56/~jnz1568/getInfo.php?workbook=12_04.xlsx&amp;sheet=U0&amp;row=5146&amp;col=6&amp;number=3.2&amp;sourceID=14","3.2")</f>
        <v>3.2</v>
      </c>
      <c r="G5146" s="4" t="str">
        <f>HYPERLINK("http://141.218.60.56/~jnz1568/getInfo.php?workbook=12_04.xlsx&amp;sheet=U0&amp;row=5146&amp;col=7&amp;number=0.00513&amp;sourceID=14","0.00513")</f>
        <v>0.00513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HYPERLINK("http://141.218.60.56/~jnz1568/getInfo.php?workbook=12_04.xlsx&amp;sheet=U0&amp;row=5147&amp;col=6&amp;number=3.3&amp;sourceID=14","3.3")</f>
        <v>3.3</v>
      </c>
      <c r="G5147" s="4" t="str">
        <f>HYPERLINK("http://141.218.60.56/~jnz1568/getInfo.php?workbook=12_04.xlsx&amp;sheet=U0&amp;row=5147&amp;col=7&amp;number=0.00511&amp;sourceID=14","0.00511")</f>
        <v>0.00511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HYPERLINK("http://141.218.60.56/~jnz1568/getInfo.php?workbook=12_04.xlsx&amp;sheet=U0&amp;row=5148&amp;col=6&amp;number=3.4&amp;sourceID=14","3.4")</f>
        <v>3.4</v>
      </c>
      <c r="G5148" s="4" t="str">
        <f>HYPERLINK("http://141.218.60.56/~jnz1568/getInfo.php?workbook=12_04.xlsx&amp;sheet=U0&amp;row=5148&amp;col=7&amp;number=0.00509&amp;sourceID=14","0.00509")</f>
        <v>0.00509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HYPERLINK("http://141.218.60.56/~jnz1568/getInfo.php?workbook=12_04.xlsx&amp;sheet=U0&amp;row=5149&amp;col=6&amp;number=3.5&amp;sourceID=14","3.5")</f>
        <v>3.5</v>
      </c>
      <c r="G5149" s="4" t="str">
        <f>HYPERLINK("http://141.218.60.56/~jnz1568/getInfo.php?workbook=12_04.xlsx&amp;sheet=U0&amp;row=5149&amp;col=7&amp;number=0.00506&amp;sourceID=14","0.00506")</f>
        <v>0.00506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HYPERLINK("http://141.218.60.56/~jnz1568/getInfo.php?workbook=12_04.xlsx&amp;sheet=U0&amp;row=5150&amp;col=6&amp;number=3.6&amp;sourceID=14","3.6")</f>
        <v>3.6</v>
      </c>
      <c r="G5150" s="4" t="str">
        <f>HYPERLINK("http://141.218.60.56/~jnz1568/getInfo.php?workbook=12_04.xlsx&amp;sheet=U0&amp;row=5150&amp;col=7&amp;number=0.00502&amp;sourceID=14","0.00502")</f>
        <v>0.00502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HYPERLINK("http://141.218.60.56/~jnz1568/getInfo.php?workbook=12_04.xlsx&amp;sheet=U0&amp;row=5151&amp;col=6&amp;number=3.7&amp;sourceID=14","3.7")</f>
        <v>3.7</v>
      </c>
      <c r="G5151" s="4" t="str">
        <f>HYPERLINK("http://141.218.60.56/~jnz1568/getInfo.php?workbook=12_04.xlsx&amp;sheet=U0&amp;row=5151&amp;col=7&amp;number=0.00497&amp;sourceID=14","0.00497")</f>
        <v>0.00497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HYPERLINK("http://141.218.60.56/~jnz1568/getInfo.php?workbook=12_04.xlsx&amp;sheet=U0&amp;row=5152&amp;col=6&amp;number=3.8&amp;sourceID=14","3.8")</f>
        <v>3.8</v>
      </c>
      <c r="G5152" s="4" t="str">
        <f>HYPERLINK("http://141.218.60.56/~jnz1568/getInfo.php?workbook=12_04.xlsx&amp;sheet=U0&amp;row=5152&amp;col=7&amp;number=0.0049&amp;sourceID=14","0.0049")</f>
        <v>0.0049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HYPERLINK("http://141.218.60.56/~jnz1568/getInfo.php?workbook=12_04.xlsx&amp;sheet=U0&amp;row=5153&amp;col=6&amp;number=3.9&amp;sourceID=14","3.9")</f>
        <v>3.9</v>
      </c>
      <c r="G5153" s="4" t="str">
        <f>HYPERLINK("http://141.218.60.56/~jnz1568/getInfo.php?workbook=12_04.xlsx&amp;sheet=U0&amp;row=5153&amp;col=7&amp;number=0.00483&amp;sourceID=14","0.00483")</f>
        <v>0.00483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HYPERLINK("http://141.218.60.56/~jnz1568/getInfo.php?workbook=12_04.xlsx&amp;sheet=U0&amp;row=5154&amp;col=6&amp;number=4&amp;sourceID=14","4")</f>
        <v>4</v>
      </c>
      <c r="G5154" s="4" t="str">
        <f>HYPERLINK("http://141.218.60.56/~jnz1568/getInfo.php?workbook=12_04.xlsx&amp;sheet=U0&amp;row=5154&amp;col=7&amp;number=0.00473&amp;sourceID=14","0.00473")</f>
        <v>0.00473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HYPERLINK("http://141.218.60.56/~jnz1568/getInfo.php?workbook=12_04.xlsx&amp;sheet=U0&amp;row=5155&amp;col=6&amp;number=4.1&amp;sourceID=14","4.1")</f>
        <v>4.1</v>
      </c>
      <c r="G5155" s="4" t="str">
        <f>HYPERLINK("http://141.218.60.56/~jnz1568/getInfo.php?workbook=12_04.xlsx&amp;sheet=U0&amp;row=5155&amp;col=7&amp;number=0.00461&amp;sourceID=14","0.00461")</f>
        <v>0.00461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HYPERLINK("http://141.218.60.56/~jnz1568/getInfo.php?workbook=12_04.xlsx&amp;sheet=U0&amp;row=5156&amp;col=6&amp;number=4.2&amp;sourceID=14","4.2")</f>
        <v>4.2</v>
      </c>
      <c r="G5156" s="4" t="str">
        <f>HYPERLINK("http://141.218.60.56/~jnz1568/getInfo.php?workbook=12_04.xlsx&amp;sheet=U0&amp;row=5156&amp;col=7&amp;number=0.00446&amp;sourceID=14","0.00446")</f>
        <v>0.00446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HYPERLINK("http://141.218.60.56/~jnz1568/getInfo.php?workbook=12_04.xlsx&amp;sheet=U0&amp;row=5157&amp;col=6&amp;number=4.3&amp;sourceID=14","4.3")</f>
        <v>4.3</v>
      </c>
      <c r="G5157" s="4" t="str">
        <f>HYPERLINK("http://141.218.60.56/~jnz1568/getInfo.php?workbook=12_04.xlsx&amp;sheet=U0&amp;row=5157&amp;col=7&amp;number=0.00428&amp;sourceID=14","0.00428")</f>
        <v>0.00428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HYPERLINK("http://141.218.60.56/~jnz1568/getInfo.php?workbook=12_04.xlsx&amp;sheet=U0&amp;row=5158&amp;col=6&amp;number=4.4&amp;sourceID=14","4.4")</f>
        <v>4.4</v>
      </c>
      <c r="G5158" s="4" t="str">
        <f>HYPERLINK("http://141.218.60.56/~jnz1568/getInfo.php?workbook=12_04.xlsx&amp;sheet=U0&amp;row=5158&amp;col=7&amp;number=0.00405&amp;sourceID=14","0.00405")</f>
        <v>0.00405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HYPERLINK("http://141.218.60.56/~jnz1568/getInfo.php?workbook=12_04.xlsx&amp;sheet=U0&amp;row=5159&amp;col=6&amp;number=4.5&amp;sourceID=14","4.5")</f>
        <v>4.5</v>
      </c>
      <c r="G5159" s="4" t="str">
        <f>HYPERLINK("http://141.218.60.56/~jnz1568/getInfo.php?workbook=12_04.xlsx&amp;sheet=U0&amp;row=5159&amp;col=7&amp;number=0.00378&amp;sourceID=14","0.00378")</f>
        <v>0.00378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HYPERLINK("http://141.218.60.56/~jnz1568/getInfo.php?workbook=12_04.xlsx&amp;sheet=U0&amp;row=5160&amp;col=6&amp;number=4.6&amp;sourceID=14","4.6")</f>
        <v>4.6</v>
      </c>
      <c r="G5160" s="4" t="str">
        <f>HYPERLINK("http://141.218.60.56/~jnz1568/getInfo.php?workbook=12_04.xlsx&amp;sheet=U0&amp;row=5160&amp;col=7&amp;number=0.00346&amp;sourceID=14","0.00346")</f>
        <v>0.00346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HYPERLINK("http://141.218.60.56/~jnz1568/getInfo.php?workbook=12_04.xlsx&amp;sheet=U0&amp;row=5161&amp;col=6&amp;number=4.7&amp;sourceID=14","4.7")</f>
        <v>4.7</v>
      </c>
      <c r="G5161" s="4" t="str">
        <f>HYPERLINK("http://141.218.60.56/~jnz1568/getInfo.php?workbook=12_04.xlsx&amp;sheet=U0&amp;row=5161&amp;col=7&amp;number=0.00309&amp;sourceID=14","0.00309")</f>
        <v>0.00309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HYPERLINK("http://141.218.60.56/~jnz1568/getInfo.php?workbook=12_04.xlsx&amp;sheet=U0&amp;row=5162&amp;col=6&amp;number=4.8&amp;sourceID=14","4.8")</f>
        <v>4.8</v>
      </c>
      <c r="G5162" s="4" t="str">
        <f>HYPERLINK("http://141.218.60.56/~jnz1568/getInfo.php?workbook=12_04.xlsx&amp;sheet=U0&amp;row=5162&amp;col=7&amp;number=0.00269&amp;sourceID=14","0.00269")</f>
        <v>0.00269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HYPERLINK("http://141.218.60.56/~jnz1568/getInfo.php?workbook=12_04.xlsx&amp;sheet=U0&amp;row=5163&amp;col=6&amp;number=4.9&amp;sourceID=14","4.9")</f>
        <v>4.9</v>
      </c>
      <c r="G5163" s="4" t="str">
        <f>HYPERLINK("http://141.218.60.56/~jnz1568/getInfo.php?workbook=12_04.xlsx&amp;sheet=U0&amp;row=5163&amp;col=7&amp;number=0.00227&amp;sourceID=14","0.00227")</f>
        <v>0.00227</v>
      </c>
    </row>
    <row r="5164" spans="1:7">
      <c r="A5164" s="3">
        <v>12</v>
      </c>
      <c r="B5164" s="3">
        <v>4</v>
      </c>
      <c r="C5164" s="3">
        <v>3</v>
      </c>
      <c r="D5164" s="3">
        <v>69</v>
      </c>
      <c r="E5164" s="3">
        <v>1</v>
      </c>
      <c r="F5164" s="4" t="str">
        <f>HYPERLINK("http://141.218.60.56/~jnz1568/getInfo.php?workbook=12_04.xlsx&amp;sheet=U0&amp;row=5164&amp;col=6&amp;number=3&amp;sourceID=14","3")</f>
        <v>3</v>
      </c>
      <c r="G5164" s="4" t="str">
        <f>HYPERLINK("http://141.218.60.56/~jnz1568/getInfo.php?workbook=12_04.xlsx&amp;sheet=U0&amp;row=5164&amp;col=7&amp;number=0.00612&amp;sourceID=14","0.00612")</f>
        <v>0.00612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HYPERLINK("http://141.218.60.56/~jnz1568/getInfo.php?workbook=12_04.xlsx&amp;sheet=U0&amp;row=5165&amp;col=6&amp;number=3.1&amp;sourceID=14","3.1")</f>
        <v>3.1</v>
      </c>
      <c r="G5165" s="4" t="str">
        <f>HYPERLINK("http://141.218.60.56/~jnz1568/getInfo.php?workbook=12_04.xlsx&amp;sheet=U0&amp;row=5165&amp;col=7&amp;number=0.00611&amp;sourceID=14","0.00611")</f>
        <v>0.00611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HYPERLINK("http://141.218.60.56/~jnz1568/getInfo.php?workbook=12_04.xlsx&amp;sheet=U0&amp;row=5166&amp;col=6&amp;number=3.2&amp;sourceID=14","3.2")</f>
        <v>3.2</v>
      </c>
      <c r="G5166" s="4" t="str">
        <f>HYPERLINK("http://141.218.60.56/~jnz1568/getInfo.php?workbook=12_04.xlsx&amp;sheet=U0&amp;row=5166&amp;col=7&amp;number=0.00611&amp;sourceID=14","0.00611")</f>
        <v>0.00611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HYPERLINK("http://141.218.60.56/~jnz1568/getInfo.php?workbook=12_04.xlsx&amp;sheet=U0&amp;row=5167&amp;col=6&amp;number=3.3&amp;sourceID=14","3.3")</f>
        <v>3.3</v>
      </c>
      <c r="G5167" s="4" t="str">
        <f>HYPERLINK("http://141.218.60.56/~jnz1568/getInfo.php?workbook=12_04.xlsx&amp;sheet=U0&amp;row=5167&amp;col=7&amp;number=0.0061&amp;sourceID=14","0.0061")</f>
        <v>0.0061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HYPERLINK("http://141.218.60.56/~jnz1568/getInfo.php?workbook=12_04.xlsx&amp;sheet=U0&amp;row=5168&amp;col=6&amp;number=3.4&amp;sourceID=14","3.4")</f>
        <v>3.4</v>
      </c>
      <c r="G5168" s="4" t="str">
        <f>HYPERLINK("http://141.218.60.56/~jnz1568/getInfo.php?workbook=12_04.xlsx&amp;sheet=U0&amp;row=5168&amp;col=7&amp;number=0.0061&amp;sourceID=14","0.0061")</f>
        <v>0.0061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HYPERLINK("http://141.218.60.56/~jnz1568/getInfo.php?workbook=12_04.xlsx&amp;sheet=U0&amp;row=5169&amp;col=6&amp;number=3.5&amp;sourceID=14","3.5")</f>
        <v>3.5</v>
      </c>
      <c r="G5169" s="4" t="str">
        <f>HYPERLINK("http://141.218.60.56/~jnz1568/getInfo.php?workbook=12_04.xlsx&amp;sheet=U0&amp;row=5169&amp;col=7&amp;number=0.00609&amp;sourceID=14","0.00609")</f>
        <v>0.00609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HYPERLINK("http://141.218.60.56/~jnz1568/getInfo.php?workbook=12_04.xlsx&amp;sheet=U0&amp;row=5170&amp;col=6&amp;number=3.6&amp;sourceID=14","3.6")</f>
        <v>3.6</v>
      </c>
      <c r="G5170" s="4" t="str">
        <f>HYPERLINK("http://141.218.60.56/~jnz1568/getInfo.php?workbook=12_04.xlsx&amp;sheet=U0&amp;row=5170&amp;col=7&amp;number=0.00608&amp;sourceID=14","0.00608")</f>
        <v>0.00608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HYPERLINK("http://141.218.60.56/~jnz1568/getInfo.php?workbook=12_04.xlsx&amp;sheet=U0&amp;row=5171&amp;col=6&amp;number=3.7&amp;sourceID=14","3.7")</f>
        <v>3.7</v>
      </c>
      <c r="G5171" s="4" t="str">
        <f>HYPERLINK("http://141.218.60.56/~jnz1568/getInfo.php?workbook=12_04.xlsx&amp;sheet=U0&amp;row=5171&amp;col=7&amp;number=0.00606&amp;sourceID=14","0.00606")</f>
        <v>0.00606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HYPERLINK("http://141.218.60.56/~jnz1568/getInfo.php?workbook=12_04.xlsx&amp;sheet=U0&amp;row=5172&amp;col=6&amp;number=3.8&amp;sourceID=14","3.8")</f>
        <v>3.8</v>
      </c>
      <c r="G5172" s="4" t="str">
        <f>HYPERLINK("http://141.218.60.56/~jnz1568/getInfo.php?workbook=12_04.xlsx&amp;sheet=U0&amp;row=5172&amp;col=7&amp;number=0.00605&amp;sourceID=14","0.00605")</f>
        <v>0.00605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HYPERLINK("http://141.218.60.56/~jnz1568/getInfo.php?workbook=12_04.xlsx&amp;sheet=U0&amp;row=5173&amp;col=6&amp;number=3.9&amp;sourceID=14","3.9")</f>
        <v>3.9</v>
      </c>
      <c r="G5173" s="4" t="str">
        <f>HYPERLINK("http://141.218.60.56/~jnz1568/getInfo.php?workbook=12_04.xlsx&amp;sheet=U0&amp;row=5173&amp;col=7&amp;number=0.00603&amp;sourceID=14","0.00603")</f>
        <v>0.00603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HYPERLINK("http://141.218.60.56/~jnz1568/getInfo.php?workbook=12_04.xlsx&amp;sheet=U0&amp;row=5174&amp;col=6&amp;number=4&amp;sourceID=14","4")</f>
        <v>4</v>
      </c>
      <c r="G5174" s="4" t="str">
        <f>HYPERLINK("http://141.218.60.56/~jnz1568/getInfo.php?workbook=12_04.xlsx&amp;sheet=U0&amp;row=5174&amp;col=7&amp;number=0.006&amp;sourceID=14","0.006")</f>
        <v>0.006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HYPERLINK("http://141.218.60.56/~jnz1568/getInfo.php?workbook=12_04.xlsx&amp;sheet=U0&amp;row=5175&amp;col=6&amp;number=4.1&amp;sourceID=14","4.1")</f>
        <v>4.1</v>
      </c>
      <c r="G5175" s="4" t="str">
        <f>HYPERLINK("http://141.218.60.56/~jnz1568/getInfo.php?workbook=12_04.xlsx&amp;sheet=U0&amp;row=5175&amp;col=7&amp;number=0.00597&amp;sourceID=14","0.00597")</f>
        <v>0.00597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HYPERLINK("http://141.218.60.56/~jnz1568/getInfo.php?workbook=12_04.xlsx&amp;sheet=U0&amp;row=5176&amp;col=6&amp;number=4.2&amp;sourceID=14","4.2")</f>
        <v>4.2</v>
      </c>
      <c r="G5176" s="4" t="str">
        <f>HYPERLINK("http://141.218.60.56/~jnz1568/getInfo.php?workbook=12_04.xlsx&amp;sheet=U0&amp;row=5176&amp;col=7&amp;number=0.00593&amp;sourceID=14","0.00593")</f>
        <v>0.00593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HYPERLINK("http://141.218.60.56/~jnz1568/getInfo.php?workbook=12_04.xlsx&amp;sheet=U0&amp;row=5177&amp;col=6&amp;number=4.3&amp;sourceID=14","4.3")</f>
        <v>4.3</v>
      </c>
      <c r="G5177" s="4" t="str">
        <f>HYPERLINK("http://141.218.60.56/~jnz1568/getInfo.php?workbook=12_04.xlsx&amp;sheet=U0&amp;row=5177&amp;col=7&amp;number=0.00588&amp;sourceID=14","0.00588")</f>
        <v>0.00588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HYPERLINK("http://141.218.60.56/~jnz1568/getInfo.php?workbook=12_04.xlsx&amp;sheet=U0&amp;row=5178&amp;col=6&amp;number=4.4&amp;sourceID=14","4.4")</f>
        <v>4.4</v>
      </c>
      <c r="G5178" s="4" t="str">
        <f>HYPERLINK("http://141.218.60.56/~jnz1568/getInfo.php?workbook=12_04.xlsx&amp;sheet=U0&amp;row=5178&amp;col=7&amp;number=0.00582&amp;sourceID=14","0.00582")</f>
        <v>0.00582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HYPERLINK("http://141.218.60.56/~jnz1568/getInfo.php?workbook=12_04.xlsx&amp;sheet=U0&amp;row=5179&amp;col=6&amp;number=4.5&amp;sourceID=14","4.5")</f>
        <v>4.5</v>
      </c>
      <c r="G5179" s="4" t="str">
        <f>HYPERLINK("http://141.218.60.56/~jnz1568/getInfo.php?workbook=12_04.xlsx&amp;sheet=U0&amp;row=5179&amp;col=7&amp;number=0.00574&amp;sourceID=14","0.00574")</f>
        <v>0.00574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HYPERLINK("http://141.218.60.56/~jnz1568/getInfo.php?workbook=12_04.xlsx&amp;sheet=U0&amp;row=5180&amp;col=6&amp;number=4.6&amp;sourceID=14","4.6")</f>
        <v>4.6</v>
      </c>
      <c r="G5180" s="4" t="str">
        <f>HYPERLINK("http://141.218.60.56/~jnz1568/getInfo.php?workbook=12_04.xlsx&amp;sheet=U0&amp;row=5180&amp;col=7&amp;number=0.00564&amp;sourceID=14","0.00564")</f>
        <v>0.00564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HYPERLINK("http://141.218.60.56/~jnz1568/getInfo.php?workbook=12_04.xlsx&amp;sheet=U0&amp;row=5181&amp;col=6&amp;number=4.7&amp;sourceID=14","4.7")</f>
        <v>4.7</v>
      </c>
      <c r="G5181" s="4" t="str">
        <f>HYPERLINK("http://141.218.60.56/~jnz1568/getInfo.php?workbook=12_04.xlsx&amp;sheet=U0&amp;row=5181&amp;col=7&amp;number=0.00552&amp;sourceID=14","0.00552")</f>
        <v>0.00552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HYPERLINK("http://141.218.60.56/~jnz1568/getInfo.php?workbook=12_04.xlsx&amp;sheet=U0&amp;row=5182&amp;col=6&amp;number=4.8&amp;sourceID=14","4.8")</f>
        <v>4.8</v>
      </c>
      <c r="G5182" s="4" t="str">
        <f>HYPERLINK("http://141.218.60.56/~jnz1568/getInfo.php?workbook=12_04.xlsx&amp;sheet=U0&amp;row=5182&amp;col=7&amp;number=0.00538&amp;sourceID=14","0.00538")</f>
        <v>0.00538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HYPERLINK("http://141.218.60.56/~jnz1568/getInfo.php?workbook=12_04.xlsx&amp;sheet=U0&amp;row=5183&amp;col=6&amp;number=4.9&amp;sourceID=14","4.9")</f>
        <v>4.9</v>
      </c>
      <c r="G5183" s="4" t="str">
        <f>HYPERLINK("http://141.218.60.56/~jnz1568/getInfo.php?workbook=12_04.xlsx&amp;sheet=U0&amp;row=5183&amp;col=7&amp;number=0.0052&amp;sourceID=14","0.0052")</f>
        <v>0.0052</v>
      </c>
    </row>
    <row r="5184" spans="1:7">
      <c r="A5184" s="3">
        <v>12</v>
      </c>
      <c r="B5184" s="3">
        <v>4</v>
      </c>
      <c r="C5184" s="3">
        <v>3</v>
      </c>
      <c r="D5184" s="3">
        <v>70</v>
      </c>
      <c r="E5184" s="3">
        <v>1</v>
      </c>
      <c r="F5184" s="4" t="str">
        <f>HYPERLINK("http://141.218.60.56/~jnz1568/getInfo.php?workbook=12_04.xlsx&amp;sheet=U0&amp;row=5184&amp;col=6&amp;number=3&amp;sourceID=14","3")</f>
        <v>3</v>
      </c>
      <c r="G5184" s="4" t="str">
        <f>HYPERLINK("http://141.218.60.56/~jnz1568/getInfo.php?workbook=12_04.xlsx&amp;sheet=U0&amp;row=5184&amp;col=7&amp;number=0.00321&amp;sourceID=14","0.00321")</f>
        <v>0.00321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HYPERLINK("http://141.218.60.56/~jnz1568/getInfo.php?workbook=12_04.xlsx&amp;sheet=U0&amp;row=5185&amp;col=6&amp;number=3.1&amp;sourceID=14","3.1")</f>
        <v>3.1</v>
      </c>
      <c r="G5185" s="4" t="str">
        <f>HYPERLINK("http://141.218.60.56/~jnz1568/getInfo.php?workbook=12_04.xlsx&amp;sheet=U0&amp;row=5185&amp;col=7&amp;number=0.0032&amp;sourceID=14","0.0032")</f>
        <v>0.0032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HYPERLINK("http://141.218.60.56/~jnz1568/getInfo.php?workbook=12_04.xlsx&amp;sheet=U0&amp;row=5186&amp;col=6&amp;number=3.2&amp;sourceID=14","3.2")</f>
        <v>3.2</v>
      </c>
      <c r="G5186" s="4" t="str">
        <f>HYPERLINK("http://141.218.60.56/~jnz1568/getInfo.php?workbook=12_04.xlsx&amp;sheet=U0&amp;row=5186&amp;col=7&amp;number=0.0032&amp;sourceID=14","0.0032")</f>
        <v>0.0032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HYPERLINK("http://141.218.60.56/~jnz1568/getInfo.php?workbook=12_04.xlsx&amp;sheet=U0&amp;row=5187&amp;col=6&amp;number=3.3&amp;sourceID=14","3.3")</f>
        <v>3.3</v>
      </c>
      <c r="G5187" s="4" t="str">
        <f>HYPERLINK("http://141.218.60.56/~jnz1568/getInfo.php?workbook=12_04.xlsx&amp;sheet=U0&amp;row=5187&amp;col=7&amp;number=0.0032&amp;sourceID=14","0.0032")</f>
        <v>0.0032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HYPERLINK("http://141.218.60.56/~jnz1568/getInfo.php?workbook=12_04.xlsx&amp;sheet=U0&amp;row=5188&amp;col=6&amp;number=3.4&amp;sourceID=14","3.4")</f>
        <v>3.4</v>
      </c>
      <c r="G5188" s="4" t="str">
        <f>HYPERLINK("http://141.218.60.56/~jnz1568/getInfo.php?workbook=12_04.xlsx&amp;sheet=U0&amp;row=5188&amp;col=7&amp;number=0.0032&amp;sourceID=14","0.0032")</f>
        <v>0.0032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HYPERLINK("http://141.218.60.56/~jnz1568/getInfo.php?workbook=12_04.xlsx&amp;sheet=U0&amp;row=5189&amp;col=6&amp;number=3.5&amp;sourceID=14","3.5")</f>
        <v>3.5</v>
      </c>
      <c r="G5189" s="4" t="str">
        <f>HYPERLINK("http://141.218.60.56/~jnz1568/getInfo.php?workbook=12_04.xlsx&amp;sheet=U0&amp;row=5189&amp;col=7&amp;number=0.00319&amp;sourceID=14","0.00319")</f>
        <v>0.00319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HYPERLINK("http://141.218.60.56/~jnz1568/getInfo.php?workbook=12_04.xlsx&amp;sheet=U0&amp;row=5190&amp;col=6&amp;number=3.6&amp;sourceID=14","3.6")</f>
        <v>3.6</v>
      </c>
      <c r="G5190" s="4" t="str">
        <f>HYPERLINK("http://141.218.60.56/~jnz1568/getInfo.php?workbook=12_04.xlsx&amp;sheet=U0&amp;row=5190&amp;col=7&amp;number=0.00319&amp;sourceID=14","0.00319")</f>
        <v>0.00319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HYPERLINK("http://141.218.60.56/~jnz1568/getInfo.php?workbook=12_04.xlsx&amp;sheet=U0&amp;row=5191&amp;col=6&amp;number=3.7&amp;sourceID=14","3.7")</f>
        <v>3.7</v>
      </c>
      <c r="G5191" s="4" t="str">
        <f>HYPERLINK("http://141.218.60.56/~jnz1568/getInfo.php?workbook=12_04.xlsx&amp;sheet=U0&amp;row=5191&amp;col=7&amp;number=0.00318&amp;sourceID=14","0.00318")</f>
        <v>0.00318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HYPERLINK("http://141.218.60.56/~jnz1568/getInfo.php?workbook=12_04.xlsx&amp;sheet=U0&amp;row=5192&amp;col=6&amp;number=3.8&amp;sourceID=14","3.8")</f>
        <v>3.8</v>
      </c>
      <c r="G5192" s="4" t="str">
        <f>HYPERLINK("http://141.218.60.56/~jnz1568/getInfo.php?workbook=12_04.xlsx&amp;sheet=U0&amp;row=5192&amp;col=7&amp;number=0.00317&amp;sourceID=14","0.00317")</f>
        <v>0.00317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HYPERLINK("http://141.218.60.56/~jnz1568/getInfo.php?workbook=12_04.xlsx&amp;sheet=U0&amp;row=5193&amp;col=6&amp;number=3.9&amp;sourceID=14","3.9")</f>
        <v>3.9</v>
      </c>
      <c r="G5193" s="4" t="str">
        <f>HYPERLINK("http://141.218.60.56/~jnz1568/getInfo.php?workbook=12_04.xlsx&amp;sheet=U0&amp;row=5193&amp;col=7&amp;number=0.00316&amp;sourceID=14","0.00316")</f>
        <v>0.00316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HYPERLINK("http://141.218.60.56/~jnz1568/getInfo.php?workbook=12_04.xlsx&amp;sheet=U0&amp;row=5194&amp;col=6&amp;number=4&amp;sourceID=14","4")</f>
        <v>4</v>
      </c>
      <c r="G5194" s="4" t="str">
        <f>HYPERLINK("http://141.218.60.56/~jnz1568/getInfo.php?workbook=12_04.xlsx&amp;sheet=U0&amp;row=5194&amp;col=7&amp;number=0.00314&amp;sourceID=14","0.00314")</f>
        <v>0.00314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HYPERLINK("http://141.218.60.56/~jnz1568/getInfo.php?workbook=12_04.xlsx&amp;sheet=U0&amp;row=5195&amp;col=6&amp;number=4.1&amp;sourceID=14","4.1")</f>
        <v>4.1</v>
      </c>
      <c r="G5195" s="4" t="str">
        <f>HYPERLINK("http://141.218.60.56/~jnz1568/getInfo.php?workbook=12_04.xlsx&amp;sheet=U0&amp;row=5195&amp;col=7&amp;number=0.00312&amp;sourceID=14","0.00312")</f>
        <v>0.00312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HYPERLINK("http://141.218.60.56/~jnz1568/getInfo.php?workbook=12_04.xlsx&amp;sheet=U0&amp;row=5196&amp;col=6&amp;number=4.2&amp;sourceID=14","4.2")</f>
        <v>4.2</v>
      </c>
      <c r="G5196" s="4" t="str">
        <f>HYPERLINK("http://141.218.60.56/~jnz1568/getInfo.php?workbook=12_04.xlsx&amp;sheet=U0&amp;row=5196&amp;col=7&amp;number=0.0031&amp;sourceID=14","0.0031")</f>
        <v>0.0031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HYPERLINK("http://141.218.60.56/~jnz1568/getInfo.php?workbook=12_04.xlsx&amp;sheet=U0&amp;row=5197&amp;col=6&amp;number=4.3&amp;sourceID=14","4.3")</f>
        <v>4.3</v>
      </c>
      <c r="G5197" s="4" t="str">
        <f>HYPERLINK("http://141.218.60.56/~jnz1568/getInfo.php?workbook=12_04.xlsx&amp;sheet=U0&amp;row=5197&amp;col=7&amp;number=0.00307&amp;sourceID=14","0.00307")</f>
        <v>0.00307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HYPERLINK("http://141.218.60.56/~jnz1568/getInfo.php?workbook=12_04.xlsx&amp;sheet=U0&amp;row=5198&amp;col=6&amp;number=4.4&amp;sourceID=14","4.4")</f>
        <v>4.4</v>
      </c>
      <c r="G5198" s="4" t="str">
        <f>HYPERLINK("http://141.218.60.56/~jnz1568/getInfo.php?workbook=12_04.xlsx&amp;sheet=U0&amp;row=5198&amp;col=7&amp;number=0.00304&amp;sourceID=14","0.00304")</f>
        <v>0.00304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HYPERLINK("http://141.218.60.56/~jnz1568/getInfo.php?workbook=12_04.xlsx&amp;sheet=U0&amp;row=5199&amp;col=6&amp;number=4.5&amp;sourceID=14","4.5")</f>
        <v>4.5</v>
      </c>
      <c r="G5199" s="4" t="str">
        <f>HYPERLINK("http://141.218.60.56/~jnz1568/getInfo.php?workbook=12_04.xlsx&amp;sheet=U0&amp;row=5199&amp;col=7&amp;number=0.00299&amp;sourceID=14","0.00299")</f>
        <v>0.00299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HYPERLINK("http://141.218.60.56/~jnz1568/getInfo.php?workbook=12_04.xlsx&amp;sheet=U0&amp;row=5200&amp;col=6&amp;number=4.6&amp;sourceID=14","4.6")</f>
        <v>4.6</v>
      </c>
      <c r="G5200" s="4" t="str">
        <f>HYPERLINK("http://141.218.60.56/~jnz1568/getInfo.php?workbook=12_04.xlsx&amp;sheet=U0&amp;row=5200&amp;col=7&amp;number=0.00294&amp;sourceID=14","0.00294")</f>
        <v>0.00294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HYPERLINK("http://141.218.60.56/~jnz1568/getInfo.php?workbook=12_04.xlsx&amp;sheet=U0&amp;row=5201&amp;col=6&amp;number=4.7&amp;sourceID=14","4.7")</f>
        <v>4.7</v>
      </c>
      <c r="G5201" s="4" t="str">
        <f>HYPERLINK("http://141.218.60.56/~jnz1568/getInfo.php?workbook=12_04.xlsx&amp;sheet=U0&amp;row=5201&amp;col=7&amp;number=0.00287&amp;sourceID=14","0.00287")</f>
        <v>0.00287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HYPERLINK("http://141.218.60.56/~jnz1568/getInfo.php?workbook=12_04.xlsx&amp;sheet=U0&amp;row=5202&amp;col=6&amp;number=4.8&amp;sourceID=14","4.8")</f>
        <v>4.8</v>
      </c>
      <c r="G5202" s="4" t="str">
        <f>HYPERLINK("http://141.218.60.56/~jnz1568/getInfo.php?workbook=12_04.xlsx&amp;sheet=U0&amp;row=5202&amp;col=7&amp;number=0.00278&amp;sourceID=14","0.00278")</f>
        <v>0.00278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HYPERLINK("http://141.218.60.56/~jnz1568/getInfo.php?workbook=12_04.xlsx&amp;sheet=U0&amp;row=5203&amp;col=6&amp;number=4.9&amp;sourceID=14","4.9")</f>
        <v>4.9</v>
      </c>
      <c r="G5203" s="4" t="str">
        <f>HYPERLINK("http://141.218.60.56/~jnz1568/getInfo.php?workbook=12_04.xlsx&amp;sheet=U0&amp;row=5203&amp;col=7&amp;number=0.00269&amp;sourceID=14","0.00269")</f>
        <v>0.00269</v>
      </c>
    </row>
    <row r="5204" spans="1:7">
      <c r="A5204" s="3">
        <v>12</v>
      </c>
      <c r="B5204" s="3">
        <v>4</v>
      </c>
      <c r="C5204" s="3">
        <v>3</v>
      </c>
      <c r="D5204" s="3">
        <v>71</v>
      </c>
      <c r="E5204" s="3">
        <v>1</v>
      </c>
      <c r="F5204" s="4" t="str">
        <f>HYPERLINK("http://141.218.60.56/~jnz1568/getInfo.php?workbook=12_04.xlsx&amp;sheet=U0&amp;row=5204&amp;col=6&amp;number=3&amp;sourceID=14","3")</f>
        <v>3</v>
      </c>
      <c r="G5204" s="4" t="str">
        <f>HYPERLINK("http://141.218.60.56/~jnz1568/getInfo.php?workbook=12_04.xlsx&amp;sheet=U0&amp;row=5204&amp;col=7&amp;number=0.00253&amp;sourceID=14","0.00253")</f>
        <v>0.00253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HYPERLINK("http://141.218.60.56/~jnz1568/getInfo.php?workbook=12_04.xlsx&amp;sheet=U0&amp;row=5205&amp;col=6&amp;number=3.1&amp;sourceID=14","3.1")</f>
        <v>3.1</v>
      </c>
      <c r="G5205" s="4" t="str">
        <f>HYPERLINK("http://141.218.60.56/~jnz1568/getInfo.php?workbook=12_04.xlsx&amp;sheet=U0&amp;row=5205&amp;col=7&amp;number=0.00253&amp;sourceID=14","0.00253")</f>
        <v>0.00253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HYPERLINK("http://141.218.60.56/~jnz1568/getInfo.php?workbook=12_04.xlsx&amp;sheet=U0&amp;row=5206&amp;col=6&amp;number=3.2&amp;sourceID=14","3.2")</f>
        <v>3.2</v>
      </c>
      <c r="G5206" s="4" t="str">
        <f>HYPERLINK("http://141.218.60.56/~jnz1568/getInfo.php?workbook=12_04.xlsx&amp;sheet=U0&amp;row=5206&amp;col=7&amp;number=0.00253&amp;sourceID=14","0.00253")</f>
        <v>0.00253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HYPERLINK("http://141.218.60.56/~jnz1568/getInfo.php?workbook=12_04.xlsx&amp;sheet=U0&amp;row=5207&amp;col=6&amp;number=3.3&amp;sourceID=14","3.3")</f>
        <v>3.3</v>
      </c>
      <c r="G5207" s="4" t="str">
        <f>HYPERLINK("http://141.218.60.56/~jnz1568/getInfo.php?workbook=12_04.xlsx&amp;sheet=U0&amp;row=5207&amp;col=7&amp;number=0.00252&amp;sourceID=14","0.00252")</f>
        <v>0.00252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HYPERLINK("http://141.218.60.56/~jnz1568/getInfo.php?workbook=12_04.xlsx&amp;sheet=U0&amp;row=5208&amp;col=6&amp;number=3.4&amp;sourceID=14","3.4")</f>
        <v>3.4</v>
      </c>
      <c r="G5208" s="4" t="str">
        <f>HYPERLINK("http://141.218.60.56/~jnz1568/getInfo.php?workbook=12_04.xlsx&amp;sheet=U0&amp;row=5208&amp;col=7&amp;number=0.00252&amp;sourceID=14","0.00252")</f>
        <v>0.00252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HYPERLINK("http://141.218.60.56/~jnz1568/getInfo.php?workbook=12_04.xlsx&amp;sheet=U0&amp;row=5209&amp;col=6&amp;number=3.5&amp;sourceID=14","3.5")</f>
        <v>3.5</v>
      </c>
      <c r="G5209" s="4" t="str">
        <f>HYPERLINK("http://141.218.60.56/~jnz1568/getInfo.php?workbook=12_04.xlsx&amp;sheet=U0&amp;row=5209&amp;col=7&amp;number=0.00251&amp;sourceID=14","0.00251")</f>
        <v>0.00251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HYPERLINK("http://141.218.60.56/~jnz1568/getInfo.php?workbook=12_04.xlsx&amp;sheet=U0&amp;row=5210&amp;col=6&amp;number=3.6&amp;sourceID=14","3.6")</f>
        <v>3.6</v>
      </c>
      <c r="G5210" s="4" t="str">
        <f>HYPERLINK("http://141.218.60.56/~jnz1568/getInfo.php?workbook=12_04.xlsx&amp;sheet=U0&amp;row=5210&amp;col=7&amp;number=0.00251&amp;sourceID=14","0.00251")</f>
        <v>0.00251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HYPERLINK("http://141.218.60.56/~jnz1568/getInfo.php?workbook=12_04.xlsx&amp;sheet=U0&amp;row=5211&amp;col=6&amp;number=3.7&amp;sourceID=14","3.7")</f>
        <v>3.7</v>
      </c>
      <c r="G5211" s="4" t="str">
        <f>HYPERLINK("http://141.218.60.56/~jnz1568/getInfo.php?workbook=12_04.xlsx&amp;sheet=U0&amp;row=5211&amp;col=7&amp;number=0.0025&amp;sourceID=14","0.0025")</f>
        <v>0.0025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HYPERLINK("http://141.218.60.56/~jnz1568/getInfo.php?workbook=12_04.xlsx&amp;sheet=U0&amp;row=5212&amp;col=6&amp;number=3.8&amp;sourceID=14","3.8")</f>
        <v>3.8</v>
      </c>
      <c r="G5212" s="4" t="str">
        <f>HYPERLINK("http://141.218.60.56/~jnz1568/getInfo.php?workbook=12_04.xlsx&amp;sheet=U0&amp;row=5212&amp;col=7&amp;number=0.00249&amp;sourceID=14","0.00249")</f>
        <v>0.00249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HYPERLINK("http://141.218.60.56/~jnz1568/getInfo.php?workbook=12_04.xlsx&amp;sheet=U0&amp;row=5213&amp;col=6&amp;number=3.9&amp;sourceID=14","3.9")</f>
        <v>3.9</v>
      </c>
      <c r="G5213" s="4" t="str">
        <f>HYPERLINK("http://141.218.60.56/~jnz1568/getInfo.php?workbook=12_04.xlsx&amp;sheet=U0&amp;row=5213&amp;col=7&amp;number=0.00247&amp;sourceID=14","0.00247")</f>
        <v>0.00247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HYPERLINK("http://141.218.60.56/~jnz1568/getInfo.php?workbook=12_04.xlsx&amp;sheet=U0&amp;row=5214&amp;col=6&amp;number=4&amp;sourceID=14","4")</f>
        <v>4</v>
      </c>
      <c r="G5214" s="4" t="str">
        <f>HYPERLINK("http://141.218.60.56/~jnz1568/getInfo.php?workbook=12_04.xlsx&amp;sheet=U0&amp;row=5214&amp;col=7&amp;number=0.00245&amp;sourceID=14","0.00245")</f>
        <v>0.00245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HYPERLINK("http://141.218.60.56/~jnz1568/getInfo.php?workbook=12_04.xlsx&amp;sheet=U0&amp;row=5215&amp;col=6&amp;number=4.1&amp;sourceID=14","4.1")</f>
        <v>4.1</v>
      </c>
      <c r="G5215" s="4" t="str">
        <f>HYPERLINK("http://141.218.60.56/~jnz1568/getInfo.php?workbook=12_04.xlsx&amp;sheet=U0&amp;row=5215&amp;col=7&amp;number=0.00243&amp;sourceID=14","0.00243")</f>
        <v>0.00243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HYPERLINK("http://141.218.60.56/~jnz1568/getInfo.php?workbook=12_04.xlsx&amp;sheet=U0&amp;row=5216&amp;col=6&amp;number=4.2&amp;sourceID=14","4.2")</f>
        <v>4.2</v>
      </c>
      <c r="G5216" s="4" t="str">
        <f>HYPERLINK("http://141.218.60.56/~jnz1568/getInfo.php?workbook=12_04.xlsx&amp;sheet=U0&amp;row=5216&amp;col=7&amp;number=0.0024&amp;sourceID=14","0.0024")</f>
        <v>0.0024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HYPERLINK("http://141.218.60.56/~jnz1568/getInfo.php?workbook=12_04.xlsx&amp;sheet=U0&amp;row=5217&amp;col=6&amp;number=4.3&amp;sourceID=14","4.3")</f>
        <v>4.3</v>
      </c>
      <c r="G5217" s="4" t="str">
        <f>HYPERLINK("http://141.218.60.56/~jnz1568/getInfo.php?workbook=12_04.xlsx&amp;sheet=U0&amp;row=5217&amp;col=7&amp;number=0.00237&amp;sourceID=14","0.00237")</f>
        <v>0.00237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HYPERLINK("http://141.218.60.56/~jnz1568/getInfo.php?workbook=12_04.xlsx&amp;sheet=U0&amp;row=5218&amp;col=6&amp;number=4.4&amp;sourceID=14","4.4")</f>
        <v>4.4</v>
      </c>
      <c r="G5218" s="4" t="str">
        <f>HYPERLINK("http://141.218.60.56/~jnz1568/getInfo.php?workbook=12_04.xlsx&amp;sheet=U0&amp;row=5218&amp;col=7&amp;number=0.00232&amp;sourceID=14","0.00232")</f>
        <v>0.00232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HYPERLINK("http://141.218.60.56/~jnz1568/getInfo.php?workbook=12_04.xlsx&amp;sheet=U0&amp;row=5219&amp;col=6&amp;number=4.5&amp;sourceID=14","4.5")</f>
        <v>4.5</v>
      </c>
      <c r="G5219" s="4" t="str">
        <f>HYPERLINK("http://141.218.60.56/~jnz1568/getInfo.php?workbook=12_04.xlsx&amp;sheet=U0&amp;row=5219&amp;col=7&amp;number=0.00227&amp;sourceID=14","0.00227")</f>
        <v>0.00227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HYPERLINK("http://141.218.60.56/~jnz1568/getInfo.php?workbook=12_04.xlsx&amp;sheet=U0&amp;row=5220&amp;col=6&amp;number=4.6&amp;sourceID=14","4.6")</f>
        <v>4.6</v>
      </c>
      <c r="G5220" s="4" t="str">
        <f>HYPERLINK("http://141.218.60.56/~jnz1568/getInfo.php?workbook=12_04.xlsx&amp;sheet=U0&amp;row=5220&amp;col=7&amp;number=0.0022&amp;sourceID=14","0.0022")</f>
        <v>0.0022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HYPERLINK("http://141.218.60.56/~jnz1568/getInfo.php?workbook=12_04.xlsx&amp;sheet=U0&amp;row=5221&amp;col=6&amp;number=4.7&amp;sourceID=14","4.7")</f>
        <v>4.7</v>
      </c>
      <c r="G5221" s="4" t="str">
        <f>HYPERLINK("http://141.218.60.56/~jnz1568/getInfo.php?workbook=12_04.xlsx&amp;sheet=U0&amp;row=5221&amp;col=7&amp;number=0.00211&amp;sourceID=14","0.00211")</f>
        <v>0.00211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HYPERLINK("http://141.218.60.56/~jnz1568/getInfo.php?workbook=12_04.xlsx&amp;sheet=U0&amp;row=5222&amp;col=6&amp;number=4.8&amp;sourceID=14","4.8")</f>
        <v>4.8</v>
      </c>
      <c r="G5222" s="4" t="str">
        <f>HYPERLINK("http://141.218.60.56/~jnz1568/getInfo.php?workbook=12_04.xlsx&amp;sheet=U0&amp;row=5222&amp;col=7&amp;number=0.002&amp;sourceID=14","0.002")</f>
        <v>0.002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HYPERLINK("http://141.218.60.56/~jnz1568/getInfo.php?workbook=12_04.xlsx&amp;sheet=U0&amp;row=5223&amp;col=6&amp;number=4.9&amp;sourceID=14","4.9")</f>
        <v>4.9</v>
      </c>
      <c r="G5223" s="4" t="str">
        <f>HYPERLINK("http://141.218.60.56/~jnz1568/getInfo.php?workbook=12_04.xlsx&amp;sheet=U0&amp;row=5223&amp;col=7&amp;number=0.00187&amp;sourceID=14","0.00187")</f>
        <v>0.00187</v>
      </c>
    </row>
    <row r="5224" spans="1:7">
      <c r="A5224" s="3">
        <v>12</v>
      </c>
      <c r="B5224" s="3">
        <v>4</v>
      </c>
      <c r="C5224" s="3">
        <v>3</v>
      </c>
      <c r="D5224" s="3">
        <v>72</v>
      </c>
      <c r="E5224" s="3">
        <v>1</v>
      </c>
      <c r="F5224" s="4" t="str">
        <f>HYPERLINK("http://141.218.60.56/~jnz1568/getInfo.php?workbook=12_04.xlsx&amp;sheet=U0&amp;row=5224&amp;col=6&amp;number=3&amp;sourceID=14","3")</f>
        <v>3</v>
      </c>
      <c r="G5224" s="4" t="str">
        <f>HYPERLINK("http://141.218.60.56/~jnz1568/getInfo.php?workbook=12_04.xlsx&amp;sheet=U0&amp;row=5224&amp;col=7&amp;number=0.00498&amp;sourceID=14","0.00498")</f>
        <v>0.00498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HYPERLINK("http://141.218.60.56/~jnz1568/getInfo.php?workbook=12_04.xlsx&amp;sheet=U0&amp;row=5225&amp;col=6&amp;number=3.1&amp;sourceID=14","3.1")</f>
        <v>3.1</v>
      </c>
      <c r="G5225" s="4" t="str">
        <f>HYPERLINK("http://141.218.60.56/~jnz1568/getInfo.php?workbook=12_04.xlsx&amp;sheet=U0&amp;row=5225&amp;col=7&amp;number=0.00498&amp;sourceID=14","0.00498")</f>
        <v>0.00498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HYPERLINK("http://141.218.60.56/~jnz1568/getInfo.php?workbook=12_04.xlsx&amp;sheet=U0&amp;row=5226&amp;col=6&amp;number=3.2&amp;sourceID=14","3.2")</f>
        <v>3.2</v>
      </c>
      <c r="G5226" s="4" t="str">
        <f>HYPERLINK("http://141.218.60.56/~jnz1568/getInfo.php?workbook=12_04.xlsx&amp;sheet=U0&amp;row=5226&amp;col=7&amp;number=0.00497&amp;sourceID=14","0.00497")</f>
        <v>0.00497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HYPERLINK("http://141.218.60.56/~jnz1568/getInfo.php?workbook=12_04.xlsx&amp;sheet=U0&amp;row=5227&amp;col=6&amp;number=3.3&amp;sourceID=14","3.3")</f>
        <v>3.3</v>
      </c>
      <c r="G5227" s="4" t="str">
        <f>HYPERLINK("http://141.218.60.56/~jnz1568/getInfo.php?workbook=12_04.xlsx&amp;sheet=U0&amp;row=5227&amp;col=7&amp;number=0.00497&amp;sourceID=14","0.00497")</f>
        <v>0.00497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HYPERLINK("http://141.218.60.56/~jnz1568/getInfo.php?workbook=12_04.xlsx&amp;sheet=U0&amp;row=5228&amp;col=6&amp;number=3.4&amp;sourceID=14","3.4")</f>
        <v>3.4</v>
      </c>
      <c r="G5228" s="4" t="str">
        <f>HYPERLINK("http://141.218.60.56/~jnz1568/getInfo.php?workbook=12_04.xlsx&amp;sheet=U0&amp;row=5228&amp;col=7&amp;number=0.00496&amp;sourceID=14","0.00496")</f>
        <v>0.00496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HYPERLINK("http://141.218.60.56/~jnz1568/getInfo.php?workbook=12_04.xlsx&amp;sheet=U0&amp;row=5229&amp;col=6&amp;number=3.5&amp;sourceID=14","3.5")</f>
        <v>3.5</v>
      </c>
      <c r="G5229" s="4" t="str">
        <f>HYPERLINK("http://141.218.60.56/~jnz1568/getInfo.php?workbook=12_04.xlsx&amp;sheet=U0&amp;row=5229&amp;col=7&amp;number=0.00495&amp;sourceID=14","0.00495")</f>
        <v>0.00495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HYPERLINK("http://141.218.60.56/~jnz1568/getInfo.php?workbook=12_04.xlsx&amp;sheet=U0&amp;row=5230&amp;col=6&amp;number=3.6&amp;sourceID=14","3.6")</f>
        <v>3.6</v>
      </c>
      <c r="G5230" s="4" t="str">
        <f>HYPERLINK("http://141.218.60.56/~jnz1568/getInfo.php?workbook=12_04.xlsx&amp;sheet=U0&amp;row=5230&amp;col=7&amp;number=0.00494&amp;sourceID=14","0.00494")</f>
        <v>0.00494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HYPERLINK("http://141.218.60.56/~jnz1568/getInfo.php?workbook=12_04.xlsx&amp;sheet=U0&amp;row=5231&amp;col=6&amp;number=3.7&amp;sourceID=14","3.7")</f>
        <v>3.7</v>
      </c>
      <c r="G5231" s="4" t="str">
        <f>HYPERLINK("http://141.218.60.56/~jnz1568/getInfo.php?workbook=12_04.xlsx&amp;sheet=U0&amp;row=5231&amp;col=7&amp;number=0.00492&amp;sourceID=14","0.00492")</f>
        <v>0.00492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HYPERLINK("http://141.218.60.56/~jnz1568/getInfo.php?workbook=12_04.xlsx&amp;sheet=U0&amp;row=5232&amp;col=6&amp;number=3.8&amp;sourceID=14","3.8")</f>
        <v>3.8</v>
      </c>
      <c r="G5232" s="4" t="str">
        <f>HYPERLINK("http://141.218.60.56/~jnz1568/getInfo.php?workbook=12_04.xlsx&amp;sheet=U0&amp;row=5232&amp;col=7&amp;number=0.00491&amp;sourceID=14","0.00491")</f>
        <v>0.00491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HYPERLINK("http://141.218.60.56/~jnz1568/getInfo.php?workbook=12_04.xlsx&amp;sheet=U0&amp;row=5233&amp;col=6&amp;number=3.9&amp;sourceID=14","3.9")</f>
        <v>3.9</v>
      </c>
      <c r="G5233" s="4" t="str">
        <f>HYPERLINK("http://141.218.60.56/~jnz1568/getInfo.php?workbook=12_04.xlsx&amp;sheet=U0&amp;row=5233&amp;col=7&amp;number=0.00488&amp;sourceID=14","0.00488")</f>
        <v>0.00488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HYPERLINK("http://141.218.60.56/~jnz1568/getInfo.php?workbook=12_04.xlsx&amp;sheet=U0&amp;row=5234&amp;col=6&amp;number=4&amp;sourceID=14","4")</f>
        <v>4</v>
      </c>
      <c r="G5234" s="4" t="str">
        <f>HYPERLINK("http://141.218.60.56/~jnz1568/getInfo.php?workbook=12_04.xlsx&amp;sheet=U0&amp;row=5234&amp;col=7&amp;number=0.00485&amp;sourceID=14","0.00485")</f>
        <v>0.00485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HYPERLINK("http://141.218.60.56/~jnz1568/getInfo.php?workbook=12_04.xlsx&amp;sheet=U0&amp;row=5235&amp;col=6&amp;number=4.1&amp;sourceID=14","4.1")</f>
        <v>4.1</v>
      </c>
      <c r="G5235" s="4" t="str">
        <f>HYPERLINK("http://141.218.60.56/~jnz1568/getInfo.php?workbook=12_04.xlsx&amp;sheet=U0&amp;row=5235&amp;col=7&amp;number=0.00482&amp;sourceID=14","0.00482")</f>
        <v>0.00482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HYPERLINK("http://141.218.60.56/~jnz1568/getInfo.php?workbook=12_04.xlsx&amp;sheet=U0&amp;row=5236&amp;col=6&amp;number=4.2&amp;sourceID=14","4.2")</f>
        <v>4.2</v>
      </c>
      <c r="G5236" s="4" t="str">
        <f>HYPERLINK("http://141.218.60.56/~jnz1568/getInfo.php?workbook=12_04.xlsx&amp;sheet=U0&amp;row=5236&amp;col=7&amp;number=0.00477&amp;sourceID=14","0.00477")</f>
        <v>0.00477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HYPERLINK("http://141.218.60.56/~jnz1568/getInfo.php?workbook=12_04.xlsx&amp;sheet=U0&amp;row=5237&amp;col=6&amp;number=4.3&amp;sourceID=14","4.3")</f>
        <v>4.3</v>
      </c>
      <c r="G5237" s="4" t="str">
        <f>HYPERLINK("http://141.218.60.56/~jnz1568/getInfo.php?workbook=12_04.xlsx&amp;sheet=U0&amp;row=5237&amp;col=7&amp;number=0.00472&amp;sourceID=14","0.00472")</f>
        <v>0.00472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HYPERLINK("http://141.218.60.56/~jnz1568/getInfo.php?workbook=12_04.xlsx&amp;sheet=U0&amp;row=5238&amp;col=6&amp;number=4.4&amp;sourceID=14","4.4")</f>
        <v>4.4</v>
      </c>
      <c r="G5238" s="4" t="str">
        <f>HYPERLINK("http://141.218.60.56/~jnz1568/getInfo.php?workbook=12_04.xlsx&amp;sheet=U0&amp;row=5238&amp;col=7&amp;number=0.00464&amp;sourceID=14","0.00464")</f>
        <v>0.00464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HYPERLINK("http://141.218.60.56/~jnz1568/getInfo.php?workbook=12_04.xlsx&amp;sheet=U0&amp;row=5239&amp;col=6&amp;number=4.5&amp;sourceID=14","4.5")</f>
        <v>4.5</v>
      </c>
      <c r="G5239" s="4" t="str">
        <f>HYPERLINK("http://141.218.60.56/~jnz1568/getInfo.php?workbook=12_04.xlsx&amp;sheet=U0&amp;row=5239&amp;col=7&amp;number=0.00456&amp;sourceID=14","0.00456")</f>
        <v>0.00456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HYPERLINK("http://141.218.60.56/~jnz1568/getInfo.php?workbook=12_04.xlsx&amp;sheet=U0&amp;row=5240&amp;col=6&amp;number=4.6&amp;sourceID=14","4.6")</f>
        <v>4.6</v>
      </c>
      <c r="G5240" s="4" t="str">
        <f>HYPERLINK("http://141.218.60.56/~jnz1568/getInfo.php?workbook=12_04.xlsx&amp;sheet=U0&amp;row=5240&amp;col=7&amp;number=0.00445&amp;sourceID=14","0.00445")</f>
        <v>0.00445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HYPERLINK("http://141.218.60.56/~jnz1568/getInfo.php?workbook=12_04.xlsx&amp;sheet=U0&amp;row=5241&amp;col=6&amp;number=4.7&amp;sourceID=14","4.7")</f>
        <v>4.7</v>
      </c>
      <c r="G5241" s="4" t="str">
        <f>HYPERLINK("http://141.218.60.56/~jnz1568/getInfo.php?workbook=12_04.xlsx&amp;sheet=U0&amp;row=5241&amp;col=7&amp;number=0.00431&amp;sourceID=14","0.00431")</f>
        <v>0.00431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HYPERLINK("http://141.218.60.56/~jnz1568/getInfo.php?workbook=12_04.xlsx&amp;sheet=U0&amp;row=5242&amp;col=6&amp;number=4.8&amp;sourceID=14","4.8")</f>
        <v>4.8</v>
      </c>
      <c r="G5242" s="4" t="str">
        <f>HYPERLINK("http://141.218.60.56/~jnz1568/getInfo.php?workbook=12_04.xlsx&amp;sheet=U0&amp;row=5242&amp;col=7&amp;number=0.00415&amp;sourceID=14","0.00415")</f>
        <v>0.00415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HYPERLINK("http://141.218.60.56/~jnz1568/getInfo.php?workbook=12_04.xlsx&amp;sheet=U0&amp;row=5243&amp;col=6&amp;number=4.9&amp;sourceID=14","4.9")</f>
        <v>4.9</v>
      </c>
      <c r="G5243" s="4" t="str">
        <f>HYPERLINK("http://141.218.60.56/~jnz1568/getInfo.php?workbook=12_04.xlsx&amp;sheet=U0&amp;row=5243&amp;col=7&amp;number=0.00395&amp;sourceID=14","0.00395")</f>
        <v>0.00395</v>
      </c>
    </row>
    <row r="5244" spans="1:7">
      <c r="A5244" s="3">
        <v>12</v>
      </c>
      <c r="B5244" s="3">
        <v>4</v>
      </c>
      <c r="C5244" s="3">
        <v>3</v>
      </c>
      <c r="D5244" s="3">
        <v>73</v>
      </c>
      <c r="E5244" s="3">
        <v>1</v>
      </c>
      <c r="F5244" s="4" t="str">
        <f>HYPERLINK("http://141.218.60.56/~jnz1568/getInfo.php?workbook=12_04.xlsx&amp;sheet=U0&amp;row=5244&amp;col=6&amp;number=3&amp;sourceID=14","3")</f>
        <v>3</v>
      </c>
      <c r="G5244" s="4" t="str">
        <f>HYPERLINK("http://141.218.60.56/~jnz1568/getInfo.php?workbook=12_04.xlsx&amp;sheet=U0&amp;row=5244&amp;col=7&amp;number=0.00813&amp;sourceID=14","0.00813")</f>
        <v>0.00813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HYPERLINK("http://141.218.60.56/~jnz1568/getInfo.php?workbook=12_04.xlsx&amp;sheet=U0&amp;row=5245&amp;col=6&amp;number=3.1&amp;sourceID=14","3.1")</f>
        <v>3.1</v>
      </c>
      <c r="G5245" s="4" t="str">
        <f>HYPERLINK("http://141.218.60.56/~jnz1568/getInfo.php?workbook=12_04.xlsx&amp;sheet=U0&amp;row=5245&amp;col=7&amp;number=0.00812&amp;sourceID=14","0.00812")</f>
        <v>0.00812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HYPERLINK("http://141.218.60.56/~jnz1568/getInfo.php?workbook=12_04.xlsx&amp;sheet=U0&amp;row=5246&amp;col=6&amp;number=3.2&amp;sourceID=14","3.2")</f>
        <v>3.2</v>
      </c>
      <c r="G5246" s="4" t="str">
        <f>HYPERLINK("http://141.218.60.56/~jnz1568/getInfo.php?workbook=12_04.xlsx&amp;sheet=U0&amp;row=5246&amp;col=7&amp;number=0.00812&amp;sourceID=14","0.00812")</f>
        <v>0.00812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HYPERLINK("http://141.218.60.56/~jnz1568/getInfo.php?workbook=12_04.xlsx&amp;sheet=U0&amp;row=5247&amp;col=6&amp;number=3.3&amp;sourceID=14","3.3")</f>
        <v>3.3</v>
      </c>
      <c r="G5247" s="4" t="str">
        <f>HYPERLINK("http://141.218.60.56/~jnz1568/getInfo.php?workbook=12_04.xlsx&amp;sheet=U0&amp;row=5247&amp;col=7&amp;number=0.00811&amp;sourceID=14","0.00811")</f>
        <v>0.00811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HYPERLINK("http://141.218.60.56/~jnz1568/getInfo.php?workbook=12_04.xlsx&amp;sheet=U0&amp;row=5248&amp;col=6&amp;number=3.4&amp;sourceID=14","3.4")</f>
        <v>3.4</v>
      </c>
      <c r="G5248" s="4" t="str">
        <f>HYPERLINK("http://141.218.60.56/~jnz1568/getInfo.php?workbook=12_04.xlsx&amp;sheet=U0&amp;row=5248&amp;col=7&amp;number=0.00811&amp;sourceID=14","0.00811")</f>
        <v>0.00811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HYPERLINK("http://141.218.60.56/~jnz1568/getInfo.php?workbook=12_04.xlsx&amp;sheet=U0&amp;row=5249&amp;col=6&amp;number=3.5&amp;sourceID=14","3.5")</f>
        <v>3.5</v>
      </c>
      <c r="G5249" s="4" t="str">
        <f>HYPERLINK("http://141.218.60.56/~jnz1568/getInfo.php?workbook=12_04.xlsx&amp;sheet=U0&amp;row=5249&amp;col=7&amp;number=0.0081&amp;sourceID=14","0.0081")</f>
        <v>0.0081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HYPERLINK("http://141.218.60.56/~jnz1568/getInfo.php?workbook=12_04.xlsx&amp;sheet=U0&amp;row=5250&amp;col=6&amp;number=3.6&amp;sourceID=14","3.6")</f>
        <v>3.6</v>
      </c>
      <c r="G5250" s="4" t="str">
        <f>HYPERLINK("http://141.218.60.56/~jnz1568/getInfo.php?workbook=12_04.xlsx&amp;sheet=U0&amp;row=5250&amp;col=7&amp;number=0.00809&amp;sourceID=14","0.00809")</f>
        <v>0.00809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HYPERLINK("http://141.218.60.56/~jnz1568/getInfo.php?workbook=12_04.xlsx&amp;sheet=U0&amp;row=5251&amp;col=6&amp;number=3.7&amp;sourceID=14","3.7")</f>
        <v>3.7</v>
      </c>
      <c r="G5251" s="4" t="str">
        <f>HYPERLINK("http://141.218.60.56/~jnz1568/getInfo.php?workbook=12_04.xlsx&amp;sheet=U0&amp;row=5251&amp;col=7&amp;number=0.00807&amp;sourceID=14","0.00807")</f>
        <v>0.00807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HYPERLINK("http://141.218.60.56/~jnz1568/getInfo.php?workbook=12_04.xlsx&amp;sheet=U0&amp;row=5252&amp;col=6&amp;number=3.8&amp;sourceID=14","3.8")</f>
        <v>3.8</v>
      </c>
      <c r="G5252" s="4" t="str">
        <f>HYPERLINK("http://141.218.60.56/~jnz1568/getInfo.php?workbook=12_04.xlsx&amp;sheet=U0&amp;row=5252&amp;col=7&amp;number=0.00805&amp;sourceID=14","0.00805")</f>
        <v>0.00805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HYPERLINK("http://141.218.60.56/~jnz1568/getInfo.php?workbook=12_04.xlsx&amp;sheet=U0&amp;row=5253&amp;col=6&amp;number=3.9&amp;sourceID=14","3.9")</f>
        <v>3.9</v>
      </c>
      <c r="G5253" s="4" t="str">
        <f>HYPERLINK("http://141.218.60.56/~jnz1568/getInfo.php?workbook=12_04.xlsx&amp;sheet=U0&amp;row=5253&amp;col=7&amp;number=0.00803&amp;sourceID=14","0.00803")</f>
        <v>0.00803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HYPERLINK("http://141.218.60.56/~jnz1568/getInfo.php?workbook=12_04.xlsx&amp;sheet=U0&amp;row=5254&amp;col=6&amp;number=4&amp;sourceID=14","4")</f>
        <v>4</v>
      </c>
      <c r="G5254" s="4" t="str">
        <f>HYPERLINK("http://141.218.60.56/~jnz1568/getInfo.php?workbook=12_04.xlsx&amp;sheet=U0&amp;row=5254&amp;col=7&amp;number=0.008&amp;sourceID=14","0.008")</f>
        <v>0.008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HYPERLINK("http://141.218.60.56/~jnz1568/getInfo.php?workbook=12_04.xlsx&amp;sheet=U0&amp;row=5255&amp;col=6&amp;number=4.1&amp;sourceID=14","4.1")</f>
        <v>4.1</v>
      </c>
      <c r="G5255" s="4" t="str">
        <f>HYPERLINK("http://141.218.60.56/~jnz1568/getInfo.php?workbook=12_04.xlsx&amp;sheet=U0&amp;row=5255&amp;col=7&amp;number=0.00797&amp;sourceID=14","0.00797")</f>
        <v>0.00797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HYPERLINK("http://141.218.60.56/~jnz1568/getInfo.php?workbook=12_04.xlsx&amp;sheet=U0&amp;row=5256&amp;col=6&amp;number=4.2&amp;sourceID=14","4.2")</f>
        <v>4.2</v>
      </c>
      <c r="G5256" s="4" t="str">
        <f>HYPERLINK("http://141.218.60.56/~jnz1568/getInfo.php?workbook=12_04.xlsx&amp;sheet=U0&amp;row=5256&amp;col=7&amp;number=0.00793&amp;sourceID=14","0.00793")</f>
        <v>0.00793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HYPERLINK("http://141.218.60.56/~jnz1568/getInfo.php?workbook=12_04.xlsx&amp;sheet=U0&amp;row=5257&amp;col=6&amp;number=4.3&amp;sourceID=14","4.3")</f>
        <v>4.3</v>
      </c>
      <c r="G5257" s="4" t="str">
        <f>HYPERLINK("http://141.218.60.56/~jnz1568/getInfo.php?workbook=12_04.xlsx&amp;sheet=U0&amp;row=5257&amp;col=7&amp;number=0.00787&amp;sourceID=14","0.00787")</f>
        <v>0.00787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HYPERLINK("http://141.218.60.56/~jnz1568/getInfo.php?workbook=12_04.xlsx&amp;sheet=U0&amp;row=5258&amp;col=6&amp;number=4.4&amp;sourceID=14","4.4")</f>
        <v>4.4</v>
      </c>
      <c r="G5258" s="4" t="str">
        <f>HYPERLINK("http://141.218.60.56/~jnz1568/getInfo.php?workbook=12_04.xlsx&amp;sheet=U0&amp;row=5258&amp;col=7&amp;number=0.0078&amp;sourceID=14","0.0078")</f>
        <v>0.0078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HYPERLINK("http://141.218.60.56/~jnz1568/getInfo.php?workbook=12_04.xlsx&amp;sheet=U0&amp;row=5259&amp;col=6&amp;number=4.5&amp;sourceID=14","4.5")</f>
        <v>4.5</v>
      </c>
      <c r="G5259" s="4" t="str">
        <f>HYPERLINK("http://141.218.60.56/~jnz1568/getInfo.php?workbook=12_04.xlsx&amp;sheet=U0&amp;row=5259&amp;col=7&amp;number=0.00772&amp;sourceID=14","0.00772")</f>
        <v>0.00772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HYPERLINK("http://141.218.60.56/~jnz1568/getInfo.php?workbook=12_04.xlsx&amp;sheet=U0&amp;row=5260&amp;col=6&amp;number=4.6&amp;sourceID=14","4.6")</f>
        <v>4.6</v>
      </c>
      <c r="G5260" s="4" t="str">
        <f>HYPERLINK("http://141.218.60.56/~jnz1568/getInfo.php?workbook=12_04.xlsx&amp;sheet=U0&amp;row=5260&amp;col=7&amp;number=0.00762&amp;sourceID=14","0.00762")</f>
        <v>0.00762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HYPERLINK("http://141.218.60.56/~jnz1568/getInfo.php?workbook=12_04.xlsx&amp;sheet=U0&amp;row=5261&amp;col=6&amp;number=4.7&amp;sourceID=14","4.7")</f>
        <v>4.7</v>
      </c>
      <c r="G5261" s="4" t="str">
        <f>HYPERLINK("http://141.218.60.56/~jnz1568/getInfo.php?workbook=12_04.xlsx&amp;sheet=U0&amp;row=5261&amp;col=7&amp;number=0.00749&amp;sourceID=14","0.00749")</f>
        <v>0.00749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HYPERLINK("http://141.218.60.56/~jnz1568/getInfo.php?workbook=12_04.xlsx&amp;sheet=U0&amp;row=5262&amp;col=6&amp;number=4.8&amp;sourceID=14","4.8")</f>
        <v>4.8</v>
      </c>
      <c r="G5262" s="4" t="str">
        <f>HYPERLINK("http://141.218.60.56/~jnz1568/getInfo.php?workbook=12_04.xlsx&amp;sheet=U0&amp;row=5262&amp;col=7&amp;number=0.00735&amp;sourceID=14","0.00735")</f>
        <v>0.00735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HYPERLINK("http://141.218.60.56/~jnz1568/getInfo.php?workbook=12_04.xlsx&amp;sheet=U0&amp;row=5263&amp;col=6&amp;number=4.9&amp;sourceID=14","4.9")</f>
        <v>4.9</v>
      </c>
      <c r="G5263" s="4" t="str">
        <f>HYPERLINK("http://141.218.60.56/~jnz1568/getInfo.php?workbook=12_04.xlsx&amp;sheet=U0&amp;row=5263&amp;col=7&amp;number=0.00717&amp;sourceID=14","0.00717")</f>
        <v>0.00717</v>
      </c>
    </row>
    <row r="5264" spans="1:7">
      <c r="A5264" s="3">
        <v>12</v>
      </c>
      <c r="B5264" s="3">
        <v>4</v>
      </c>
      <c r="C5264" s="3">
        <v>3</v>
      </c>
      <c r="D5264" s="3">
        <v>74</v>
      </c>
      <c r="E5264" s="3">
        <v>1</v>
      </c>
      <c r="F5264" s="4" t="str">
        <f>HYPERLINK("http://141.218.60.56/~jnz1568/getInfo.php?workbook=12_04.xlsx&amp;sheet=U0&amp;row=5264&amp;col=6&amp;number=3&amp;sourceID=14","3")</f>
        <v>3</v>
      </c>
      <c r="G5264" s="4" t="str">
        <f>HYPERLINK("http://141.218.60.56/~jnz1568/getInfo.php?workbook=12_04.xlsx&amp;sheet=U0&amp;row=5264&amp;col=7&amp;number=0.0114&amp;sourceID=14","0.0114")</f>
        <v>0.0114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HYPERLINK("http://141.218.60.56/~jnz1568/getInfo.php?workbook=12_04.xlsx&amp;sheet=U0&amp;row=5265&amp;col=6&amp;number=3.1&amp;sourceID=14","3.1")</f>
        <v>3.1</v>
      </c>
      <c r="G5265" s="4" t="str">
        <f>HYPERLINK("http://141.218.60.56/~jnz1568/getInfo.php?workbook=12_04.xlsx&amp;sheet=U0&amp;row=5265&amp;col=7&amp;number=0.0114&amp;sourceID=14","0.0114")</f>
        <v>0.0114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HYPERLINK("http://141.218.60.56/~jnz1568/getInfo.php?workbook=12_04.xlsx&amp;sheet=U0&amp;row=5266&amp;col=6&amp;number=3.2&amp;sourceID=14","3.2")</f>
        <v>3.2</v>
      </c>
      <c r="G5266" s="4" t="str">
        <f>HYPERLINK("http://141.218.60.56/~jnz1568/getInfo.php?workbook=12_04.xlsx&amp;sheet=U0&amp;row=5266&amp;col=7&amp;number=0.0114&amp;sourceID=14","0.0114")</f>
        <v>0.0114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HYPERLINK("http://141.218.60.56/~jnz1568/getInfo.php?workbook=12_04.xlsx&amp;sheet=U0&amp;row=5267&amp;col=6&amp;number=3.3&amp;sourceID=14","3.3")</f>
        <v>3.3</v>
      </c>
      <c r="G5267" s="4" t="str">
        <f>HYPERLINK("http://141.218.60.56/~jnz1568/getInfo.php?workbook=12_04.xlsx&amp;sheet=U0&amp;row=5267&amp;col=7&amp;number=0.0114&amp;sourceID=14","0.0114")</f>
        <v>0.0114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HYPERLINK("http://141.218.60.56/~jnz1568/getInfo.php?workbook=12_04.xlsx&amp;sheet=U0&amp;row=5268&amp;col=6&amp;number=3.4&amp;sourceID=14","3.4")</f>
        <v>3.4</v>
      </c>
      <c r="G5268" s="4" t="str">
        <f>HYPERLINK("http://141.218.60.56/~jnz1568/getInfo.php?workbook=12_04.xlsx&amp;sheet=U0&amp;row=5268&amp;col=7&amp;number=0.0114&amp;sourceID=14","0.0114")</f>
        <v>0.0114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HYPERLINK("http://141.218.60.56/~jnz1568/getInfo.php?workbook=12_04.xlsx&amp;sheet=U0&amp;row=5269&amp;col=6&amp;number=3.5&amp;sourceID=14","3.5")</f>
        <v>3.5</v>
      </c>
      <c r="G5269" s="4" t="str">
        <f>HYPERLINK("http://141.218.60.56/~jnz1568/getInfo.php?workbook=12_04.xlsx&amp;sheet=U0&amp;row=5269&amp;col=7&amp;number=0.0114&amp;sourceID=14","0.0114")</f>
        <v>0.0114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HYPERLINK("http://141.218.60.56/~jnz1568/getInfo.php?workbook=12_04.xlsx&amp;sheet=U0&amp;row=5270&amp;col=6&amp;number=3.6&amp;sourceID=14","3.6")</f>
        <v>3.6</v>
      </c>
      <c r="G5270" s="4" t="str">
        <f>HYPERLINK("http://141.218.60.56/~jnz1568/getInfo.php?workbook=12_04.xlsx&amp;sheet=U0&amp;row=5270&amp;col=7&amp;number=0.0114&amp;sourceID=14","0.0114")</f>
        <v>0.0114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HYPERLINK("http://141.218.60.56/~jnz1568/getInfo.php?workbook=12_04.xlsx&amp;sheet=U0&amp;row=5271&amp;col=6&amp;number=3.7&amp;sourceID=14","3.7")</f>
        <v>3.7</v>
      </c>
      <c r="G5271" s="4" t="str">
        <f>HYPERLINK("http://141.218.60.56/~jnz1568/getInfo.php?workbook=12_04.xlsx&amp;sheet=U0&amp;row=5271&amp;col=7&amp;number=0.0114&amp;sourceID=14","0.0114")</f>
        <v>0.0114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HYPERLINK("http://141.218.60.56/~jnz1568/getInfo.php?workbook=12_04.xlsx&amp;sheet=U0&amp;row=5272&amp;col=6&amp;number=3.8&amp;sourceID=14","3.8")</f>
        <v>3.8</v>
      </c>
      <c r="G5272" s="4" t="str">
        <f>HYPERLINK("http://141.218.60.56/~jnz1568/getInfo.php?workbook=12_04.xlsx&amp;sheet=U0&amp;row=5272&amp;col=7&amp;number=0.0114&amp;sourceID=14","0.0114")</f>
        <v>0.0114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HYPERLINK("http://141.218.60.56/~jnz1568/getInfo.php?workbook=12_04.xlsx&amp;sheet=U0&amp;row=5273&amp;col=6&amp;number=3.9&amp;sourceID=14","3.9")</f>
        <v>3.9</v>
      </c>
      <c r="G5273" s="4" t="str">
        <f>HYPERLINK("http://141.218.60.56/~jnz1568/getInfo.php?workbook=12_04.xlsx&amp;sheet=U0&amp;row=5273&amp;col=7&amp;number=0.0113&amp;sourceID=14","0.0113")</f>
        <v>0.0113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HYPERLINK("http://141.218.60.56/~jnz1568/getInfo.php?workbook=12_04.xlsx&amp;sheet=U0&amp;row=5274&amp;col=6&amp;number=4&amp;sourceID=14","4")</f>
        <v>4</v>
      </c>
      <c r="G5274" s="4" t="str">
        <f>HYPERLINK("http://141.218.60.56/~jnz1568/getInfo.php?workbook=12_04.xlsx&amp;sheet=U0&amp;row=5274&amp;col=7&amp;number=0.0113&amp;sourceID=14","0.0113")</f>
        <v>0.0113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HYPERLINK("http://141.218.60.56/~jnz1568/getInfo.php?workbook=12_04.xlsx&amp;sheet=U0&amp;row=5275&amp;col=6&amp;number=4.1&amp;sourceID=14","4.1")</f>
        <v>4.1</v>
      </c>
      <c r="G5275" s="4" t="str">
        <f>HYPERLINK("http://141.218.60.56/~jnz1568/getInfo.php?workbook=12_04.xlsx&amp;sheet=U0&amp;row=5275&amp;col=7&amp;number=0.0113&amp;sourceID=14","0.0113")</f>
        <v>0.0113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HYPERLINK("http://141.218.60.56/~jnz1568/getInfo.php?workbook=12_04.xlsx&amp;sheet=U0&amp;row=5276&amp;col=6&amp;number=4.2&amp;sourceID=14","4.2")</f>
        <v>4.2</v>
      </c>
      <c r="G5276" s="4" t="str">
        <f>HYPERLINK("http://141.218.60.56/~jnz1568/getInfo.php?workbook=12_04.xlsx&amp;sheet=U0&amp;row=5276&amp;col=7&amp;number=0.0113&amp;sourceID=14","0.0113")</f>
        <v>0.0113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HYPERLINK("http://141.218.60.56/~jnz1568/getInfo.php?workbook=12_04.xlsx&amp;sheet=U0&amp;row=5277&amp;col=6&amp;number=4.3&amp;sourceID=14","4.3")</f>
        <v>4.3</v>
      </c>
      <c r="G5277" s="4" t="str">
        <f>HYPERLINK("http://141.218.60.56/~jnz1568/getInfo.php?workbook=12_04.xlsx&amp;sheet=U0&amp;row=5277&amp;col=7&amp;number=0.0112&amp;sourceID=14","0.0112")</f>
        <v>0.0112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HYPERLINK("http://141.218.60.56/~jnz1568/getInfo.php?workbook=12_04.xlsx&amp;sheet=U0&amp;row=5278&amp;col=6&amp;number=4.4&amp;sourceID=14","4.4")</f>
        <v>4.4</v>
      </c>
      <c r="G5278" s="4" t="str">
        <f>HYPERLINK("http://141.218.60.56/~jnz1568/getInfo.php?workbook=12_04.xlsx&amp;sheet=U0&amp;row=5278&amp;col=7&amp;number=0.0112&amp;sourceID=14","0.0112")</f>
        <v>0.0112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HYPERLINK("http://141.218.60.56/~jnz1568/getInfo.php?workbook=12_04.xlsx&amp;sheet=U0&amp;row=5279&amp;col=6&amp;number=4.5&amp;sourceID=14","4.5")</f>
        <v>4.5</v>
      </c>
      <c r="G5279" s="4" t="str">
        <f>HYPERLINK("http://141.218.60.56/~jnz1568/getInfo.php?workbook=12_04.xlsx&amp;sheet=U0&amp;row=5279&amp;col=7&amp;number=0.0111&amp;sourceID=14","0.0111")</f>
        <v>0.0111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HYPERLINK("http://141.218.60.56/~jnz1568/getInfo.php?workbook=12_04.xlsx&amp;sheet=U0&amp;row=5280&amp;col=6&amp;number=4.6&amp;sourceID=14","4.6")</f>
        <v>4.6</v>
      </c>
      <c r="G5280" s="4" t="str">
        <f>HYPERLINK("http://141.218.60.56/~jnz1568/getInfo.php?workbook=12_04.xlsx&amp;sheet=U0&amp;row=5280&amp;col=7&amp;number=0.011&amp;sourceID=14","0.011")</f>
        <v>0.011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HYPERLINK("http://141.218.60.56/~jnz1568/getInfo.php?workbook=12_04.xlsx&amp;sheet=U0&amp;row=5281&amp;col=6&amp;number=4.7&amp;sourceID=14","4.7")</f>
        <v>4.7</v>
      </c>
      <c r="G5281" s="4" t="str">
        <f>HYPERLINK("http://141.218.60.56/~jnz1568/getInfo.php?workbook=12_04.xlsx&amp;sheet=U0&amp;row=5281&amp;col=7&amp;number=0.0109&amp;sourceID=14","0.0109")</f>
        <v>0.0109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HYPERLINK("http://141.218.60.56/~jnz1568/getInfo.php?workbook=12_04.xlsx&amp;sheet=U0&amp;row=5282&amp;col=6&amp;number=4.8&amp;sourceID=14","4.8")</f>
        <v>4.8</v>
      </c>
      <c r="G5282" s="4" t="str">
        <f>HYPERLINK("http://141.218.60.56/~jnz1568/getInfo.php?workbook=12_04.xlsx&amp;sheet=U0&amp;row=5282&amp;col=7&amp;number=0.0108&amp;sourceID=14","0.0108")</f>
        <v>0.0108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HYPERLINK("http://141.218.60.56/~jnz1568/getInfo.php?workbook=12_04.xlsx&amp;sheet=U0&amp;row=5283&amp;col=6&amp;number=4.9&amp;sourceID=14","4.9")</f>
        <v>4.9</v>
      </c>
      <c r="G5283" s="4" t="str">
        <f>HYPERLINK("http://141.218.60.56/~jnz1568/getInfo.php?workbook=12_04.xlsx&amp;sheet=U0&amp;row=5283&amp;col=7&amp;number=0.0107&amp;sourceID=14","0.0107")</f>
        <v>0.0107</v>
      </c>
    </row>
    <row r="5284" spans="1:7">
      <c r="A5284" s="3">
        <v>12</v>
      </c>
      <c r="B5284" s="3">
        <v>4</v>
      </c>
      <c r="C5284" s="3">
        <v>3</v>
      </c>
      <c r="D5284" s="3">
        <v>75</v>
      </c>
      <c r="E5284" s="3">
        <v>1</v>
      </c>
      <c r="F5284" s="4" t="str">
        <f>HYPERLINK("http://141.218.60.56/~jnz1568/getInfo.php?workbook=12_04.xlsx&amp;sheet=U0&amp;row=5284&amp;col=6&amp;number=3&amp;sourceID=14","3")</f>
        <v>3</v>
      </c>
      <c r="G5284" s="4" t="str">
        <f>HYPERLINK("http://141.218.60.56/~jnz1568/getInfo.php?workbook=12_04.xlsx&amp;sheet=U0&amp;row=5284&amp;col=7&amp;number=0.00423&amp;sourceID=14","0.00423")</f>
        <v>0.00423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HYPERLINK("http://141.218.60.56/~jnz1568/getInfo.php?workbook=12_04.xlsx&amp;sheet=U0&amp;row=5285&amp;col=6&amp;number=3.1&amp;sourceID=14","3.1")</f>
        <v>3.1</v>
      </c>
      <c r="G5285" s="4" t="str">
        <f>HYPERLINK("http://141.218.60.56/~jnz1568/getInfo.php?workbook=12_04.xlsx&amp;sheet=U0&amp;row=5285&amp;col=7&amp;number=0.00422&amp;sourceID=14","0.00422")</f>
        <v>0.00422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HYPERLINK("http://141.218.60.56/~jnz1568/getInfo.php?workbook=12_04.xlsx&amp;sheet=U0&amp;row=5286&amp;col=6&amp;number=3.2&amp;sourceID=14","3.2")</f>
        <v>3.2</v>
      </c>
      <c r="G5286" s="4" t="str">
        <f>HYPERLINK("http://141.218.60.56/~jnz1568/getInfo.php?workbook=12_04.xlsx&amp;sheet=U0&amp;row=5286&amp;col=7&amp;number=0.00422&amp;sourceID=14","0.00422")</f>
        <v>0.00422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HYPERLINK("http://141.218.60.56/~jnz1568/getInfo.php?workbook=12_04.xlsx&amp;sheet=U0&amp;row=5287&amp;col=6&amp;number=3.3&amp;sourceID=14","3.3")</f>
        <v>3.3</v>
      </c>
      <c r="G5287" s="4" t="str">
        <f>HYPERLINK("http://141.218.60.56/~jnz1568/getInfo.php?workbook=12_04.xlsx&amp;sheet=U0&amp;row=5287&amp;col=7&amp;number=0.00421&amp;sourceID=14","0.00421")</f>
        <v>0.00421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HYPERLINK("http://141.218.60.56/~jnz1568/getInfo.php?workbook=12_04.xlsx&amp;sheet=U0&amp;row=5288&amp;col=6&amp;number=3.4&amp;sourceID=14","3.4")</f>
        <v>3.4</v>
      </c>
      <c r="G5288" s="4" t="str">
        <f>HYPERLINK("http://141.218.60.56/~jnz1568/getInfo.php?workbook=12_04.xlsx&amp;sheet=U0&amp;row=5288&amp;col=7&amp;number=0.0042&amp;sourceID=14","0.0042")</f>
        <v>0.0042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HYPERLINK("http://141.218.60.56/~jnz1568/getInfo.php?workbook=12_04.xlsx&amp;sheet=U0&amp;row=5289&amp;col=6&amp;number=3.5&amp;sourceID=14","3.5")</f>
        <v>3.5</v>
      </c>
      <c r="G5289" s="4" t="str">
        <f>HYPERLINK("http://141.218.60.56/~jnz1568/getInfo.php?workbook=12_04.xlsx&amp;sheet=U0&amp;row=5289&amp;col=7&amp;number=0.00419&amp;sourceID=14","0.00419")</f>
        <v>0.00419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HYPERLINK("http://141.218.60.56/~jnz1568/getInfo.php?workbook=12_04.xlsx&amp;sheet=U0&amp;row=5290&amp;col=6&amp;number=3.6&amp;sourceID=14","3.6")</f>
        <v>3.6</v>
      </c>
      <c r="G5290" s="4" t="str">
        <f>HYPERLINK("http://141.218.60.56/~jnz1568/getInfo.php?workbook=12_04.xlsx&amp;sheet=U0&amp;row=5290&amp;col=7&amp;number=0.00418&amp;sourceID=14","0.00418")</f>
        <v>0.00418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HYPERLINK("http://141.218.60.56/~jnz1568/getInfo.php?workbook=12_04.xlsx&amp;sheet=U0&amp;row=5291&amp;col=6&amp;number=3.7&amp;sourceID=14","3.7")</f>
        <v>3.7</v>
      </c>
      <c r="G5291" s="4" t="str">
        <f>HYPERLINK("http://141.218.60.56/~jnz1568/getInfo.php?workbook=12_04.xlsx&amp;sheet=U0&amp;row=5291&amp;col=7&amp;number=0.00416&amp;sourceID=14","0.00416")</f>
        <v>0.00416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HYPERLINK("http://141.218.60.56/~jnz1568/getInfo.php?workbook=12_04.xlsx&amp;sheet=U0&amp;row=5292&amp;col=6&amp;number=3.8&amp;sourceID=14","3.8")</f>
        <v>3.8</v>
      </c>
      <c r="G5292" s="4" t="str">
        <f>HYPERLINK("http://141.218.60.56/~jnz1568/getInfo.php?workbook=12_04.xlsx&amp;sheet=U0&amp;row=5292&amp;col=7&amp;number=0.00414&amp;sourceID=14","0.00414")</f>
        <v>0.00414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HYPERLINK("http://141.218.60.56/~jnz1568/getInfo.php?workbook=12_04.xlsx&amp;sheet=U0&amp;row=5293&amp;col=6&amp;number=3.9&amp;sourceID=14","3.9")</f>
        <v>3.9</v>
      </c>
      <c r="G5293" s="4" t="str">
        <f>HYPERLINK("http://141.218.60.56/~jnz1568/getInfo.php?workbook=12_04.xlsx&amp;sheet=U0&amp;row=5293&amp;col=7&amp;number=0.00411&amp;sourceID=14","0.00411")</f>
        <v>0.00411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HYPERLINK("http://141.218.60.56/~jnz1568/getInfo.php?workbook=12_04.xlsx&amp;sheet=U0&amp;row=5294&amp;col=6&amp;number=4&amp;sourceID=14","4")</f>
        <v>4</v>
      </c>
      <c r="G5294" s="4" t="str">
        <f>HYPERLINK("http://141.218.60.56/~jnz1568/getInfo.php?workbook=12_04.xlsx&amp;sheet=U0&amp;row=5294&amp;col=7&amp;number=0.00408&amp;sourceID=14","0.00408")</f>
        <v>0.00408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HYPERLINK("http://141.218.60.56/~jnz1568/getInfo.php?workbook=12_04.xlsx&amp;sheet=U0&amp;row=5295&amp;col=6&amp;number=4.1&amp;sourceID=14","4.1")</f>
        <v>4.1</v>
      </c>
      <c r="G5295" s="4" t="str">
        <f>HYPERLINK("http://141.218.60.56/~jnz1568/getInfo.php?workbook=12_04.xlsx&amp;sheet=U0&amp;row=5295&amp;col=7&amp;number=0.00404&amp;sourceID=14","0.00404")</f>
        <v>0.00404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HYPERLINK("http://141.218.60.56/~jnz1568/getInfo.php?workbook=12_04.xlsx&amp;sheet=U0&amp;row=5296&amp;col=6&amp;number=4.2&amp;sourceID=14","4.2")</f>
        <v>4.2</v>
      </c>
      <c r="G5296" s="4" t="str">
        <f>HYPERLINK("http://141.218.60.56/~jnz1568/getInfo.php?workbook=12_04.xlsx&amp;sheet=U0&amp;row=5296&amp;col=7&amp;number=0.00399&amp;sourceID=14","0.00399")</f>
        <v>0.00399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HYPERLINK("http://141.218.60.56/~jnz1568/getInfo.php?workbook=12_04.xlsx&amp;sheet=U0&amp;row=5297&amp;col=6&amp;number=4.3&amp;sourceID=14","4.3")</f>
        <v>4.3</v>
      </c>
      <c r="G5297" s="4" t="str">
        <f>HYPERLINK("http://141.218.60.56/~jnz1568/getInfo.php?workbook=12_04.xlsx&amp;sheet=U0&amp;row=5297&amp;col=7&amp;number=0.00393&amp;sourceID=14","0.00393")</f>
        <v>0.00393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HYPERLINK("http://141.218.60.56/~jnz1568/getInfo.php?workbook=12_04.xlsx&amp;sheet=U0&amp;row=5298&amp;col=6&amp;number=4.4&amp;sourceID=14","4.4")</f>
        <v>4.4</v>
      </c>
      <c r="G5298" s="4" t="str">
        <f>HYPERLINK("http://141.218.60.56/~jnz1568/getInfo.php?workbook=12_04.xlsx&amp;sheet=U0&amp;row=5298&amp;col=7&amp;number=0.00385&amp;sourceID=14","0.00385")</f>
        <v>0.00385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HYPERLINK("http://141.218.60.56/~jnz1568/getInfo.php?workbook=12_04.xlsx&amp;sheet=U0&amp;row=5299&amp;col=6&amp;number=4.5&amp;sourceID=14","4.5")</f>
        <v>4.5</v>
      </c>
      <c r="G5299" s="4" t="str">
        <f>HYPERLINK("http://141.218.60.56/~jnz1568/getInfo.php?workbook=12_04.xlsx&amp;sheet=U0&amp;row=5299&amp;col=7&amp;number=0.00376&amp;sourceID=14","0.00376")</f>
        <v>0.00376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HYPERLINK("http://141.218.60.56/~jnz1568/getInfo.php?workbook=12_04.xlsx&amp;sheet=U0&amp;row=5300&amp;col=6&amp;number=4.6&amp;sourceID=14","4.6")</f>
        <v>4.6</v>
      </c>
      <c r="G5300" s="4" t="str">
        <f>HYPERLINK("http://141.218.60.56/~jnz1568/getInfo.php?workbook=12_04.xlsx&amp;sheet=U0&amp;row=5300&amp;col=7&amp;number=0.00364&amp;sourceID=14","0.00364")</f>
        <v>0.00364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HYPERLINK("http://141.218.60.56/~jnz1568/getInfo.php?workbook=12_04.xlsx&amp;sheet=U0&amp;row=5301&amp;col=6&amp;number=4.7&amp;sourceID=14","4.7")</f>
        <v>4.7</v>
      </c>
      <c r="G5301" s="4" t="str">
        <f>HYPERLINK("http://141.218.60.56/~jnz1568/getInfo.php?workbook=12_04.xlsx&amp;sheet=U0&amp;row=5301&amp;col=7&amp;number=0.00352&amp;sourceID=14","0.00352")</f>
        <v>0.00352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HYPERLINK("http://141.218.60.56/~jnz1568/getInfo.php?workbook=12_04.xlsx&amp;sheet=U0&amp;row=5302&amp;col=6&amp;number=4.8&amp;sourceID=14","4.8")</f>
        <v>4.8</v>
      </c>
      <c r="G5302" s="4" t="str">
        <f>HYPERLINK("http://141.218.60.56/~jnz1568/getInfo.php?workbook=12_04.xlsx&amp;sheet=U0&amp;row=5302&amp;col=7&amp;number=0.00337&amp;sourceID=14","0.00337")</f>
        <v>0.00337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HYPERLINK("http://141.218.60.56/~jnz1568/getInfo.php?workbook=12_04.xlsx&amp;sheet=U0&amp;row=5303&amp;col=6&amp;number=4.9&amp;sourceID=14","4.9")</f>
        <v>4.9</v>
      </c>
      <c r="G5303" s="4" t="str">
        <f>HYPERLINK("http://141.218.60.56/~jnz1568/getInfo.php?workbook=12_04.xlsx&amp;sheet=U0&amp;row=5303&amp;col=7&amp;number=0.00323&amp;sourceID=14","0.00323")</f>
        <v>0.00323</v>
      </c>
    </row>
    <row r="5304" spans="1:7">
      <c r="A5304" s="3">
        <v>12</v>
      </c>
      <c r="B5304" s="3">
        <v>4</v>
      </c>
      <c r="C5304" s="3">
        <v>3</v>
      </c>
      <c r="D5304" s="3">
        <v>76</v>
      </c>
      <c r="E5304" s="3">
        <v>1</v>
      </c>
      <c r="F5304" s="4" t="str">
        <f>HYPERLINK("http://141.218.60.56/~jnz1568/getInfo.php?workbook=12_04.xlsx&amp;sheet=U0&amp;row=5304&amp;col=6&amp;number=3&amp;sourceID=14","3")</f>
        <v>3</v>
      </c>
      <c r="G5304" s="4" t="str">
        <f>HYPERLINK("http://141.218.60.56/~jnz1568/getInfo.php?workbook=12_04.xlsx&amp;sheet=U0&amp;row=5304&amp;col=7&amp;number=0.00456&amp;sourceID=14","0.00456")</f>
        <v>0.00456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HYPERLINK("http://141.218.60.56/~jnz1568/getInfo.php?workbook=12_04.xlsx&amp;sheet=U0&amp;row=5305&amp;col=6&amp;number=3.1&amp;sourceID=14","3.1")</f>
        <v>3.1</v>
      </c>
      <c r="G5305" s="4" t="str">
        <f>HYPERLINK("http://141.218.60.56/~jnz1568/getInfo.php?workbook=12_04.xlsx&amp;sheet=U0&amp;row=5305&amp;col=7&amp;number=0.00456&amp;sourceID=14","0.00456")</f>
        <v>0.00456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HYPERLINK("http://141.218.60.56/~jnz1568/getInfo.php?workbook=12_04.xlsx&amp;sheet=U0&amp;row=5306&amp;col=6&amp;number=3.2&amp;sourceID=14","3.2")</f>
        <v>3.2</v>
      </c>
      <c r="G5306" s="4" t="str">
        <f>HYPERLINK("http://141.218.60.56/~jnz1568/getInfo.php?workbook=12_04.xlsx&amp;sheet=U0&amp;row=5306&amp;col=7&amp;number=0.00455&amp;sourceID=14","0.00455")</f>
        <v>0.00455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HYPERLINK("http://141.218.60.56/~jnz1568/getInfo.php?workbook=12_04.xlsx&amp;sheet=U0&amp;row=5307&amp;col=6&amp;number=3.3&amp;sourceID=14","3.3")</f>
        <v>3.3</v>
      </c>
      <c r="G5307" s="4" t="str">
        <f>HYPERLINK("http://141.218.60.56/~jnz1568/getInfo.php?workbook=12_04.xlsx&amp;sheet=U0&amp;row=5307&amp;col=7&amp;number=0.00455&amp;sourceID=14","0.00455")</f>
        <v>0.00455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HYPERLINK("http://141.218.60.56/~jnz1568/getInfo.php?workbook=12_04.xlsx&amp;sheet=U0&amp;row=5308&amp;col=6&amp;number=3.4&amp;sourceID=14","3.4")</f>
        <v>3.4</v>
      </c>
      <c r="G5308" s="4" t="str">
        <f>HYPERLINK("http://141.218.60.56/~jnz1568/getInfo.php?workbook=12_04.xlsx&amp;sheet=U0&amp;row=5308&amp;col=7&amp;number=0.00454&amp;sourceID=14","0.00454")</f>
        <v>0.00454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HYPERLINK("http://141.218.60.56/~jnz1568/getInfo.php?workbook=12_04.xlsx&amp;sheet=U0&amp;row=5309&amp;col=6&amp;number=3.5&amp;sourceID=14","3.5")</f>
        <v>3.5</v>
      </c>
      <c r="G5309" s="4" t="str">
        <f>HYPERLINK("http://141.218.60.56/~jnz1568/getInfo.php?workbook=12_04.xlsx&amp;sheet=U0&amp;row=5309&amp;col=7&amp;number=0.00453&amp;sourceID=14","0.00453")</f>
        <v>0.00453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HYPERLINK("http://141.218.60.56/~jnz1568/getInfo.php?workbook=12_04.xlsx&amp;sheet=U0&amp;row=5310&amp;col=6&amp;number=3.6&amp;sourceID=14","3.6")</f>
        <v>3.6</v>
      </c>
      <c r="G5310" s="4" t="str">
        <f>HYPERLINK("http://141.218.60.56/~jnz1568/getInfo.php?workbook=12_04.xlsx&amp;sheet=U0&amp;row=5310&amp;col=7&amp;number=0.00452&amp;sourceID=14","0.00452")</f>
        <v>0.00452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HYPERLINK("http://141.218.60.56/~jnz1568/getInfo.php?workbook=12_04.xlsx&amp;sheet=U0&amp;row=5311&amp;col=6&amp;number=3.7&amp;sourceID=14","3.7")</f>
        <v>3.7</v>
      </c>
      <c r="G5311" s="4" t="str">
        <f>HYPERLINK("http://141.218.60.56/~jnz1568/getInfo.php?workbook=12_04.xlsx&amp;sheet=U0&amp;row=5311&amp;col=7&amp;number=0.0045&amp;sourceID=14","0.0045")</f>
        <v>0.0045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HYPERLINK("http://141.218.60.56/~jnz1568/getInfo.php?workbook=12_04.xlsx&amp;sheet=U0&amp;row=5312&amp;col=6&amp;number=3.8&amp;sourceID=14","3.8")</f>
        <v>3.8</v>
      </c>
      <c r="G5312" s="4" t="str">
        <f>HYPERLINK("http://141.218.60.56/~jnz1568/getInfo.php?workbook=12_04.xlsx&amp;sheet=U0&amp;row=5312&amp;col=7&amp;number=0.00448&amp;sourceID=14","0.00448")</f>
        <v>0.00448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HYPERLINK("http://141.218.60.56/~jnz1568/getInfo.php?workbook=12_04.xlsx&amp;sheet=U0&amp;row=5313&amp;col=6&amp;number=3.9&amp;sourceID=14","3.9")</f>
        <v>3.9</v>
      </c>
      <c r="G5313" s="4" t="str">
        <f>HYPERLINK("http://141.218.60.56/~jnz1568/getInfo.php?workbook=12_04.xlsx&amp;sheet=U0&amp;row=5313&amp;col=7&amp;number=0.00445&amp;sourceID=14","0.00445")</f>
        <v>0.00445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HYPERLINK("http://141.218.60.56/~jnz1568/getInfo.php?workbook=12_04.xlsx&amp;sheet=U0&amp;row=5314&amp;col=6&amp;number=4&amp;sourceID=14","4")</f>
        <v>4</v>
      </c>
      <c r="G5314" s="4" t="str">
        <f>HYPERLINK("http://141.218.60.56/~jnz1568/getInfo.php?workbook=12_04.xlsx&amp;sheet=U0&amp;row=5314&amp;col=7&amp;number=0.00442&amp;sourceID=14","0.00442")</f>
        <v>0.00442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HYPERLINK("http://141.218.60.56/~jnz1568/getInfo.php?workbook=12_04.xlsx&amp;sheet=U0&amp;row=5315&amp;col=6&amp;number=4.1&amp;sourceID=14","4.1")</f>
        <v>4.1</v>
      </c>
      <c r="G5315" s="4" t="str">
        <f>HYPERLINK("http://141.218.60.56/~jnz1568/getInfo.php?workbook=12_04.xlsx&amp;sheet=U0&amp;row=5315&amp;col=7&amp;number=0.00438&amp;sourceID=14","0.00438")</f>
        <v>0.00438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HYPERLINK("http://141.218.60.56/~jnz1568/getInfo.php?workbook=12_04.xlsx&amp;sheet=U0&amp;row=5316&amp;col=6&amp;number=4.2&amp;sourceID=14","4.2")</f>
        <v>4.2</v>
      </c>
      <c r="G5316" s="4" t="str">
        <f>HYPERLINK("http://141.218.60.56/~jnz1568/getInfo.php?workbook=12_04.xlsx&amp;sheet=U0&amp;row=5316&amp;col=7&amp;number=0.00433&amp;sourceID=14","0.00433")</f>
        <v>0.00433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HYPERLINK("http://141.218.60.56/~jnz1568/getInfo.php?workbook=12_04.xlsx&amp;sheet=U0&amp;row=5317&amp;col=6&amp;number=4.3&amp;sourceID=14","4.3")</f>
        <v>4.3</v>
      </c>
      <c r="G5317" s="4" t="str">
        <f>HYPERLINK("http://141.218.60.56/~jnz1568/getInfo.php?workbook=12_04.xlsx&amp;sheet=U0&amp;row=5317&amp;col=7&amp;number=0.00427&amp;sourceID=14","0.00427")</f>
        <v>0.00427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HYPERLINK("http://141.218.60.56/~jnz1568/getInfo.php?workbook=12_04.xlsx&amp;sheet=U0&amp;row=5318&amp;col=6&amp;number=4.4&amp;sourceID=14","4.4")</f>
        <v>4.4</v>
      </c>
      <c r="G5318" s="4" t="str">
        <f>HYPERLINK("http://141.218.60.56/~jnz1568/getInfo.php?workbook=12_04.xlsx&amp;sheet=U0&amp;row=5318&amp;col=7&amp;number=0.00419&amp;sourceID=14","0.00419")</f>
        <v>0.00419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HYPERLINK("http://141.218.60.56/~jnz1568/getInfo.php?workbook=12_04.xlsx&amp;sheet=U0&amp;row=5319&amp;col=6&amp;number=4.5&amp;sourceID=14","4.5")</f>
        <v>4.5</v>
      </c>
      <c r="G5319" s="4" t="str">
        <f>HYPERLINK("http://141.218.60.56/~jnz1568/getInfo.php?workbook=12_04.xlsx&amp;sheet=U0&amp;row=5319&amp;col=7&amp;number=0.0041&amp;sourceID=14","0.0041")</f>
        <v>0.0041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HYPERLINK("http://141.218.60.56/~jnz1568/getInfo.php?workbook=12_04.xlsx&amp;sheet=U0&amp;row=5320&amp;col=6&amp;number=4.6&amp;sourceID=14","4.6")</f>
        <v>4.6</v>
      </c>
      <c r="G5320" s="4" t="str">
        <f>HYPERLINK("http://141.218.60.56/~jnz1568/getInfo.php?workbook=12_04.xlsx&amp;sheet=U0&amp;row=5320&amp;col=7&amp;number=0.00398&amp;sourceID=14","0.00398")</f>
        <v>0.00398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HYPERLINK("http://141.218.60.56/~jnz1568/getInfo.php?workbook=12_04.xlsx&amp;sheet=U0&amp;row=5321&amp;col=6&amp;number=4.7&amp;sourceID=14","4.7")</f>
        <v>4.7</v>
      </c>
      <c r="G5321" s="4" t="str">
        <f>HYPERLINK("http://141.218.60.56/~jnz1568/getInfo.php?workbook=12_04.xlsx&amp;sheet=U0&amp;row=5321&amp;col=7&amp;number=0.00383&amp;sourceID=14","0.00383")</f>
        <v>0.00383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HYPERLINK("http://141.218.60.56/~jnz1568/getInfo.php?workbook=12_04.xlsx&amp;sheet=U0&amp;row=5322&amp;col=6&amp;number=4.8&amp;sourceID=14","4.8")</f>
        <v>4.8</v>
      </c>
      <c r="G5322" s="4" t="str">
        <f>HYPERLINK("http://141.218.60.56/~jnz1568/getInfo.php?workbook=12_04.xlsx&amp;sheet=U0&amp;row=5322&amp;col=7&amp;number=0.00365&amp;sourceID=14","0.00365")</f>
        <v>0.00365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HYPERLINK("http://141.218.60.56/~jnz1568/getInfo.php?workbook=12_04.xlsx&amp;sheet=U0&amp;row=5323&amp;col=6&amp;number=4.9&amp;sourceID=14","4.9")</f>
        <v>4.9</v>
      </c>
      <c r="G5323" s="4" t="str">
        <f>HYPERLINK("http://141.218.60.56/~jnz1568/getInfo.php?workbook=12_04.xlsx&amp;sheet=U0&amp;row=5323&amp;col=7&amp;number=0.00344&amp;sourceID=14","0.00344")</f>
        <v>0.00344</v>
      </c>
    </row>
    <row r="5324" spans="1:7">
      <c r="A5324" s="3">
        <v>12</v>
      </c>
      <c r="B5324" s="3">
        <v>4</v>
      </c>
      <c r="C5324" s="3">
        <v>3</v>
      </c>
      <c r="D5324" s="3">
        <v>77</v>
      </c>
      <c r="E5324" s="3">
        <v>1</v>
      </c>
      <c r="F5324" s="4" t="str">
        <f>HYPERLINK("http://141.218.60.56/~jnz1568/getInfo.php?workbook=12_04.xlsx&amp;sheet=U0&amp;row=5324&amp;col=6&amp;number=3&amp;sourceID=14","3")</f>
        <v>3</v>
      </c>
      <c r="G5324" s="4" t="str">
        <f>HYPERLINK("http://141.218.60.56/~jnz1568/getInfo.php?workbook=12_04.xlsx&amp;sheet=U0&amp;row=5324&amp;col=7&amp;number=0.0032&amp;sourceID=14","0.0032")</f>
        <v>0.0032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HYPERLINK("http://141.218.60.56/~jnz1568/getInfo.php?workbook=12_04.xlsx&amp;sheet=U0&amp;row=5325&amp;col=6&amp;number=3.1&amp;sourceID=14","3.1")</f>
        <v>3.1</v>
      </c>
      <c r="G5325" s="4" t="str">
        <f>HYPERLINK("http://141.218.60.56/~jnz1568/getInfo.php?workbook=12_04.xlsx&amp;sheet=U0&amp;row=5325&amp;col=7&amp;number=0.0032&amp;sourceID=14","0.0032")</f>
        <v>0.0032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HYPERLINK("http://141.218.60.56/~jnz1568/getInfo.php?workbook=12_04.xlsx&amp;sheet=U0&amp;row=5326&amp;col=6&amp;number=3.2&amp;sourceID=14","3.2")</f>
        <v>3.2</v>
      </c>
      <c r="G5326" s="4" t="str">
        <f>HYPERLINK("http://141.218.60.56/~jnz1568/getInfo.php?workbook=12_04.xlsx&amp;sheet=U0&amp;row=5326&amp;col=7&amp;number=0.0032&amp;sourceID=14","0.0032")</f>
        <v>0.0032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HYPERLINK("http://141.218.60.56/~jnz1568/getInfo.php?workbook=12_04.xlsx&amp;sheet=U0&amp;row=5327&amp;col=6&amp;number=3.3&amp;sourceID=14","3.3")</f>
        <v>3.3</v>
      </c>
      <c r="G5327" s="4" t="str">
        <f>HYPERLINK("http://141.218.60.56/~jnz1568/getInfo.php?workbook=12_04.xlsx&amp;sheet=U0&amp;row=5327&amp;col=7&amp;number=0.00319&amp;sourceID=14","0.00319")</f>
        <v>0.00319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HYPERLINK("http://141.218.60.56/~jnz1568/getInfo.php?workbook=12_04.xlsx&amp;sheet=U0&amp;row=5328&amp;col=6&amp;number=3.4&amp;sourceID=14","3.4")</f>
        <v>3.4</v>
      </c>
      <c r="G5328" s="4" t="str">
        <f>HYPERLINK("http://141.218.60.56/~jnz1568/getInfo.php?workbook=12_04.xlsx&amp;sheet=U0&amp;row=5328&amp;col=7&amp;number=0.00319&amp;sourceID=14","0.00319")</f>
        <v>0.00319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HYPERLINK("http://141.218.60.56/~jnz1568/getInfo.php?workbook=12_04.xlsx&amp;sheet=U0&amp;row=5329&amp;col=6&amp;number=3.5&amp;sourceID=14","3.5")</f>
        <v>3.5</v>
      </c>
      <c r="G5329" s="4" t="str">
        <f>HYPERLINK("http://141.218.60.56/~jnz1568/getInfo.php?workbook=12_04.xlsx&amp;sheet=U0&amp;row=5329&amp;col=7&amp;number=0.00318&amp;sourceID=14","0.00318")</f>
        <v>0.00318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HYPERLINK("http://141.218.60.56/~jnz1568/getInfo.php?workbook=12_04.xlsx&amp;sheet=U0&amp;row=5330&amp;col=6&amp;number=3.6&amp;sourceID=14","3.6")</f>
        <v>3.6</v>
      </c>
      <c r="G5330" s="4" t="str">
        <f>HYPERLINK("http://141.218.60.56/~jnz1568/getInfo.php?workbook=12_04.xlsx&amp;sheet=U0&amp;row=5330&amp;col=7&amp;number=0.00318&amp;sourceID=14","0.00318")</f>
        <v>0.00318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HYPERLINK("http://141.218.60.56/~jnz1568/getInfo.php?workbook=12_04.xlsx&amp;sheet=U0&amp;row=5331&amp;col=6&amp;number=3.7&amp;sourceID=14","3.7")</f>
        <v>3.7</v>
      </c>
      <c r="G5331" s="4" t="str">
        <f>HYPERLINK("http://141.218.60.56/~jnz1568/getInfo.php?workbook=12_04.xlsx&amp;sheet=U0&amp;row=5331&amp;col=7&amp;number=0.00317&amp;sourceID=14","0.00317")</f>
        <v>0.00317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HYPERLINK("http://141.218.60.56/~jnz1568/getInfo.php?workbook=12_04.xlsx&amp;sheet=U0&amp;row=5332&amp;col=6&amp;number=3.8&amp;sourceID=14","3.8")</f>
        <v>3.8</v>
      </c>
      <c r="G5332" s="4" t="str">
        <f>HYPERLINK("http://141.218.60.56/~jnz1568/getInfo.php?workbook=12_04.xlsx&amp;sheet=U0&amp;row=5332&amp;col=7&amp;number=0.00316&amp;sourceID=14","0.00316")</f>
        <v>0.00316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HYPERLINK("http://141.218.60.56/~jnz1568/getInfo.php?workbook=12_04.xlsx&amp;sheet=U0&amp;row=5333&amp;col=6&amp;number=3.9&amp;sourceID=14","3.9")</f>
        <v>3.9</v>
      </c>
      <c r="G5333" s="4" t="str">
        <f>HYPERLINK("http://141.218.60.56/~jnz1568/getInfo.php?workbook=12_04.xlsx&amp;sheet=U0&amp;row=5333&amp;col=7&amp;number=0.00314&amp;sourceID=14","0.00314")</f>
        <v>0.00314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HYPERLINK("http://141.218.60.56/~jnz1568/getInfo.php?workbook=12_04.xlsx&amp;sheet=U0&amp;row=5334&amp;col=6&amp;number=4&amp;sourceID=14","4")</f>
        <v>4</v>
      </c>
      <c r="G5334" s="4" t="str">
        <f>HYPERLINK("http://141.218.60.56/~jnz1568/getInfo.php?workbook=12_04.xlsx&amp;sheet=U0&amp;row=5334&amp;col=7&amp;number=0.00312&amp;sourceID=14","0.00312")</f>
        <v>0.00312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HYPERLINK("http://141.218.60.56/~jnz1568/getInfo.php?workbook=12_04.xlsx&amp;sheet=U0&amp;row=5335&amp;col=6&amp;number=4.1&amp;sourceID=14","4.1")</f>
        <v>4.1</v>
      </c>
      <c r="G5335" s="4" t="str">
        <f>HYPERLINK("http://141.218.60.56/~jnz1568/getInfo.php?workbook=12_04.xlsx&amp;sheet=U0&amp;row=5335&amp;col=7&amp;number=0.0031&amp;sourceID=14","0.0031")</f>
        <v>0.0031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HYPERLINK("http://141.218.60.56/~jnz1568/getInfo.php?workbook=12_04.xlsx&amp;sheet=U0&amp;row=5336&amp;col=6&amp;number=4.2&amp;sourceID=14","4.2")</f>
        <v>4.2</v>
      </c>
      <c r="G5336" s="4" t="str">
        <f>HYPERLINK("http://141.218.60.56/~jnz1568/getInfo.php?workbook=12_04.xlsx&amp;sheet=U0&amp;row=5336&amp;col=7&amp;number=0.00307&amp;sourceID=14","0.00307")</f>
        <v>0.00307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HYPERLINK("http://141.218.60.56/~jnz1568/getInfo.php?workbook=12_04.xlsx&amp;sheet=U0&amp;row=5337&amp;col=6&amp;number=4.3&amp;sourceID=14","4.3")</f>
        <v>4.3</v>
      </c>
      <c r="G5337" s="4" t="str">
        <f>HYPERLINK("http://141.218.60.56/~jnz1568/getInfo.php?workbook=12_04.xlsx&amp;sheet=U0&amp;row=5337&amp;col=7&amp;number=0.00304&amp;sourceID=14","0.00304")</f>
        <v>0.00304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HYPERLINK("http://141.218.60.56/~jnz1568/getInfo.php?workbook=12_04.xlsx&amp;sheet=U0&amp;row=5338&amp;col=6&amp;number=4.4&amp;sourceID=14","4.4")</f>
        <v>4.4</v>
      </c>
      <c r="G5338" s="4" t="str">
        <f>HYPERLINK("http://141.218.60.56/~jnz1568/getInfo.php?workbook=12_04.xlsx&amp;sheet=U0&amp;row=5338&amp;col=7&amp;number=0.00299&amp;sourceID=14","0.00299")</f>
        <v>0.00299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HYPERLINK("http://141.218.60.56/~jnz1568/getInfo.php?workbook=12_04.xlsx&amp;sheet=U0&amp;row=5339&amp;col=6&amp;number=4.5&amp;sourceID=14","4.5")</f>
        <v>4.5</v>
      </c>
      <c r="G5339" s="4" t="str">
        <f>HYPERLINK("http://141.218.60.56/~jnz1568/getInfo.php?workbook=12_04.xlsx&amp;sheet=U0&amp;row=5339&amp;col=7&amp;number=0.00294&amp;sourceID=14","0.00294")</f>
        <v>0.00294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HYPERLINK("http://141.218.60.56/~jnz1568/getInfo.php?workbook=12_04.xlsx&amp;sheet=U0&amp;row=5340&amp;col=6&amp;number=4.6&amp;sourceID=14","4.6")</f>
        <v>4.6</v>
      </c>
      <c r="G5340" s="4" t="str">
        <f>HYPERLINK("http://141.218.60.56/~jnz1568/getInfo.php?workbook=12_04.xlsx&amp;sheet=U0&amp;row=5340&amp;col=7&amp;number=0.00287&amp;sourceID=14","0.00287")</f>
        <v>0.00287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HYPERLINK("http://141.218.60.56/~jnz1568/getInfo.php?workbook=12_04.xlsx&amp;sheet=U0&amp;row=5341&amp;col=6&amp;number=4.7&amp;sourceID=14","4.7")</f>
        <v>4.7</v>
      </c>
      <c r="G5341" s="4" t="str">
        <f>HYPERLINK("http://141.218.60.56/~jnz1568/getInfo.php?workbook=12_04.xlsx&amp;sheet=U0&amp;row=5341&amp;col=7&amp;number=0.00278&amp;sourceID=14","0.00278")</f>
        <v>0.00278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HYPERLINK("http://141.218.60.56/~jnz1568/getInfo.php?workbook=12_04.xlsx&amp;sheet=U0&amp;row=5342&amp;col=6&amp;number=4.8&amp;sourceID=14","4.8")</f>
        <v>4.8</v>
      </c>
      <c r="G5342" s="4" t="str">
        <f>HYPERLINK("http://141.218.60.56/~jnz1568/getInfo.php?workbook=12_04.xlsx&amp;sheet=U0&amp;row=5342&amp;col=7&amp;number=0.00268&amp;sourceID=14","0.00268")</f>
        <v>0.00268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HYPERLINK("http://141.218.60.56/~jnz1568/getInfo.php?workbook=12_04.xlsx&amp;sheet=U0&amp;row=5343&amp;col=6&amp;number=4.9&amp;sourceID=14","4.9")</f>
        <v>4.9</v>
      </c>
      <c r="G5343" s="4" t="str">
        <f>HYPERLINK("http://141.218.60.56/~jnz1568/getInfo.php?workbook=12_04.xlsx&amp;sheet=U0&amp;row=5343&amp;col=7&amp;number=0.00257&amp;sourceID=14","0.00257")</f>
        <v>0.00257</v>
      </c>
    </row>
    <row r="5344" spans="1:7">
      <c r="A5344" s="3">
        <v>12</v>
      </c>
      <c r="B5344" s="3">
        <v>4</v>
      </c>
      <c r="C5344" s="3">
        <v>3</v>
      </c>
      <c r="D5344" s="3">
        <v>78</v>
      </c>
      <c r="E5344" s="3">
        <v>1</v>
      </c>
      <c r="F5344" s="4" t="str">
        <f>HYPERLINK("http://141.218.60.56/~jnz1568/getInfo.php?workbook=12_04.xlsx&amp;sheet=U0&amp;row=5344&amp;col=6&amp;number=3&amp;sourceID=14","3")</f>
        <v>3</v>
      </c>
      <c r="G5344" s="4" t="str">
        <f>HYPERLINK("http://141.218.60.56/~jnz1568/getInfo.php?workbook=12_04.xlsx&amp;sheet=U0&amp;row=5344&amp;col=7&amp;number=0.00477&amp;sourceID=14","0.00477")</f>
        <v>0.00477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HYPERLINK("http://141.218.60.56/~jnz1568/getInfo.php?workbook=12_04.xlsx&amp;sheet=U0&amp;row=5345&amp;col=6&amp;number=3.1&amp;sourceID=14","3.1")</f>
        <v>3.1</v>
      </c>
      <c r="G5345" s="4" t="str">
        <f>HYPERLINK("http://141.218.60.56/~jnz1568/getInfo.php?workbook=12_04.xlsx&amp;sheet=U0&amp;row=5345&amp;col=7&amp;number=0.00477&amp;sourceID=14","0.00477")</f>
        <v>0.00477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HYPERLINK("http://141.218.60.56/~jnz1568/getInfo.php?workbook=12_04.xlsx&amp;sheet=U0&amp;row=5346&amp;col=6&amp;number=3.2&amp;sourceID=14","3.2")</f>
        <v>3.2</v>
      </c>
      <c r="G5346" s="4" t="str">
        <f>HYPERLINK("http://141.218.60.56/~jnz1568/getInfo.php?workbook=12_04.xlsx&amp;sheet=U0&amp;row=5346&amp;col=7&amp;number=0.00477&amp;sourceID=14","0.00477")</f>
        <v>0.00477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HYPERLINK("http://141.218.60.56/~jnz1568/getInfo.php?workbook=12_04.xlsx&amp;sheet=U0&amp;row=5347&amp;col=6&amp;number=3.3&amp;sourceID=14","3.3")</f>
        <v>3.3</v>
      </c>
      <c r="G5347" s="4" t="str">
        <f>HYPERLINK("http://141.218.60.56/~jnz1568/getInfo.php?workbook=12_04.xlsx&amp;sheet=U0&amp;row=5347&amp;col=7&amp;number=0.00477&amp;sourceID=14","0.00477")</f>
        <v>0.00477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HYPERLINK("http://141.218.60.56/~jnz1568/getInfo.php?workbook=12_04.xlsx&amp;sheet=U0&amp;row=5348&amp;col=6&amp;number=3.4&amp;sourceID=14","3.4")</f>
        <v>3.4</v>
      </c>
      <c r="G5348" s="4" t="str">
        <f>HYPERLINK("http://141.218.60.56/~jnz1568/getInfo.php?workbook=12_04.xlsx&amp;sheet=U0&amp;row=5348&amp;col=7&amp;number=0.00477&amp;sourceID=14","0.00477")</f>
        <v>0.00477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HYPERLINK("http://141.218.60.56/~jnz1568/getInfo.php?workbook=12_04.xlsx&amp;sheet=U0&amp;row=5349&amp;col=6&amp;number=3.5&amp;sourceID=14","3.5")</f>
        <v>3.5</v>
      </c>
      <c r="G5349" s="4" t="str">
        <f>HYPERLINK("http://141.218.60.56/~jnz1568/getInfo.php?workbook=12_04.xlsx&amp;sheet=U0&amp;row=5349&amp;col=7&amp;number=0.00477&amp;sourceID=14","0.00477")</f>
        <v>0.00477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HYPERLINK("http://141.218.60.56/~jnz1568/getInfo.php?workbook=12_04.xlsx&amp;sheet=U0&amp;row=5350&amp;col=6&amp;number=3.6&amp;sourceID=14","3.6")</f>
        <v>3.6</v>
      </c>
      <c r="G5350" s="4" t="str">
        <f>HYPERLINK("http://141.218.60.56/~jnz1568/getInfo.php?workbook=12_04.xlsx&amp;sheet=U0&amp;row=5350&amp;col=7&amp;number=0.00477&amp;sourceID=14","0.00477")</f>
        <v>0.00477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HYPERLINK("http://141.218.60.56/~jnz1568/getInfo.php?workbook=12_04.xlsx&amp;sheet=U0&amp;row=5351&amp;col=6&amp;number=3.7&amp;sourceID=14","3.7")</f>
        <v>3.7</v>
      </c>
      <c r="G5351" s="4" t="str">
        <f>HYPERLINK("http://141.218.60.56/~jnz1568/getInfo.php?workbook=12_04.xlsx&amp;sheet=U0&amp;row=5351&amp;col=7&amp;number=0.00477&amp;sourceID=14","0.00477")</f>
        <v>0.00477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HYPERLINK("http://141.218.60.56/~jnz1568/getInfo.php?workbook=12_04.xlsx&amp;sheet=U0&amp;row=5352&amp;col=6&amp;number=3.8&amp;sourceID=14","3.8")</f>
        <v>3.8</v>
      </c>
      <c r="G5352" s="4" t="str">
        <f>HYPERLINK("http://141.218.60.56/~jnz1568/getInfo.php?workbook=12_04.xlsx&amp;sheet=U0&amp;row=5352&amp;col=7&amp;number=0.00477&amp;sourceID=14","0.00477")</f>
        <v>0.00477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HYPERLINK("http://141.218.60.56/~jnz1568/getInfo.php?workbook=12_04.xlsx&amp;sheet=U0&amp;row=5353&amp;col=6&amp;number=3.9&amp;sourceID=14","3.9")</f>
        <v>3.9</v>
      </c>
      <c r="G5353" s="4" t="str">
        <f>HYPERLINK("http://141.218.60.56/~jnz1568/getInfo.php?workbook=12_04.xlsx&amp;sheet=U0&amp;row=5353&amp;col=7&amp;number=0.00477&amp;sourceID=14","0.00477")</f>
        <v>0.00477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HYPERLINK("http://141.218.60.56/~jnz1568/getInfo.php?workbook=12_04.xlsx&amp;sheet=U0&amp;row=5354&amp;col=6&amp;number=4&amp;sourceID=14","4")</f>
        <v>4</v>
      </c>
      <c r="G5354" s="4" t="str">
        <f>HYPERLINK("http://141.218.60.56/~jnz1568/getInfo.php?workbook=12_04.xlsx&amp;sheet=U0&amp;row=5354&amp;col=7&amp;number=0.00477&amp;sourceID=14","0.00477")</f>
        <v>0.00477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HYPERLINK("http://141.218.60.56/~jnz1568/getInfo.php?workbook=12_04.xlsx&amp;sheet=U0&amp;row=5355&amp;col=6&amp;number=4.1&amp;sourceID=14","4.1")</f>
        <v>4.1</v>
      </c>
      <c r="G5355" s="4" t="str">
        <f>HYPERLINK("http://141.218.60.56/~jnz1568/getInfo.php?workbook=12_04.xlsx&amp;sheet=U0&amp;row=5355&amp;col=7&amp;number=0.00477&amp;sourceID=14","0.00477")</f>
        <v>0.00477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HYPERLINK("http://141.218.60.56/~jnz1568/getInfo.php?workbook=12_04.xlsx&amp;sheet=U0&amp;row=5356&amp;col=6&amp;number=4.2&amp;sourceID=14","4.2")</f>
        <v>4.2</v>
      </c>
      <c r="G5356" s="4" t="str">
        <f>HYPERLINK("http://141.218.60.56/~jnz1568/getInfo.php?workbook=12_04.xlsx&amp;sheet=U0&amp;row=5356&amp;col=7&amp;number=0.00477&amp;sourceID=14","0.00477")</f>
        <v>0.00477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HYPERLINK("http://141.218.60.56/~jnz1568/getInfo.php?workbook=12_04.xlsx&amp;sheet=U0&amp;row=5357&amp;col=6&amp;number=4.3&amp;sourceID=14","4.3")</f>
        <v>4.3</v>
      </c>
      <c r="G5357" s="4" t="str">
        <f>HYPERLINK("http://141.218.60.56/~jnz1568/getInfo.php?workbook=12_04.xlsx&amp;sheet=U0&amp;row=5357&amp;col=7&amp;number=0.00478&amp;sourceID=14","0.00478")</f>
        <v>0.00478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HYPERLINK("http://141.218.60.56/~jnz1568/getInfo.php?workbook=12_04.xlsx&amp;sheet=U0&amp;row=5358&amp;col=6&amp;number=4.4&amp;sourceID=14","4.4")</f>
        <v>4.4</v>
      </c>
      <c r="G5358" s="4" t="str">
        <f>HYPERLINK("http://141.218.60.56/~jnz1568/getInfo.php?workbook=12_04.xlsx&amp;sheet=U0&amp;row=5358&amp;col=7&amp;number=0.00478&amp;sourceID=14","0.00478")</f>
        <v>0.00478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HYPERLINK("http://141.218.60.56/~jnz1568/getInfo.php?workbook=12_04.xlsx&amp;sheet=U0&amp;row=5359&amp;col=6&amp;number=4.5&amp;sourceID=14","4.5")</f>
        <v>4.5</v>
      </c>
      <c r="G5359" s="4" t="str">
        <f>HYPERLINK("http://141.218.60.56/~jnz1568/getInfo.php?workbook=12_04.xlsx&amp;sheet=U0&amp;row=5359&amp;col=7&amp;number=0.00478&amp;sourceID=14","0.00478")</f>
        <v>0.00478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HYPERLINK("http://141.218.60.56/~jnz1568/getInfo.php?workbook=12_04.xlsx&amp;sheet=U0&amp;row=5360&amp;col=6&amp;number=4.6&amp;sourceID=14","4.6")</f>
        <v>4.6</v>
      </c>
      <c r="G5360" s="4" t="str">
        <f>HYPERLINK("http://141.218.60.56/~jnz1568/getInfo.php?workbook=12_04.xlsx&amp;sheet=U0&amp;row=5360&amp;col=7&amp;number=0.00479&amp;sourceID=14","0.00479")</f>
        <v>0.00479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HYPERLINK("http://141.218.60.56/~jnz1568/getInfo.php?workbook=12_04.xlsx&amp;sheet=U0&amp;row=5361&amp;col=6&amp;number=4.7&amp;sourceID=14","4.7")</f>
        <v>4.7</v>
      </c>
      <c r="G5361" s="4" t="str">
        <f>HYPERLINK("http://141.218.60.56/~jnz1568/getInfo.php?workbook=12_04.xlsx&amp;sheet=U0&amp;row=5361&amp;col=7&amp;number=0.00479&amp;sourceID=14","0.00479")</f>
        <v>0.00479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HYPERLINK("http://141.218.60.56/~jnz1568/getInfo.php?workbook=12_04.xlsx&amp;sheet=U0&amp;row=5362&amp;col=6&amp;number=4.8&amp;sourceID=14","4.8")</f>
        <v>4.8</v>
      </c>
      <c r="G5362" s="4" t="str">
        <f>HYPERLINK("http://141.218.60.56/~jnz1568/getInfo.php?workbook=12_04.xlsx&amp;sheet=U0&amp;row=5362&amp;col=7&amp;number=0.0048&amp;sourceID=14","0.0048")</f>
        <v>0.0048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HYPERLINK("http://141.218.60.56/~jnz1568/getInfo.php?workbook=12_04.xlsx&amp;sheet=U0&amp;row=5363&amp;col=6&amp;number=4.9&amp;sourceID=14","4.9")</f>
        <v>4.9</v>
      </c>
      <c r="G5363" s="4" t="str">
        <f>HYPERLINK("http://141.218.60.56/~jnz1568/getInfo.php?workbook=12_04.xlsx&amp;sheet=U0&amp;row=5363&amp;col=7&amp;number=0.00481&amp;sourceID=14","0.00481")</f>
        <v>0.00481</v>
      </c>
    </row>
    <row r="5364" spans="1:7">
      <c r="A5364" s="3">
        <v>12</v>
      </c>
      <c r="B5364" s="3">
        <v>4</v>
      </c>
      <c r="C5364" s="3">
        <v>3</v>
      </c>
      <c r="D5364" s="3">
        <v>79</v>
      </c>
      <c r="E5364" s="3">
        <v>1</v>
      </c>
      <c r="F5364" s="4" t="str">
        <f>HYPERLINK("http://141.218.60.56/~jnz1568/getInfo.php?workbook=12_04.xlsx&amp;sheet=U0&amp;row=5364&amp;col=6&amp;number=3&amp;sourceID=14","3")</f>
        <v>3</v>
      </c>
      <c r="G5364" s="4" t="str">
        <f>HYPERLINK("http://141.218.60.56/~jnz1568/getInfo.php?workbook=12_04.xlsx&amp;sheet=U0&amp;row=5364&amp;col=7&amp;number=0.00515&amp;sourceID=14","0.00515")</f>
        <v>0.00515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HYPERLINK("http://141.218.60.56/~jnz1568/getInfo.php?workbook=12_04.xlsx&amp;sheet=U0&amp;row=5365&amp;col=6&amp;number=3.1&amp;sourceID=14","3.1")</f>
        <v>3.1</v>
      </c>
      <c r="G5365" s="4" t="str">
        <f>HYPERLINK("http://141.218.60.56/~jnz1568/getInfo.php?workbook=12_04.xlsx&amp;sheet=U0&amp;row=5365&amp;col=7&amp;number=0.00515&amp;sourceID=14","0.00515")</f>
        <v>0.00515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HYPERLINK("http://141.218.60.56/~jnz1568/getInfo.php?workbook=12_04.xlsx&amp;sheet=U0&amp;row=5366&amp;col=6&amp;number=3.2&amp;sourceID=14","3.2")</f>
        <v>3.2</v>
      </c>
      <c r="G5366" s="4" t="str">
        <f>HYPERLINK("http://141.218.60.56/~jnz1568/getInfo.php?workbook=12_04.xlsx&amp;sheet=U0&amp;row=5366&amp;col=7&amp;number=0.00515&amp;sourceID=14","0.00515")</f>
        <v>0.00515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HYPERLINK("http://141.218.60.56/~jnz1568/getInfo.php?workbook=12_04.xlsx&amp;sheet=U0&amp;row=5367&amp;col=6&amp;number=3.3&amp;sourceID=14","3.3")</f>
        <v>3.3</v>
      </c>
      <c r="G5367" s="4" t="str">
        <f>HYPERLINK("http://141.218.60.56/~jnz1568/getInfo.php?workbook=12_04.xlsx&amp;sheet=U0&amp;row=5367&amp;col=7&amp;number=0.00515&amp;sourceID=14","0.00515")</f>
        <v>0.00515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HYPERLINK("http://141.218.60.56/~jnz1568/getInfo.php?workbook=12_04.xlsx&amp;sheet=U0&amp;row=5368&amp;col=6&amp;number=3.4&amp;sourceID=14","3.4")</f>
        <v>3.4</v>
      </c>
      <c r="G5368" s="4" t="str">
        <f>HYPERLINK("http://141.218.60.56/~jnz1568/getInfo.php?workbook=12_04.xlsx&amp;sheet=U0&amp;row=5368&amp;col=7&amp;number=0.00515&amp;sourceID=14","0.00515")</f>
        <v>0.00515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HYPERLINK("http://141.218.60.56/~jnz1568/getInfo.php?workbook=12_04.xlsx&amp;sheet=U0&amp;row=5369&amp;col=6&amp;number=3.5&amp;sourceID=14","3.5")</f>
        <v>3.5</v>
      </c>
      <c r="G5369" s="4" t="str">
        <f>HYPERLINK("http://141.218.60.56/~jnz1568/getInfo.php?workbook=12_04.xlsx&amp;sheet=U0&amp;row=5369&amp;col=7&amp;number=0.00515&amp;sourceID=14","0.00515")</f>
        <v>0.00515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HYPERLINK("http://141.218.60.56/~jnz1568/getInfo.php?workbook=12_04.xlsx&amp;sheet=U0&amp;row=5370&amp;col=6&amp;number=3.6&amp;sourceID=14","3.6")</f>
        <v>3.6</v>
      </c>
      <c r="G5370" s="4" t="str">
        <f>HYPERLINK("http://141.218.60.56/~jnz1568/getInfo.php?workbook=12_04.xlsx&amp;sheet=U0&amp;row=5370&amp;col=7&amp;number=0.00514&amp;sourceID=14","0.00514")</f>
        <v>0.00514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HYPERLINK("http://141.218.60.56/~jnz1568/getInfo.php?workbook=12_04.xlsx&amp;sheet=U0&amp;row=5371&amp;col=6&amp;number=3.7&amp;sourceID=14","3.7")</f>
        <v>3.7</v>
      </c>
      <c r="G5371" s="4" t="str">
        <f>HYPERLINK("http://141.218.60.56/~jnz1568/getInfo.php?workbook=12_04.xlsx&amp;sheet=U0&amp;row=5371&amp;col=7&amp;number=0.00514&amp;sourceID=14","0.00514")</f>
        <v>0.00514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HYPERLINK("http://141.218.60.56/~jnz1568/getInfo.php?workbook=12_04.xlsx&amp;sheet=U0&amp;row=5372&amp;col=6&amp;number=3.8&amp;sourceID=14","3.8")</f>
        <v>3.8</v>
      </c>
      <c r="G5372" s="4" t="str">
        <f>HYPERLINK("http://141.218.60.56/~jnz1568/getInfo.php?workbook=12_04.xlsx&amp;sheet=U0&amp;row=5372&amp;col=7&amp;number=0.00514&amp;sourceID=14","0.00514")</f>
        <v>0.00514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HYPERLINK("http://141.218.60.56/~jnz1568/getInfo.php?workbook=12_04.xlsx&amp;sheet=U0&amp;row=5373&amp;col=6&amp;number=3.9&amp;sourceID=14","3.9")</f>
        <v>3.9</v>
      </c>
      <c r="G5373" s="4" t="str">
        <f>HYPERLINK("http://141.218.60.56/~jnz1568/getInfo.php?workbook=12_04.xlsx&amp;sheet=U0&amp;row=5373&amp;col=7&amp;number=0.00513&amp;sourceID=14","0.00513")</f>
        <v>0.00513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HYPERLINK("http://141.218.60.56/~jnz1568/getInfo.php?workbook=12_04.xlsx&amp;sheet=U0&amp;row=5374&amp;col=6&amp;number=4&amp;sourceID=14","4")</f>
        <v>4</v>
      </c>
      <c r="G5374" s="4" t="str">
        <f>HYPERLINK("http://141.218.60.56/~jnz1568/getInfo.php?workbook=12_04.xlsx&amp;sheet=U0&amp;row=5374&amp;col=7&amp;number=0.00513&amp;sourceID=14","0.00513")</f>
        <v>0.00513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HYPERLINK("http://141.218.60.56/~jnz1568/getInfo.php?workbook=12_04.xlsx&amp;sheet=U0&amp;row=5375&amp;col=6&amp;number=4.1&amp;sourceID=14","4.1")</f>
        <v>4.1</v>
      </c>
      <c r="G5375" s="4" t="str">
        <f>HYPERLINK("http://141.218.60.56/~jnz1568/getInfo.php?workbook=12_04.xlsx&amp;sheet=U0&amp;row=5375&amp;col=7&amp;number=0.00512&amp;sourceID=14","0.00512")</f>
        <v>0.00512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HYPERLINK("http://141.218.60.56/~jnz1568/getInfo.php?workbook=12_04.xlsx&amp;sheet=U0&amp;row=5376&amp;col=6&amp;number=4.2&amp;sourceID=14","4.2")</f>
        <v>4.2</v>
      </c>
      <c r="G5376" s="4" t="str">
        <f>HYPERLINK("http://141.218.60.56/~jnz1568/getInfo.php?workbook=12_04.xlsx&amp;sheet=U0&amp;row=5376&amp;col=7&amp;number=0.00512&amp;sourceID=14","0.00512")</f>
        <v>0.00512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HYPERLINK("http://141.218.60.56/~jnz1568/getInfo.php?workbook=12_04.xlsx&amp;sheet=U0&amp;row=5377&amp;col=6&amp;number=4.3&amp;sourceID=14","4.3")</f>
        <v>4.3</v>
      </c>
      <c r="G5377" s="4" t="str">
        <f>HYPERLINK("http://141.218.60.56/~jnz1568/getInfo.php?workbook=12_04.xlsx&amp;sheet=U0&amp;row=5377&amp;col=7&amp;number=0.00511&amp;sourceID=14","0.00511")</f>
        <v>0.00511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HYPERLINK("http://141.218.60.56/~jnz1568/getInfo.php?workbook=12_04.xlsx&amp;sheet=U0&amp;row=5378&amp;col=6&amp;number=4.4&amp;sourceID=14","4.4")</f>
        <v>4.4</v>
      </c>
      <c r="G5378" s="4" t="str">
        <f>HYPERLINK("http://141.218.60.56/~jnz1568/getInfo.php?workbook=12_04.xlsx&amp;sheet=U0&amp;row=5378&amp;col=7&amp;number=0.00509&amp;sourceID=14","0.00509")</f>
        <v>0.00509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HYPERLINK("http://141.218.60.56/~jnz1568/getInfo.php?workbook=12_04.xlsx&amp;sheet=U0&amp;row=5379&amp;col=6&amp;number=4.5&amp;sourceID=14","4.5")</f>
        <v>4.5</v>
      </c>
      <c r="G5379" s="4" t="str">
        <f>HYPERLINK("http://141.218.60.56/~jnz1568/getInfo.php?workbook=12_04.xlsx&amp;sheet=U0&amp;row=5379&amp;col=7&amp;number=0.00508&amp;sourceID=14","0.00508")</f>
        <v>0.00508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HYPERLINK("http://141.218.60.56/~jnz1568/getInfo.php?workbook=12_04.xlsx&amp;sheet=U0&amp;row=5380&amp;col=6&amp;number=4.6&amp;sourceID=14","4.6")</f>
        <v>4.6</v>
      </c>
      <c r="G5380" s="4" t="str">
        <f>HYPERLINK("http://141.218.60.56/~jnz1568/getInfo.php?workbook=12_04.xlsx&amp;sheet=U0&amp;row=5380&amp;col=7&amp;number=0.00506&amp;sourceID=14","0.00506")</f>
        <v>0.00506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HYPERLINK("http://141.218.60.56/~jnz1568/getInfo.php?workbook=12_04.xlsx&amp;sheet=U0&amp;row=5381&amp;col=6&amp;number=4.7&amp;sourceID=14","4.7")</f>
        <v>4.7</v>
      </c>
      <c r="G5381" s="4" t="str">
        <f>HYPERLINK("http://141.218.60.56/~jnz1568/getInfo.php?workbook=12_04.xlsx&amp;sheet=U0&amp;row=5381&amp;col=7&amp;number=0.00504&amp;sourceID=14","0.00504")</f>
        <v>0.00504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HYPERLINK("http://141.218.60.56/~jnz1568/getInfo.php?workbook=12_04.xlsx&amp;sheet=U0&amp;row=5382&amp;col=6&amp;number=4.8&amp;sourceID=14","4.8")</f>
        <v>4.8</v>
      </c>
      <c r="G5382" s="4" t="str">
        <f>HYPERLINK("http://141.218.60.56/~jnz1568/getInfo.php?workbook=12_04.xlsx&amp;sheet=U0&amp;row=5382&amp;col=7&amp;number=0.00501&amp;sourceID=14","0.00501")</f>
        <v>0.00501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HYPERLINK("http://141.218.60.56/~jnz1568/getInfo.php?workbook=12_04.xlsx&amp;sheet=U0&amp;row=5383&amp;col=6&amp;number=4.9&amp;sourceID=14","4.9")</f>
        <v>4.9</v>
      </c>
      <c r="G5383" s="4" t="str">
        <f>HYPERLINK("http://141.218.60.56/~jnz1568/getInfo.php?workbook=12_04.xlsx&amp;sheet=U0&amp;row=5383&amp;col=7&amp;number=0.00499&amp;sourceID=14","0.00499")</f>
        <v>0.00499</v>
      </c>
    </row>
    <row r="5384" spans="1:7">
      <c r="A5384" s="3">
        <v>12</v>
      </c>
      <c r="B5384" s="3">
        <v>4</v>
      </c>
      <c r="C5384" s="3">
        <v>3</v>
      </c>
      <c r="D5384" s="3">
        <v>80</v>
      </c>
      <c r="E5384" s="3">
        <v>1</v>
      </c>
      <c r="F5384" s="4" t="str">
        <f>HYPERLINK("http://141.218.60.56/~jnz1568/getInfo.php?workbook=12_04.xlsx&amp;sheet=U0&amp;row=5384&amp;col=6&amp;number=3&amp;sourceID=14","3")</f>
        <v>3</v>
      </c>
      <c r="G5384" s="4" t="str">
        <f>HYPERLINK("http://141.218.60.56/~jnz1568/getInfo.php?workbook=12_04.xlsx&amp;sheet=U0&amp;row=5384&amp;col=7&amp;number=0.00261&amp;sourceID=14","0.00261")</f>
        <v>0.00261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HYPERLINK("http://141.218.60.56/~jnz1568/getInfo.php?workbook=12_04.xlsx&amp;sheet=U0&amp;row=5385&amp;col=6&amp;number=3.1&amp;sourceID=14","3.1")</f>
        <v>3.1</v>
      </c>
      <c r="G5385" s="4" t="str">
        <f>HYPERLINK("http://141.218.60.56/~jnz1568/getInfo.php?workbook=12_04.xlsx&amp;sheet=U0&amp;row=5385&amp;col=7&amp;number=0.00261&amp;sourceID=14","0.00261")</f>
        <v>0.00261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HYPERLINK("http://141.218.60.56/~jnz1568/getInfo.php?workbook=12_04.xlsx&amp;sheet=U0&amp;row=5386&amp;col=6&amp;number=3.2&amp;sourceID=14","3.2")</f>
        <v>3.2</v>
      </c>
      <c r="G5386" s="4" t="str">
        <f>HYPERLINK("http://141.218.60.56/~jnz1568/getInfo.php?workbook=12_04.xlsx&amp;sheet=U0&amp;row=5386&amp;col=7&amp;number=0.00261&amp;sourceID=14","0.00261")</f>
        <v>0.00261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HYPERLINK("http://141.218.60.56/~jnz1568/getInfo.php?workbook=12_04.xlsx&amp;sheet=U0&amp;row=5387&amp;col=6&amp;number=3.3&amp;sourceID=14","3.3")</f>
        <v>3.3</v>
      </c>
      <c r="G5387" s="4" t="str">
        <f>HYPERLINK("http://141.218.60.56/~jnz1568/getInfo.php?workbook=12_04.xlsx&amp;sheet=U0&amp;row=5387&amp;col=7&amp;number=0.0026&amp;sourceID=14","0.0026")</f>
        <v>0.0026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HYPERLINK("http://141.218.60.56/~jnz1568/getInfo.php?workbook=12_04.xlsx&amp;sheet=U0&amp;row=5388&amp;col=6&amp;number=3.4&amp;sourceID=14","3.4")</f>
        <v>3.4</v>
      </c>
      <c r="G5388" s="4" t="str">
        <f>HYPERLINK("http://141.218.60.56/~jnz1568/getInfo.php?workbook=12_04.xlsx&amp;sheet=U0&amp;row=5388&amp;col=7&amp;number=0.0026&amp;sourceID=14","0.0026")</f>
        <v>0.0026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HYPERLINK("http://141.218.60.56/~jnz1568/getInfo.php?workbook=12_04.xlsx&amp;sheet=U0&amp;row=5389&amp;col=6&amp;number=3.5&amp;sourceID=14","3.5")</f>
        <v>3.5</v>
      </c>
      <c r="G5389" s="4" t="str">
        <f>HYPERLINK("http://141.218.60.56/~jnz1568/getInfo.php?workbook=12_04.xlsx&amp;sheet=U0&amp;row=5389&amp;col=7&amp;number=0.0026&amp;sourceID=14","0.0026")</f>
        <v>0.0026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HYPERLINK("http://141.218.60.56/~jnz1568/getInfo.php?workbook=12_04.xlsx&amp;sheet=U0&amp;row=5390&amp;col=6&amp;number=3.6&amp;sourceID=14","3.6")</f>
        <v>3.6</v>
      </c>
      <c r="G5390" s="4" t="str">
        <f>HYPERLINK("http://141.218.60.56/~jnz1568/getInfo.php?workbook=12_04.xlsx&amp;sheet=U0&amp;row=5390&amp;col=7&amp;number=0.0026&amp;sourceID=14","0.0026")</f>
        <v>0.0026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HYPERLINK("http://141.218.60.56/~jnz1568/getInfo.php?workbook=12_04.xlsx&amp;sheet=U0&amp;row=5391&amp;col=6&amp;number=3.7&amp;sourceID=14","3.7")</f>
        <v>3.7</v>
      </c>
      <c r="G5391" s="4" t="str">
        <f>HYPERLINK("http://141.218.60.56/~jnz1568/getInfo.php?workbook=12_04.xlsx&amp;sheet=U0&amp;row=5391&amp;col=7&amp;number=0.0026&amp;sourceID=14","0.0026")</f>
        <v>0.0026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HYPERLINK("http://141.218.60.56/~jnz1568/getInfo.php?workbook=12_04.xlsx&amp;sheet=U0&amp;row=5392&amp;col=6&amp;number=3.8&amp;sourceID=14","3.8")</f>
        <v>3.8</v>
      </c>
      <c r="G5392" s="4" t="str">
        <f>HYPERLINK("http://141.218.60.56/~jnz1568/getInfo.php?workbook=12_04.xlsx&amp;sheet=U0&amp;row=5392&amp;col=7&amp;number=0.00259&amp;sourceID=14","0.00259")</f>
        <v>0.00259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HYPERLINK("http://141.218.60.56/~jnz1568/getInfo.php?workbook=12_04.xlsx&amp;sheet=U0&amp;row=5393&amp;col=6&amp;number=3.9&amp;sourceID=14","3.9")</f>
        <v>3.9</v>
      </c>
      <c r="G5393" s="4" t="str">
        <f>HYPERLINK("http://141.218.60.56/~jnz1568/getInfo.php?workbook=12_04.xlsx&amp;sheet=U0&amp;row=5393&amp;col=7&amp;number=0.00259&amp;sourceID=14","0.00259")</f>
        <v>0.00259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HYPERLINK("http://141.218.60.56/~jnz1568/getInfo.php?workbook=12_04.xlsx&amp;sheet=U0&amp;row=5394&amp;col=6&amp;number=4&amp;sourceID=14","4")</f>
        <v>4</v>
      </c>
      <c r="G5394" s="4" t="str">
        <f>HYPERLINK("http://141.218.60.56/~jnz1568/getInfo.php?workbook=12_04.xlsx&amp;sheet=U0&amp;row=5394&amp;col=7&amp;number=0.00258&amp;sourceID=14","0.00258")</f>
        <v>0.00258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HYPERLINK("http://141.218.60.56/~jnz1568/getInfo.php?workbook=12_04.xlsx&amp;sheet=U0&amp;row=5395&amp;col=6&amp;number=4.1&amp;sourceID=14","4.1")</f>
        <v>4.1</v>
      </c>
      <c r="G5395" s="4" t="str">
        <f>HYPERLINK("http://141.218.60.56/~jnz1568/getInfo.php?workbook=12_04.xlsx&amp;sheet=U0&amp;row=5395&amp;col=7&amp;number=0.00257&amp;sourceID=14","0.00257")</f>
        <v>0.00257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HYPERLINK("http://141.218.60.56/~jnz1568/getInfo.php?workbook=12_04.xlsx&amp;sheet=U0&amp;row=5396&amp;col=6&amp;number=4.2&amp;sourceID=14","4.2")</f>
        <v>4.2</v>
      </c>
      <c r="G5396" s="4" t="str">
        <f>HYPERLINK("http://141.218.60.56/~jnz1568/getInfo.php?workbook=12_04.xlsx&amp;sheet=U0&amp;row=5396&amp;col=7&amp;number=0.00257&amp;sourceID=14","0.00257")</f>
        <v>0.00257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HYPERLINK("http://141.218.60.56/~jnz1568/getInfo.php?workbook=12_04.xlsx&amp;sheet=U0&amp;row=5397&amp;col=6&amp;number=4.3&amp;sourceID=14","4.3")</f>
        <v>4.3</v>
      </c>
      <c r="G5397" s="4" t="str">
        <f>HYPERLINK("http://141.218.60.56/~jnz1568/getInfo.php?workbook=12_04.xlsx&amp;sheet=U0&amp;row=5397&amp;col=7&amp;number=0.00255&amp;sourceID=14","0.00255")</f>
        <v>0.00255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HYPERLINK("http://141.218.60.56/~jnz1568/getInfo.php?workbook=12_04.xlsx&amp;sheet=U0&amp;row=5398&amp;col=6&amp;number=4.4&amp;sourceID=14","4.4")</f>
        <v>4.4</v>
      </c>
      <c r="G5398" s="4" t="str">
        <f>HYPERLINK("http://141.218.60.56/~jnz1568/getInfo.php?workbook=12_04.xlsx&amp;sheet=U0&amp;row=5398&amp;col=7&amp;number=0.00254&amp;sourceID=14","0.00254")</f>
        <v>0.00254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HYPERLINK("http://141.218.60.56/~jnz1568/getInfo.php?workbook=12_04.xlsx&amp;sheet=U0&amp;row=5399&amp;col=6&amp;number=4.5&amp;sourceID=14","4.5")</f>
        <v>4.5</v>
      </c>
      <c r="G5399" s="4" t="str">
        <f>HYPERLINK("http://141.218.60.56/~jnz1568/getInfo.php?workbook=12_04.xlsx&amp;sheet=U0&amp;row=5399&amp;col=7&amp;number=0.00252&amp;sourceID=14","0.00252")</f>
        <v>0.00252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HYPERLINK("http://141.218.60.56/~jnz1568/getInfo.php?workbook=12_04.xlsx&amp;sheet=U0&amp;row=5400&amp;col=6&amp;number=4.6&amp;sourceID=14","4.6")</f>
        <v>4.6</v>
      </c>
      <c r="G5400" s="4" t="str">
        <f>HYPERLINK("http://141.218.60.56/~jnz1568/getInfo.php?workbook=12_04.xlsx&amp;sheet=U0&amp;row=5400&amp;col=7&amp;number=0.0025&amp;sourceID=14","0.0025")</f>
        <v>0.0025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HYPERLINK("http://141.218.60.56/~jnz1568/getInfo.php?workbook=12_04.xlsx&amp;sheet=U0&amp;row=5401&amp;col=6&amp;number=4.7&amp;sourceID=14","4.7")</f>
        <v>4.7</v>
      </c>
      <c r="G5401" s="4" t="str">
        <f>HYPERLINK("http://141.218.60.56/~jnz1568/getInfo.php?workbook=12_04.xlsx&amp;sheet=U0&amp;row=5401&amp;col=7&amp;number=0.00248&amp;sourceID=14","0.00248")</f>
        <v>0.00248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HYPERLINK("http://141.218.60.56/~jnz1568/getInfo.php?workbook=12_04.xlsx&amp;sheet=U0&amp;row=5402&amp;col=6&amp;number=4.8&amp;sourceID=14","4.8")</f>
        <v>4.8</v>
      </c>
      <c r="G5402" s="4" t="str">
        <f>HYPERLINK("http://141.218.60.56/~jnz1568/getInfo.php?workbook=12_04.xlsx&amp;sheet=U0&amp;row=5402&amp;col=7&amp;number=0.00245&amp;sourceID=14","0.00245")</f>
        <v>0.00245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HYPERLINK("http://141.218.60.56/~jnz1568/getInfo.php?workbook=12_04.xlsx&amp;sheet=U0&amp;row=5403&amp;col=6&amp;number=4.9&amp;sourceID=14","4.9")</f>
        <v>4.9</v>
      </c>
      <c r="G5403" s="4" t="str">
        <f>HYPERLINK("http://141.218.60.56/~jnz1568/getInfo.php?workbook=12_04.xlsx&amp;sheet=U0&amp;row=5403&amp;col=7&amp;number=0.00241&amp;sourceID=14","0.00241")</f>
        <v>0.00241</v>
      </c>
    </row>
    <row r="5404" spans="1:7">
      <c r="A5404" s="3">
        <v>12</v>
      </c>
      <c r="B5404" s="3">
        <v>4</v>
      </c>
      <c r="C5404" s="3">
        <v>3</v>
      </c>
      <c r="D5404" s="3">
        <v>81</v>
      </c>
      <c r="E5404" s="3">
        <v>1</v>
      </c>
      <c r="F5404" s="4" t="str">
        <f>HYPERLINK("http://141.218.60.56/~jnz1568/getInfo.php?workbook=12_04.xlsx&amp;sheet=U0&amp;row=5404&amp;col=6&amp;number=3&amp;sourceID=14","3")</f>
        <v>3</v>
      </c>
      <c r="G5404" s="4" t="str">
        <f>HYPERLINK("http://141.218.60.56/~jnz1568/getInfo.php?workbook=12_04.xlsx&amp;sheet=U0&amp;row=5404&amp;col=7&amp;number=0.00403&amp;sourceID=14","0.00403")</f>
        <v>0.00403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HYPERLINK("http://141.218.60.56/~jnz1568/getInfo.php?workbook=12_04.xlsx&amp;sheet=U0&amp;row=5405&amp;col=6&amp;number=3.1&amp;sourceID=14","3.1")</f>
        <v>3.1</v>
      </c>
      <c r="G5405" s="4" t="str">
        <f>HYPERLINK("http://141.218.60.56/~jnz1568/getInfo.php?workbook=12_04.xlsx&amp;sheet=U0&amp;row=5405&amp;col=7&amp;number=0.00403&amp;sourceID=14","0.00403")</f>
        <v>0.00403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HYPERLINK("http://141.218.60.56/~jnz1568/getInfo.php?workbook=12_04.xlsx&amp;sheet=U0&amp;row=5406&amp;col=6&amp;number=3.2&amp;sourceID=14","3.2")</f>
        <v>3.2</v>
      </c>
      <c r="G5406" s="4" t="str">
        <f>HYPERLINK("http://141.218.60.56/~jnz1568/getInfo.php?workbook=12_04.xlsx&amp;sheet=U0&amp;row=5406&amp;col=7&amp;number=0.00403&amp;sourceID=14","0.00403")</f>
        <v>0.00403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HYPERLINK("http://141.218.60.56/~jnz1568/getInfo.php?workbook=12_04.xlsx&amp;sheet=U0&amp;row=5407&amp;col=6&amp;number=3.3&amp;sourceID=14","3.3")</f>
        <v>3.3</v>
      </c>
      <c r="G5407" s="4" t="str">
        <f>HYPERLINK("http://141.218.60.56/~jnz1568/getInfo.php?workbook=12_04.xlsx&amp;sheet=U0&amp;row=5407&amp;col=7&amp;number=0.00403&amp;sourceID=14","0.00403")</f>
        <v>0.00403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HYPERLINK("http://141.218.60.56/~jnz1568/getInfo.php?workbook=12_04.xlsx&amp;sheet=U0&amp;row=5408&amp;col=6&amp;number=3.4&amp;sourceID=14","3.4")</f>
        <v>3.4</v>
      </c>
      <c r="G5408" s="4" t="str">
        <f>HYPERLINK("http://141.218.60.56/~jnz1568/getInfo.php?workbook=12_04.xlsx&amp;sheet=U0&amp;row=5408&amp;col=7&amp;number=0.00402&amp;sourceID=14","0.00402")</f>
        <v>0.00402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HYPERLINK("http://141.218.60.56/~jnz1568/getInfo.php?workbook=12_04.xlsx&amp;sheet=U0&amp;row=5409&amp;col=6&amp;number=3.5&amp;sourceID=14","3.5")</f>
        <v>3.5</v>
      </c>
      <c r="G5409" s="4" t="str">
        <f>HYPERLINK("http://141.218.60.56/~jnz1568/getInfo.php?workbook=12_04.xlsx&amp;sheet=U0&amp;row=5409&amp;col=7&amp;number=0.00402&amp;sourceID=14","0.00402")</f>
        <v>0.00402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HYPERLINK("http://141.218.60.56/~jnz1568/getInfo.php?workbook=12_04.xlsx&amp;sheet=U0&amp;row=5410&amp;col=6&amp;number=3.6&amp;sourceID=14","3.6")</f>
        <v>3.6</v>
      </c>
      <c r="G5410" s="4" t="str">
        <f>HYPERLINK("http://141.218.60.56/~jnz1568/getInfo.php?workbook=12_04.xlsx&amp;sheet=U0&amp;row=5410&amp;col=7&amp;number=0.00402&amp;sourceID=14","0.00402")</f>
        <v>0.00402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HYPERLINK("http://141.218.60.56/~jnz1568/getInfo.php?workbook=12_04.xlsx&amp;sheet=U0&amp;row=5411&amp;col=6&amp;number=3.7&amp;sourceID=14","3.7")</f>
        <v>3.7</v>
      </c>
      <c r="G5411" s="4" t="str">
        <f>HYPERLINK("http://141.218.60.56/~jnz1568/getInfo.php?workbook=12_04.xlsx&amp;sheet=U0&amp;row=5411&amp;col=7&amp;number=0.00401&amp;sourceID=14","0.00401")</f>
        <v>0.00401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HYPERLINK("http://141.218.60.56/~jnz1568/getInfo.php?workbook=12_04.xlsx&amp;sheet=U0&amp;row=5412&amp;col=6&amp;number=3.8&amp;sourceID=14","3.8")</f>
        <v>3.8</v>
      </c>
      <c r="G5412" s="4" t="str">
        <f>HYPERLINK("http://141.218.60.56/~jnz1568/getInfo.php?workbook=12_04.xlsx&amp;sheet=U0&amp;row=5412&amp;col=7&amp;number=0.00401&amp;sourceID=14","0.00401")</f>
        <v>0.00401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HYPERLINK("http://141.218.60.56/~jnz1568/getInfo.php?workbook=12_04.xlsx&amp;sheet=U0&amp;row=5413&amp;col=6&amp;number=3.9&amp;sourceID=14","3.9")</f>
        <v>3.9</v>
      </c>
      <c r="G5413" s="4" t="str">
        <f>HYPERLINK("http://141.218.60.56/~jnz1568/getInfo.php?workbook=12_04.xlsx&amp;sheet=U0&amp;row=5413&amp;col=7&amp;number=0.004&amp;sourceID=14","0.004")</f>
        <v>0.004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HYPERLINK("http://141.218.60.56/~jnz1568/getInfo.php?workbook=12_04.xlsx&amp;sheet=U0&amp;row=5414&amp;col=6&amp;number=4&amp;sourceID=14","4")</f>
        <v>4</v>
      </c>
      <c r="G5414" s="4" t="str">
        <f>HYPERLINK("http://141.218.60.56/~jnz1568/getInfo.php?workbook=12_04.xlsx&amp;sheet=U0&amp;row=5414&amp;col=7&amp;number=0.004&amp;sourceID=14","0.004")</f>
        <v>0.004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HYPERLINK("http://141.218.60.56/~jnz1568/getInfo.php?workbook=12_04.xlsx&amp;sheet=U0&amp;row=5415&amp;col=6&amp;number=4.1&amp;sourceID=14","4.1")</f>
        <v>4.1</v>
      </c>
      <c r="G5415" s="4" t="str">
        <f>HYPERLINK("http://141.218.60.56/~jnz1568/getInfo.php?workbook=12_04.xlsx&amp;sheet=U0&amp;row=5415&amp;col=7&amp;number=0.00399&amp;sourceID=14","0.00399")</f>
        <v>0.00399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HYPERLINK("http://141.218.60.56/~jnz1568/getInfo.php?workbook=12_04.xlsx&amp;sheet=U0&amp;row=5416&amp;col=6&amp;number=4.2&amp;sourceID=14","4.2")</f>
        <v>4.2</v>
      </c>
      <c r="G5416" s="4" t="str">
        <f>HYPERLINK("http://141.218.60.56/~jnz1568/getInfo.php?workbook=12_04.xlsx&amp;sheet=U0&amp;row=5416&amp;col=7&amp;number=0.00398&amp;sourceID=14","0.00398")</f>
        <v>0.00398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HYPERLINK("http://141.218.60.56/~jnz1568/getInfo.php?workbook=12_04.xlsx&amp;sheet=U0&amp;row=5417&amp;col=6&amp;number=4.3&amp;sourceID=14","4.3")</f>
        <v>4.3</v>
      </c>
      <c r="G5417" s="4" t="str">
        <f>HYPERLINK("http://141.218.60.56/~jnz1568/getInfo.php?workbook=12_04.xlsx&amp;sheet=U0&amp;row=5417&amp;col=7&amp;number=0.00396&amp;sourceID=14","0.00396")</f>
        <v>0.00396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HYPERLINK("http://141.218.60.56/~jnz1568/getInfo.php?workbook=12_04.xlsx&amp;sheet=U0&amp;row=5418&amp;col=6&amp;number=4.4&amp;sourceID=14","4.4")</f>
        <v>4.4</v>
      </c>
      <c r="G5418" s="4" t="str">
        <f>HYPERLINK("http://141.218.60.56/~jnz1568/getInfo.php?workbook=12_04.xlsx&amp;sheet=U0&amp;row=5418&amp;col=7&amp;number=0.00395&amp;sourceID=14","0.00395")</f>
        <v>0.00395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HYPERLINK("http://141.218.60.56/~jnz1568/getInfo.php?workbook=12_04.xlsx&amp;sheet=U0&amp;row=5419&amp;col=6&amp;number=4.5&amp;sourceID=14","4.5")</f>
        <v>4.5</v>
      </c>
      <c r="G5419" s="4" t="str">
        <f>HYPERLINK("http://141.218.60.56/~jnz1568/getInfo.php?workbook=12_04.xlsx&amp;sheet=U0&amp;row=5419&amp;col=7&amp;number=0.00393&amp;sourceID=14","0.00393")</f>
        <v>0.00393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HYPERLINK("http://141.218.60.56/~jnz1568/getInfo.php?workbook=12_04.xlsx&amp;sheet=U0&amp;row=5420&amp;col=6&amp;number=4.6&amp;sourceID=14","4.6")</f>
        <v>4.6</v>
      </c>
      <c r="G5420" s="4" t="str">
        <f>HYPERLINK("http://141.218.60.56/~jnz1568/getInfo.php?workbook=12_04.xlsx&amp;sheet=U0&amp;row=5420&amp;col=7&amp;number=0.0039&amp;sourceID=14","0.0039")</f>
        <v>0.0039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HYPERLINK("http://141.218.60.56/~jnz1568/getInfo.php?workbook=12_04.xlsx&amp;sheet=U0&amp;row=5421&amp;col=6&amp;number=4.7&amp;sourceID=14","4.7")</f>
        <v>4.7</v>
      </c>
      <c r="G5421" s="4" t="str">
        <f>HYPERLINK("http://141.218.60.56/~jnz1568/getInfo.php?workbook=12_04.xlsx&amp;sheet=U0&amp;row=5421&amp;col=7&amp;number=0.00387&amp;sourceID=14","0.00387")</f>
        <v>0.00387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HYPERLINK("http://141.218.60.56/~jnz1568/getInfo.php?workbook=12_04.xlsx&amp;sheet=U0&amp;row=5422&amp;col=6&amp;number=4.8&amp;sourceID=14","4.8")</f>
        <v>4.8</v>
      </c>
      <c r="G5422" s="4" t="str">
        <f>HYPERLINK("http://141.218.60.56/~jnz1568/getInfo.php?workbook=12_04.xlsx&amp;sheet=U0&amp;row=5422&amp;col=7&amp;number=0.00383&amp;sourceID=14","0.00383")</f>
        <v>0.00383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HYPERLINK("http://141.218.60.56/~jnz1568/getInfo.php?workbook=12_04.xlsx&amp;sheet=U0&amp;row=5423&amp;col=6&amp;number=4.9&amp;sourceID=14","4.9")</f>
        <v>4.9</v>
      </c>
      <c r="G5423" s="4" t="str">
        <f>HYPERLINK("http://141.218.60.56/~jnz1568/getInfo.php?workbook=12_04.xlsx&amp;sheet=U0&amp;row=5423&amp;col=7&amp;number=0.00379&amp;sourceID=14","0.00379")</f>
        <v>0.00379</v>
      </c>
    </row>
    <row r="5424" spans="1:7">
      <c r="A5424" s="3">
        <v>12</v>
      </c>
      <c r="B5424" s="3">
        <v>4</v>
      </c>
      <c r="C5424" s="3">
        <v>3</v>
      </c>
      <c r="D5424" s="3">
        <v>82</v>
      </c>
      <c r="E5424" s="3">
        <v>1</v>
      </c>
      <c r="F5424" s="4" t="str">
        <f>HYPERLINK("http://141.218.60.56/~jnz1568/getInfo.php?workbook=12_04.xlsx&amp;sheet=U0&amp;row=5424&amp;col=6&amp;number=3&amp;sourceID=14","3")</f>
        <v>3</v>
      </c>
      <c r="G5424" s="4" t="str">
        <f>HYPERLINK("http://141.218.60.56/~jnz1568/getInfo.php?workbook=12_04.xlsx&amp;sheet=U0&amp;row=5424&amp;col=7&amp;number=0.00233&amp;sourceID=14","0.00233")</f>
        <v>0.00233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HYPERLINK("http://141.218.60.56/~jnz1568/getInfo.php?workbook=12_04.xlsx&amp;sheet=U0&amp;row=5425&amp;col=6&amp;number=3.1&amp;sourceID=14","3.1")</f>
        <v>3.1</v>
      </c>
      <c r="G5425" s="4" t="str">
        <f>HYPERLINK("http://141.218.60.56/~jnz1568/getInfo.php?workbook=12_04.xlsx&amp;sheet=U0&amp;row=5425&amp;col=7&amp;number=0.00233&amp;sourceID=14","0.00233")</f>
        <v>0.00233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HYPERLINK("http://141.218.60.56/~jnz1568/getInfo.php?workbook=12_04.xlsx&amp;sheet=U0&amp;row=5426&amp;col=6&amp;number=3.2&amp;sourceID=14","3.2")</f>
        <v>3.2</v>
      </c>
      <c r="G5426" s="4" t="str">
        <f>HYPERLINK("http://141.218.60.56/~jnz1568/getInfo.php?workbook=12_04.xlsx&amp;sheet=U0&amp;row=5426&amp;col=7&amp;number=0.00233&amp;sourceID=14","0.00233")</f>
        <v>0.00233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HYPERLINK("http://141.218.60.56/~jnz1568/getInfo.php?workbook=12_04.xlsx&amp;sheet=U0&amp;row=5427&amp;col=6&amp;number=3.3&amp;sourceID=14","3.3")</f>
        <v>3.3</v>
      </c>
      <c r="G5427" s="4" t="str">
        <f>HYPERLINK("http://141.218.60.56/~jnz1568/getInfo.php?workbook=12_04.xlsx&amp;sheet=U0&amp;row=5427&amp;col=7&amp;number=0.00233&amp;sourceID=14","0.00233")</f>
        <v>0.00233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HYPERLINK("http://141.218.60.56/~jnz1568/getInfo.php?workbook=12_04.xlsx&amp;sheet=U0&amp;row=5428&amp;col=6&amp;number=3.4&amp;sourceID=14","3.4")</f>
        <v>3.4</v>
      </c>
      <c r="G5428" s="4" t="str">
        <f>HYPERLINK("http://141.218.60.56/~jnz1568/getInfo.php?workbook=12_04.xlsx&amp;sheet=U0&amp;row=5428&amp;col=7&amp;number=0.00233&amp;sourceID=14","0.00233")</f>
        <v>0.00233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HYPERLINK("http://141.218.60.56/~jnz1568/getInfo.php?workbook=12_04.xlsx&amp;sheet=U0&amp;row=5429&amp;col=6&amp;number=3.5&amp;sourceID=14","3.5")</f>
        <v>3.5</v>
      </c>
      <c r="G5429" s="4" t="str">
        <f>HYPERLINK("http://141.218.60.56/~jnz1568/getInfo.php?workbook=12_04.xlsx&amp;sheet=U0&amp;row=5429&amp;col=7&amp;number=0.00233&amp;sourceID=14","0.00233")</f>
        <v>0.00233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HYPERLINK("http://141.218.60.56/~jnz1568/getInfo.php?workbook=12_04.xlsx&amp;sheet=U0&amp;row=5430&amp;col=6&amp;number=3.6&amp;sourceID=14","3.6")</f>
        <v>3.6</v>
      </c>
      <c r="G5430" s="4" t="str">
        <f>HYPERLINK("http://141.218.60.56/~jnz1568/getInfo.php?workbook=12_04.xlsx&amp;sheet=U0&amp;row=5430&amp;col=7&amp;number=0.00233&amp;sourceID=14","0.00233")</f>
        <v>0.00233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HYPERLINK("http://141.218.60.56/~jnz1568/getInfo.php?workbook=12_04.xlsx&amp;sheet=U0&amp;row=5431&amp;col=6&amp;number=3.7&amp;sourceID=14","3.7")</f>
        <v>3.7</v>
      </c>
      <c r="G5431" s="4" t="str">
        <f>HYPERLINK("http://141.218.60.56/~jnz1568/getInfo.php?workbook=12_04.xlsx&amp;sheet=U0&amp;row=5431&amp;col=7&amp;number=0.00233&amp;sourceID=14","0.00233")</f>
        <v>0.00233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HYPERLINK("http://141.218.60.56/~jnz1568/getInfo.php?workbook=12_04.xlsx&amp;sheet=U0&amp;row=5432&amp;col=6&amp;number=3.8&amp;sourceID=14","3.8")</f>
        <v>3.8</v>
      </c>
      <c r="G5432" s="4" t="str">
        <f>HYPERLINK("http://141.218.60.56/~jnz1568/getInfo.php?workbook=12_04.xlsx&amp;sheet=U0&amp;row=5432&amp;col=7&amp;number=0.00233&amp;sourceID=14","0.00233")</f>
        <v>0.00233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HYPERLINK("http://141.218.60.56/~jnz1568/getInfo.php?workbook=12_04.xlsx&amp;sheet=U0&amp;row=5433&amp;col=6&amp;number=3.9&amp;sourceID=14","3.9")</f>
        <v>3.9</v>
      </c>
      <c r="G5433" s="4" t="str">
        <f>HYPERLINK("http://141.218.60.56/~jnz1568/getInfo.php?workbook=12_04.xlsx&amp;sheet=U0&amp;row=5433&amp;col=7&amp;number=0.00233&amp;sourceID=14","0.00233")</f>
        <v>0.00233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HYPERLINK("http://141.218.60.56/~jnz1568/getInfo.php?workbook=12_04.xlsx&amp;sheet=U0&amp;row=5434&amp;col=6&amp;number=4&amp;sourceID=14","4")</f>
        <v>4</v>
      </c>
      <c r="G5434" s="4" t="str">
        <f>HYPERLINK("http://141.218.60.56/~jnz1568/getInfo.php?workbook=12_04.xlsx&amp;sheet=U0&amp;row=5434&amp;col=7&amp;number=0.00233&amp;sourceID=14","0.00233")</f>
        <v>0.00233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HYPERLINK("http://141.218.60.56/~jnz1568/getInfo.php?workbook=12_04.xlsx&amp;sheet=U0&amp;row=5435&amp;col=6&amp;number=4.1&amp;sourceID=14","4.1")</f>
        <v>4.1</v>
      </c>
      <c r="G5435" s="4" t="str">
        <f>HYPERLINK("http://141.218.60.56/~jnz1568/getInfo.php?workbook=12_04.xlsx&amp;sheet=U0&amp;row=5435&amp;col=7&amp;number=0.00233&amp;sourceID=14","0.00233")</f>
        <v>0.00233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HYPERLINK("http://141.218.60.56/~jnz1568/getInfo.php?workbook=12_04.xlsx&amp;sheet=U0&amp;row=5436&amp;col=6&amp;number=4.2&amp;sourceID=14","4.2")</f>
        <v>4.2</v>
      </c>
      <c r="G5436" s="4" t="str">
        <f>HYPERLINK("http://141.218.60.56/~jnz1568/getInfo.php?workbook=12_04.xlsx&amp;sheet=U0&amp;row=5436&amp;col=7&amp;number=0.00233&amp;sourceID=14","0.00233")</f>
        <v>0.00233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HYPERLINK("http://141.218.60.56/~jnz1568/getInfo.php?workbook=12_04.xlsx&amp;sheet=U0&amp;row=5437&amp;col=6&amp;number=4.3&amp;sourceID=14","4.3")</f>
        <v>4.3</v>
      </c>
      <c r="G5437" s="4" t="str">
        <f>HYPERLINK("http://141.218.60.56/~jnz1568/getInfo.php?workbook=12_04.xlsx&amp;sheet=U0&amp;row=5437&amp;col=7&amp;number=0.00233&amp;sourceID=14","0.00233")</f>
        <v>0.00233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HYPERLINK("http://141.218.60.56/~jnz1568/getInfo.php?workbook=12_04.xlsx&amp;sheet=U0&amp;row=5438&amp;col=6&amp;number=4.4&amp;sourceID=14","4.4")</f>
        <v>4.4</v>
      </c>
      <c r="G5438" s="4" t="str">
        <f>HYPERLINK("http://141.218.60.56/~jnz1568/getInfo.php?workbook=12_04.xlsx&amp;sheet=U0&amp;row=5438&amp;col=7&amp;number=0.00232&amp;sourceID=14","0.00232")</f>
        <v>0.00232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HYPERLINK("http://141.218.60.56/~jnz1568/getInfo.php?workbook=12_04.xlsx&amp;sheet=U0&amp;row=5439&amp;col=6&amp;number=4.5&amp;sourceID=14","4.5")</f>
        <v>4.5</v>
      </c>
      <c r="G5439" s="4" t="str">
        <f>HYPERLINK("http://141.218.60.56/~jnz1568/getInfo.php?workbook=12_04.xlsx&amp;sheet=U0&amp;row=5439&amp;col=7&amp;number=0.00232&amp;sourceID=14","0.00232")</f>
        <v>0.00232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HYPERLINK("http://141.218.60.56/~jnz1568/getInfo.php?workbook=12_04.xlsx&amp;sheet=U0&amp;row=5440&amp;col=6&amp;number=4.6&amp;sourceID=14","4.6")</f>
        <v>4.6</v>
      </c>
      <c r="G5440" s="4" t="str">
        <f>HYPERLINK("http://141.218.60.56/~jnz1568/getInfo.php?workbook=12_04.xlsx&amp;sheet=U0&amp;row=5440&amp;col=7&amp;number=0.00232&amp;sourceID=14","0.00232")</f>
        <v>0.00232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HYPERLINK("http://141.218.60.56/~jnz1568/getInfo.php?workbook=12_04.xlsx&amp;sheet=U0&amp;row=5441&amp;col=6&amp;number=4.7&amp;sourceID=14","4.7")</f>
        <v>4.7</v>
      </c>
      <c r="G5441" s="4" t="str">
        <f>HYPERLINK("http://141.218.60.56/~jnz1568/getInfo.php?workbook=12_04.xlsx&amp;sheet=U0&amp;row=5441&amp;col=7&amp;number=0.00231&amp;sourceID=14","0.00231")</f>
        <v>0.00231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HYPERLINK("http://141.218.60.56/~jnz1568/getInfo.php?workbook=12_04.xlsx&amp;sheet=U0&amp;row=5442&amp;col=6&amp;number=4.8&amp;sourceID=14","4.8")</f>
        <v>4.8</v>
      </c>
      <c r="G5442" s="4" t="str">
        <f>HYPERLINK("http://141.218.60.56/~jnz1568/getInfo.php?workbook=12_04.xlsx&amp;sheet=U0&amp;row=5442&amp;col=7&amp;number=0.00231&amp;sourceID=14","0.00231")</f>
        <v>0.00231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HYPERLINK("http://141.218.60.56/~jnz1568/getInfo.php?workbook=12_04.xlsx&amp;sheet=U0&amp;row=5443&amp;col=6&amp;number=4.9&amp;sourceID=14","4.9")</f>
        <v>4.9</v>
      </c>
      <c r="G5443" s="4" t="str">
        <f>HYPERLINK("http://141.218.60.56/~jnz1568/getInfo.php?workbook=12_04.xlsx&amp;sheet=U0&amp;row=5443&amp;col=7&amp;number=0.0023&amp;sourceID=14","0.0023")</f>
        <v>0.0023</v>
      </c>
    </row>
    <row r="5444" spans="1:7">
      <c r="A5444" s="3">
        <v>12</v>
      </c>
      <c r="B5444" s="3">
        <v>4</v>
      </c>
      <c r="C5444" s="3">
        <v>3</v>
      </c>
      <c r="D5444" s="3">
        <v>83</v>
      </c>
      <c r="E5444" s="3">
        <v>1</v>
      </c>
      <c r="F5444" s="4" t="str">
        <f>HYPERLINK("http://141.218.60.56/~jnz1568/getInfo.php?workbook=12_04.xlsx&amp;sheet=U0&amp;row=5444&amp;col=6&amp;number=3&amp;sourceID=14","3")</f>
        <v>3</v>
      </c>
      <c r="G5444" s="4" t="str">
        <f>HYPERLINK("http://141.218.60.56/~jnz1568/getInfo.php?workbook=12_04.xlsx&amp;sheet=U0&amp;row=5444&amp;col=7&amp;number=0.00238&amp;sourceID=14","0.00238")</f>
        <v>0.00238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HYPERLINK("http://141.218.60.56/~jnz1568/getInfo.php?workbook=12_04.xlsx&amp;sheet=U0&amp;row=5445&amp;col=6&amp;number=3.1&amp;sourceID=14","3.1")</f>
        <v>3.1</v>
      </c>
      <c r="G5445" s="4" t="str">
        <f>HYPERLINK("http://141.218.60.56/~jnz1568/getInfo.php?workbook=12_04.xlsx&amp;sheet=U0&amp;row=5445&amp;col=7&amp;number=0.00238&amp;sourceID=14","0.00238")</f>
        <v>0.00238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HYPERLINK("http://141.218.60.56/~jnz1568/getInfo.php?workbook=12_04.xlsx&amp;sheet=U0&amp;row=5446&amp;col=6&amp;number=3.2&amp;sourceID=14","3.2")</f>
        <v>3.2</v>
      </c>
      <c r="G5446" s="4" t="str">
        <f>HYPERLINK("http://141.218.60.56/~jnz1568/getInfo.php?workbook=12_04.xlsx&amp;sheet=U0&amp;row=5446&amp;col=7&amp;number=0.00238&amp;sourceID=14","0.00238")</f>
        <v>0.00238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HYPERLINK("http://141.218.60.56/~jnz1568/getInfo.php?workbook=12_04.xlsx&amp;sheet=U0&amp;row=5447&amp;col=6&amp;number=3.3&amp;sourceID=14","3.3")</f>
        <v>3.3</v>
      </c>
      <c r="G5447" s="4" t="str">
        <f>HYPERLINK("http://141.218.60.56/~jnz1568/getInfo.php?workbook=12_04.xlsx&amp;sheet=U0&amp;row=5447&amp;col=7&amp;number=0.00238&amp;sourceID=14","0.00238")</f>
        <v>0.00238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HYPERLINK("http://141.218.60.56/~jnz1568/getInfo.php?workbook=12_04.xlsx&amp;sheet=U0&amp;row=5448&amp;col=6&amp;number=3.4&amp;sourceID=14","3.4")</f>
        <v>3.4</v>
      </c>
      <c r="G5448" s="4" t="str">
        <f>HYPERLINK("http://141.218.60.56/~jnz1568/getInfo.php?workbook=12_04.xlsx&amp;sheet=U0&amp;row=5448&amp;col=7&amp;number=0.00238&amp;sourceID=14","0.00238")</f>
        <v>0.00238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HYPERLINK("http://141.218.60.56/~jnz1568/getInfo.php?workbook=12_04.xlsx&amp;sheet=U0&amp;row=5449&amp;col=6&amp;number=3.5&amp;sourceID=14","3.5")</f>
        <v>3.5</v>
      </c>
      <c r="G5449" s="4" t="str">
        <f>HYPERLINK("http://141.218.60.56/~jnz1568/getInfo.php?workbook=12_04.xlsx&amp;sheet=U0&amp;row=5449&amp;col=7&amp;number=0.00238&amp;sourceID=14","0.00238")</f>
        <v>0.00238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HYPERLINK("http://141.218.60.56/~jnz1568/getInfo.php?workbook=12_04.xlsx&amp;sheet=U0&amp;row=5450&amp;col=6&amp;number=3.6&amp;sourceID=14","3.6")</f>
        <v>3.6</v>
      </c>
      <c r="G5450" s="4" t="str">
        <f>HYPERLINK("http://141.218.60.56/~jnz1568/getInfo.php?workbook=12_04.xlsx&amp;sheet=U0&amp;row=5450&amp;col=7&amp;number=0.00238&amp;sourceID=14","0.00238")</f>
        <v>0.00238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HYPERLINK("http://141.218.60.56/~jnz1568/getInfo.php?workbook=12_04.xlsx&amp;sheet=U0&amp;row=5451&amp;col=6&amp;number=3.7&amp;sourceID=14","3.7")</f>
        <v>3.7</v>
      </c>
      <c r="G5451" s="4" t="str">
        <f>HYPERLINK("http://141.218.60.56/~jnz1568/getInfo.php?workbook=12_04.xlsx&amp;sheet=U0&amp;row=5451&amp;col=7&amp;number=0.00237&amp;sourceID=14","0.00237")</f>
        <v>0.00237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HYPERLINK("http://141.218.60.56/~jnz1568/getInfo.php?workbook=12_04.xlsx&amp;sheet=U0&amp;row=5452&amp;col=6&amp;number=3.8&amp;sourceID=14","3.8")</f>
        <v>3.8</v>
      </c>
      <c r="G5452" s="4" t="str">
        <f>HYPERLINK("http://141.218.60.56/~jnz1568/getInfo.php?workbook=12_04.xlsx&amp;sheet=U0&amp;row=5452&amp;col=7&amp;number=0.00237&amp;sourceID=14","0.00237")</f>
        <v>0.00237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HYPERLINK("http://141.218.60.56/~jnz1568/getInfo.php?workbook=12_04.xlsx&amp;sheet=U0&amp;row=5453&amp;col=6&amp;number=3.9&amp;sourceID=14","3.9")</f>
        <v>3.9</v>
      </c>
      <c r="G5453" s="4" t="str">
        <f>HYPERLINK("http://141.218.60.56/~jnz1568/getInfo.php?workbook=12_04.xlsx&amp;sheet=U0&amp;row=5453&amp;col=7&amp;number=0.00237&amp;sourceID=14","0.00237")</f>
        <v>0.00237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HYPERLINK("http://141.218.60.56/~jnz1568/getInfo.php?workbook=12_04.xlsx&amp;sheet=U0&amp;row=5454&amp;col=6&amp;number=4&amp;sourceID=14","4")</f>
        <v>4</v>
      </c>
      <c r="G5454" s="4" t="str">
        <f>HYPERLINK("http://141.218.60.56/~jnz1568/getInfo.php?workbook=12_04.xlsx&amp;sheet=U0&amp;row=5454&amp;col=7&amp;number=0.00236&amp;sourceID=14","0.00236")</f>
        <v>0.00236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HYPERLINK("http://141.218.60.56/~jnz1568/getInfo.php?workbook=12_04.xlsx&amp;sheet=U0&amp;row=5455&amp;col=6&amp;number=4.1&amp;sourceID=14","4.1")</f>
        <v>4.1</v>
      </c>
      <c r="G5455" s="4" t="str">
        <f>HYPERLINK("http://141.218.60.56/~jnz1568/getInfo.php?workbook=12_04.xlsx&amp;sheet=U0&amp;row=5455&amp;col=7&amp;number=0.00236&amp;sourceID=14","0.00236")</f>
        <v>0.00236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HYPERLINK("http://141.218.60.56/~jnz1568/getInfo.php?workbook=12_04.xlsx&amp;sheet=U0&amp;row=5456&amp;col=6&amp;number=4.2&amp;sourceID=14","4.2")</f>
        <v>4.2</v>
      </c>
      <c r="G5456" s="4" t="str">
        <f>HYPERLINK("http://141.218.60.56/~jnz1568/getInfo.php?workbook=12_04.xlsx&amp;sheet=U0&amp;row=5456&amp;col=7&amp;number=0.00235&amp;sourceID=14","0.00235")</f>
        <v>0.00235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HYPERLINK("http://141.218.60.56/~jnz1568/getInfo.php?workbook=12_04.xlsx&amp;sheet=U0&amp;row=5457&amp;col=6&amp;number=4.3&amp;sourceID=14","4.3")</f>
        <v>4.3</v>
      </c>
      <c r="G5457" s="4" t="str">
        <f>HYPERLINK("http://141.218.60.56/~jnz1568/getInfo.php?workbook=12_04.xlsx&amp;sheet=U0&amp;row=5457&amp;col=7&amp;number=0.00235&amp;sourceID=14","0.00235")</f>
        <v>0.00235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HYPERLINK("http://141.218.60.56/~jnz1568/getInfo.php?workbook=12_04.xlsx&amp;sheet=U0&amp;row=5458&amp;col=6&amp;number=4.4&amp;sourceID=14","4.4")</f>
        <v>4.4</v>
      </c>
      <c r="G5458" s="4" t="str">
        <f>HYPERLINK("http://141.218.60.56/~jnz1568/getInfo.php?workbook=12_04.xlsx&amp;sheet=U0&amp;row=5458&amp;col=7&amp;number=0.00234&amp;sourceID=14","0.00234")</f>
        <v>0.00234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HYPERLINK("http://141.218.60.56/~jnz1568/getInfo.php?workbook=12_04.xlsx&amp;sheet=U0&amp;row=5459&amp;col=6&amp;number=4.5&amp;sourceID=14","4.5")</f>
        <v>4.5</v>
      </c>
      <c r="G5459" s="4" t="str">
        <f>HYPERLINK("http://141.218.60.56/~jnz1568/getInfo.php?workbook=12_04.xlsx&amp;sheet=U0&amp;row=5459&amp;col=7&amp;number=0.00233&amp;sourceID=14","0.00233")</f>
        <v>0.00233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HYPERLINK("http://141.218.60.56/~jnz1568/getInfo.php?workbook=12_04.xlsx&amp;sheet=U0&amp;row=5460&amp;col=6&amp;number=4.6&amp;sourceID=14","4.6")</f>
        <v>4.6</v>
      </c>
      <c r="G5460" s="4" t="str">
        <f>HYPERLINK("http://141.218.60.56/~jnz1568/getInfo.php?workbook=12_04.xlsx&amp;sheet=U0&amp;row=5460&amp;col=7&amp;number=0.00231&amp;sourceID=14","0.00231")</f>
        <v>0.00231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HYPERLINK("http://141.218.60.56/~jnz1568/getInfo.php?workbook=12_04.xlsx&amp;sheet=U0&amp;row=5461&amp;col=6&amp;number=4.7&amp;sourceID=14","4.7")</f>
        <v>4.7</v>
      </c>
      <c r="G5461" s="4" t="str">
        <f>HYPERLINK("http://141.218.60.56/~jnz1568/getInfo.php?workbook=12_04.xlsx&amp;sheet=U0&amp;row=5461&amp;col=7&amp;number=0.0023&amp;sourceID=14","0.0023")</f>
        <v>0.0023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HYPERLINK("http://141.218.60.56/~jnz1568/getInfo.php?workbook=12_04.xlsx&amp;sheet=U0&amp;row=5462&amp;col=6&amp;number=4.8&amp;sourceID=14","4.8")</f>
        <v>4.8</v>
      </c>
      <c r="G5462" s="4" t="str">
        <f>HYPERLINK("http://141.218.60.56/~jnz1568/getInfo.php?workbook=12_04.xlsx&amp;sheet=U0&amp;row=5462&amp;col=7&amp;number=0.00228&amp;sourceID=14","0.00228")</f>
        <v>0.00228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HYPERLINK("http://141.218.60.56/~jnz1568/getInfo.php?workbook=12_04.xlsx&amp;sheet=U0&amp;row=5463&amp;col=6&amp;number=4.9&amp;sourceID=14","4.9")</f>
        <v>4.9</v>
      </c>
      <c r="G5463" s="4" t="str">
        <f>HYPERLINK("http://141.218.60.56/~jnz1568/getInfo.php?workbook=12_04.xlsx&amp;sheet=U0&amp;row=5463&amp;col=7&amp;number=0.00225&amp;sourceID=14","0.00225")</f>
        <v>0.00225</v>
      </c>
    </row>
    <row r="5464" spans="1:7">
      <c r="A5464" s="3">
        <v>12</v>
      </c>
      <c r="B5464" s="3">
        <v>4</v>
      </c>
      <c r="C5464" s="3">
        <v>3</v>
      </c>
      <c r="D5464" s="3">
        <v>84</v>
      </c>
      <c r="E5464" s="3">
        <v>1</v>
      </c>
      <c r="F5464" s="4" t="str">
        <f>HYPERLINK("http://141.218.60.56/~jnz1568/getInfo.php?workbook=12_04.xlsx&amp;sheet=U0&amp;row=5464&amp;col=6&amp;number=3&amp;sourceID=14","3")</f>
        <v>3</v>
      </c>
      <c r="G5464" s="4" t="str">
        <f>HYPERLINK("http://141.218.60.56/~jnz1568/getInfo.php?workbook=12_04.xlsx&amp;sheet=U0&amp;row=5464&amp;col=7&amp;number=0.0041&amp;sourceID=14","0.0041")</f>
        <v>0.0041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HYPERLINK("http://141.218.60.56/~jnz1568/getInfo.php?workbook=12_04.xlsx&amp;sheet=U0&amp;row=5465&amp;col=6&amp;number=3.1&amp;sourceID=14","3.1")</f>
        <v>3.1</v>
      </c>
      <c r="G5465" s="4" t="str">
        <f>HYPERLINK("http://141.218.60.56/~jnz1568/getInfo.php?workbook=12_04.xlsx&amp;sheet=U0&amp;row=5465&amp;col=7&amp;number=0.0041&amp;sourceID=14","0.0041")</f>
        <v>0.0041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HYPERLINK("http://141.218.60.56/~jnz1568/getInfo.php?workbook=12_04.xlsx&amp;sheet=U0&amp;row=5466&amp;col=6&amp;number=3.2&amp;sourceID=14","3.2")</f>
        <v>3.2</v>
      </c>
      <c r="G5466" s="4" t="str">
        <f>HYPERLINK("http://141.218.60.56/~jnz1568/getInfo.php?workbook=12_04.xlsx&amp;sheet=U0&amp;row=5466&amp;col=7&amp;number=0.0041&amp;sourceID=14","0.0041")</f>
        <v>0.0041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HYPERLINK("http://141.218.60.56/~jnz1568/getInfo.php?workbook=12_04.xlsx&amp;sheet=U0&amp;row=5467&amp;col=6&amp;number=3.3&amp;sourceID=14","3.3")</f>
        <v>3.3</v>
      </c>
      <c r="G5467" s="4" t="str">
        <f>HYPERLINK("http://141.218.60.56/~jnz1568/getInfo.php?workbook=12_04.xlsx&amp;sheet=U0&amp;row=5467&amp;col=7&amp;number=0.0041&amp;sourceID=14","0.0041")</f>
        <v>0.0041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HYPERLINK("http://141.218.60.56/~jnz1568/getInfo.php?workbook=12_04.xlsx&amp;sheet=U0&amp;row=5468&amp;col=6&amp;number=3.4&amp;sourceID=14","3.4")</f>
        <v>3.4</v>
      </c>
      <c r="G5468" s="4" t="str">
        <f>HYPERLINK("http://141.218.60.56/~jnz1568/getInfo.php?workbook=12_04.xlsx&amp;sheet=U0&amp;row=5468&amp;col=7&amp;number=0.0041&amp;sourceID=14","0.0041")</f>
        <v>0.0041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HYPERLINK("http://141.218.60.56/~jnz1568/getInfo.php?workbook=12_04.xlsx&amp;sheet=U0&amp;row=5469&amp;col=6&amp;number=3.5&amp;sourceID=14","3.5")</f>
        <v>3.5</v>
      </c>
      <c r="G5469" s="4" t="str">
        <f>HYPERLINK("http://141.218.60.56/~jnz1568/getInfo.php?workbook=12_04.xlsx&amp;sheet=U0&amp;row=5469&amp;col=7&amp;number=0.0041&amp;sourceID=14","0.0041")</f>
        <v>0.0041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HYPERLINK("http://141.218.60.56/~jnz1568/getInfo.php?workbook=12_04.xlsx&amp;sheet=U0&amp;row=5470&amp;col=6&amp;number=3.6&amp;sourceID=14","3.6")</f>
        <v>3.6</v>
      </c>
      <c r="G5470" s="4" t="str">
        <f>HYPERLINK("http://141.218.60.56/~jnz1568/getInfo.php?workbook=12_04.xlsx&amp;sheet=U0&amp;row=5470&amp;col=7&amp;number=0.0041&amp;sourceID=14","0.0041")</f>
        <v>0.0041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HYPERLINK("http://141.218.60.56/~jnz1568/getInfo.php?workbook=12_04.xlsx&amp;sheet=U0&amp;row=5471&amp;col=6&amp;number=3.7&amp;sourceID=14","3.7")</f>
        <v>3.7</v>
      </c>
      <c r="G5471" s="4" t="str">
        <f>HYPERLINK("http://141.218.60.56/~jnz1568/getInfo.php?workbook=12_04.xlsx&amp;sheet=U0&amp;row=5471&amp;col=7&amp;number=0.0041&amp;sourceID=14","0.0041")</f>
        <v>0.0041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HYPERLINK("http://141.218.60.56/~jnz1568/getInfo.php?workbook=12_04.xlsx&amp;sheet=U0&amp;row=5472&amp;col=6&amp;number=3.8&amp;sourceID=14","3.8")</f>
        <v>3.8</v>
      </c>
      <c r="G5472" s="4" t="str">
        <f>HYPERLINK("http://141.218.60.56/~jnz1568/getInfo.php?workbook=12_04.xlsx&amp;sheet=U0&amp;row=5472&amp;col=7&amp;number=0.0041&amp;sourceID=14","0.0041")</f>
        <v>0.0041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HYPERLINK("http://141.218.60.56/~jnz1568/getInfo.php?workbook=12_04.xlsx&amp;sheet=U0&amp;row=5473&amp;col=6&amp;number=3.9&amp;sourceID=14","3.9")</f>
        <v>3.9</v>
      </c>
      <c r="G5473" s="4" t="str">
        <f>HYPERLINK("http://141.218.60.56/~jnz1568/getInfo.php?workbook=12_04.xlsx&amp;sheet=U0&amp;row=5473&amp;col=7&amp;number=0.0041&amp;sourceID=14","0.0041")</f>
        <v>0.0041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HYPERLINK("http://141.218.60.56/~jnz1568/getInfo.php?workbook=12_04.xlsx&amp;sheet=U0&amp;row=5474&amp;col=6&amp;number=4&amp;sourceID=14","4")</f>
        <v>4</v>
      </c>
      <c r="G5474" s="4" t="str">
        <f>HYPERLINK("http://141.218.60.56/~jnz1568/getInfo.php?workbook=12_04.xlsx&amp;sheet=U0&amp;row=5474&amp;col=7&amp;number=0.00409&amp;sourceID=14","0.00409")</f>
        <v>0.00409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HYPERLINK("http://141.218.60.56/~jnz1568/getInfo.php?workbook=12_04.xlsx&amp;sheet=U0&amp;row=5475&amp;col=6&amp;number=4.1&amp;sourceID=14","4.1")</f>
        <v>4.1</v>
      </c>
      <c r="G5475" s="4" t="str">
        <f>HYPERLINK("http://141.218.60.56/~jnz1568/getInfo.php?workbook=12_04.xlsx&amp;sheet=U0&amp;row=5475&amp;col=7&amp;number=0.00409&amp;sourceID=14","0.00409")</f>
        <v>0.00409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HYPERLINK("http://141.218.60.56/~jnz1568/getInfo.php?workbook=12_04.xlsx&amp;sheet=U0&amp;row=5476&amp;col=6&amp;number=4.2&amp;sourceID=14","4.2")</f>
        <v>4.2</v>
      </c>
      <c r="G5476" s="4" t="str">
        <f>HYPERLINK("http://141.218.60.56/~jnz1568/getInfo.php?workbook=12_04.xlsx&amp;sheet=U0&amp;row=5476&amp;col=7&amp;number=0.00409&amp;sourceID=14","0.00409")</f>
        <v>0.00409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HYPERLINK("http://141.218.60.56/~jnz1568/getInfo.php?workbook=12_04.xlsx&amp;sheet=U0&amp;row=5477&amp;col=6&amp;number=4.3&amp;sourceID=14","4.3")</f>
        <v>4.3</v>
      </c>
      <c r="G5477" s="4" t="str">
        <f>HYPERLINK("http://141.218.60.56/~jnz1568/getInfo.php?workbook=12_04.xlsx&amp;sheet=U0&amp;row=5477&amp;col=7&amp;number=0.00408&amp;sourceID=14","0.00408")</f>
        <v>0.00408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HYPERLINK("http://141.218.60.56/~jnz1568/getInfo.php?workbook=12_04.xlsx&amp;sheet=U0&amp;row=5478&amp;col=6&amp;number=4.4&amp;sourceID=14","4.4")</f>
        <v>4.4</v>
      </c>
      <c r="G5478" s="4" t="str">
        <f>HYPERLINK("http://141.218.60.56/~jnz1568/getInfo.php?workbook=12_04.xlsx&amp;sheet=U0&amp;row=5478&amp;col=7&amp;number=0.00408&amp;sourceID=14","0.00408")</f>
        <v>0.00408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HYPERLINK("http://141.218.60.56/~jnz1568/getInfo.php?workbook=12_04.xlsx&amp;sheet=U0&amp;row=5479&amp;col=6&amp;number=4.5&amp;sourceID=14","4.5")</f>
        <v>4.5</v>
      </c>
      <c r="G5479" s="4" t="str">
        <f>HYPERLINK("http://141.218.60.56/~jnz1568/getInfo.php?workbook=12_04.xlsx&amp;sheet=U0&amp;row=5479&amp;col=7&amp;number=0.00407&amp;sourceID=14","0.00407")</f>
        <v>0.00407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HYPERLINK("http://141.218.60.56/~jnz1568/getInfo.php?workbook=12_04.xlsx&amp;sheet=U0&amp;row=5480&amp;col=6&amp;number=4.6&amp;sourceID=14","4.6")</f>
        <v>4.6</v>
      </c>
      <c r="G5480" s="4" t="str">
        <f>HYPERLINK("http://141.218.60.56/~jnz1568/getInfo.php?workbook=12_04.xlsx&amp;sheet=U0&amp;row=5480&amp;col=7&amp;number=0.00406&amp;sourceID=14","0.00406")</f>
        <v>0.00406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HYPERLINK("http://141.218.60.56/~jnz1568/getInfo.php?workbook=12_04.xlsx&amp;sheet=U0&amp;row=5481&amp;col=6&amp;number=4.7&amp;sourceID=14","4.7")</f>
        <v>4.7</v>
      </c>
      <c r="G5481" s="4" t="str">
        <f>HYPERLINK("http://141.218.60.56/~jnz1568/getInfo.php?workbook=12_04.xlsx&amp;sheet=U0&amp;row=5481&amp;col=7&amp;number=0.00405&amp;sourceID=14","0.00405")</f>
        <v>0.00405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HYPERLINK("http://141.218.60.56/~jnz1568/getInfo.php?workbook=12_04.xlsx&amp;sheet=U0&amp;row=5482&amp;col=6&amp;number=4.8&amp;sourceID=14","4.8")</f>
        <v>4.8</v>
      </c>
      <c r="G5482" s="4" t="str">
        <f>HYPERLINK("http://141.218.60.56/~jnz1568/getInfo.php?workbook=12_04.xlsx&amp;sheet=U0&amp;row=5482&amp;col=7&amp;number=0.00404&amp;sourceID=14","0.00404")</f>
        <v>0.00404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HYPERLINK("http://141.218.60.56/~jnz1568/getInfo.php?workbook=12_04.xlsx&amp;sheet=U0&amp;row=5483&amp;col=6&amp;number=4.9&amp;sourceID=14","4.9")</f>
        <v>4.9</v>
      </c>
      <c r="G5483" s="4" t="str">
        <f>HYPERLINK("http://141.218.60.56/~jnz1568/getInfo.php?workbook=12_04.xlsx&amp;sheet=U0&amp;row=5483&amp;col=7&amp;number=0.00402&amp;sourceID=14","0.00402")</f>
        <v>0.00402</v>
      </c>
    </row>
    <row r="5484" spans="1:7">
      <c r="A5484" s="3">
        <v>12</v>
      </c>
      <c r="B5484" s="3">
        <v>4</v>
      </c>
      <c r="C5484" s="3">
        <v>3</v>
      </c>
      <c r="D5484" s="3">
        <v>85</v>
      </c>
      <c r="E5484" s="3">
        <v>1</v>
      </c>
      <c r="F5484" s="4" t="str">
        <f>HYPERLINK("http://141.218.60.56/~jnz1568/getInfo.php?workbook=12_04.xlsx&amp;sheet=U0&amp;row=5484&amp;col=6&amp;number=3&amp;sourceID=14","3")</f>
        <v>3</v>
      </c>
      <c r="G5484" s="4" t="str">
        <f>HYPERLINK("http://141.218.60.56/~jnz1568/getInfo.php?workbook=12_04.xlsx&amp;sheet=U0&amp;row=5484&amp;col=7&amp;number=0.0027&amp;sourceID=14","0.0027")</f>
        <v>0.0027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HYPERLINK("http://141.218.60.56/~jnz1568/getInfo.php?workbook=12_04.xlsx&amp;sheet=U0&amp;row=5485&amp;col=6&amp;number=3.1&amp;sourceID=14","3.1")</f>
        <v>3.1</v>
      </c>
      <c r="G5485" s="4" t="str">
        <f>HYPERLINK("http://141.218.60.56/~jnz1568/getInfo.php?workbook=12_04.xlsx&amp;sheet=U0&amp;row=5485&amp;col=7&amp;number=0.0027&amp;sourceID=14","0.0027")</f>
        <v>0.0027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HYPERLINK("http://141.218.60.56/~jnz1568/getInfo.php?workbook=12_04.xlsx&amp;sheet=U0&amp;row=5486&amp;col=6&amp;number=3.2&amp;sourceID=14","3.2")</f>
        <v>3.2</v>
      </c>
      <c r="G5486" s="4" t="str">
        <f>HYPERLINK("http://141.218.60.56/~jnz1568/getInfo.php?workbook=12_04.xlsx&amp;sheet=U0&amp;row=5486&amp;col=7&amp;number=0.0027&amp;sourceID=14","0.0027")</f>
        <v>0.0027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HYPERLINK("http://141.218.60.56/~jnz1568/getInfo.php?workbook=12_04.xlsx&amp;sheet=U0&amp;row=5487&amp;col=6&amp;number=3.3&amp;sourceID=14","3.3")</f>
        <v>3.3</v>
      </c>
      <c r="G5487" s="4" t="str">
        <f>HYPERLINK("http://141.218.60.56/~jnz1568/getInfo.php?workbook=12_04.xlsx&amp;sheet=U0&amp;row=5487&amp;col=7&amp;number=0.0027&amp;sourceID=14","0.0027")</f>
        <v>0.0027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HYPERLINK("http://141.218.60.56/~jnz1568/getInfo.php?workbook=12_04.xlsx&amp;sheet=U0&amp;row=5488&amp;col=6&amp;number=3.4&amp;sourceID=14","3.4")</f>
        <v>3.4</v>
      </c>
      <c r="G5488" s="4" t="str">
        <f>HYPERLINK("http://141.218.60.56/~jnz1568/getInfo.php?workbook=12_04.xlsx&amp;sheet=U0&amp;row=5488&amp;col=7&amp;number=0.0027&amp;sourceID=14","0.0027")</f>
        <v>0.0027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HYPERLINK("http://141.218.60.56/~jnz1568/getInfo.php?workbook=12_04.xlsx&amp;sheet=U0&amp;row=5489&amp;col=6&amp;number=3.5&amp;sourceID=14","3.5")</f>
        <v>3.5</v>
      </c>
      <c r="G5489" s="4" t="str">
        <f>HYPERLINK("http://141.218.60.56/~jnz1568/getInfo.php?workbook=12_04.xlsx&amp;sheet=U0&amp;row=5489&amp;col=7&amp;number=0.0027&amp;sourceID=14","0.0027")</f>
        <v>0.0027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HYPERLINK("http://141.218.60.56/~jnz1568/getInfo.php?workbook=12_04.xlsx&amp;sheet=U0&amp;row=5490&amp;col=6&amp;number=3.6&amp;sourceID=14","3.6")</f>
        <v>3.6</v>
      </c>
      <c r="G5490" s="4" t="str">
        <f>HYPERLINK("http://141.218.60.56/~jnz1568/getInfo.php?workbook=12_04.xlsx&amp;sheet=U0&amp;row=5490&amp;col=7&amp;number=0.0027&amp;sourceID=14","0.0027")</f>
        <v>0.0027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HYPERLINK("http://141.218.60.56/~jnz1568/getInfo.php?workbook=12_04.xlsx&amp;sheet=U0&amp;row=5491&amp;col=6&amp;number=3.7&amp;sourceID=14","3.7")</f>
        <v>3.7</v>
      </c>
      <c r="G5491" s="4" t="str">
        <f>HYPERLINK("http://141.218.60.56/~jnz1568/getInfo.php?workbook=12_04.xlsx&amp;sheet=U0&amp;row=5491&amp;col=7&amp;number=0.0027&amp;sourceID=14","0.0027")</f>
        <v>0.0027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HYPERLINK("http://141.218.60.56/~jnz1568/getInfo.php?workbook=12_04.xlsx&amp;sheet=U0&amp;row=5492&amp;col=6&amp;number=3.8&amp;sourceID=14","3.8")</f>
        <v>3.8</v>
      </c>
      <c r="G5492" s="4" t="str">
        <f>HYPERLINK("http://141.218.60.56/~jnz1568/getInfo.php?workbook=12_04.xlsx&amp;sheet=U0&amp;row=5492&amp;col=7&amp;number=0.0027&amp;sourceID=14","0.0027")</f>
        <v>0.0027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HYPERLINK("http://141.218.60.56/~jnz1568/getInfo.php?workbook=12_04.xlsx&amp;sheet=U0&amp;row=5493&amp;col=6&amp;number=3.9&amp;sourceID=14","3.9")</f>
        <v>3.9</v>
      </c>
      <c r="G5493" s="4" t="str">
        <f>HYPERLINK("http://141.218.60.56/~jnz1568/getInfo.php?workbook=12_04.xlsx&amp;sheet=U0&amp;row=5493&amp;col=7&amp;number=0.0027&amp;sourceID=14","0.0027")</f>
        <v>0.0027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HYPERLINK("http://141.218.60.56/~jnz1568/getInfo.php?workbook=12_04.xlsx&amp;sheet=U0&amp;row=5494&amp;col=6&amp;number=4&amp;sourceID=14","4")</f>
        <v>4</v>
      </c>
      <c r="G5494" s="4" t="str">
        <f>HYPERLINK("http://141.218.60.56/~jnz1568/getInfo.php?workbook=12_04.xlsx&amp;sheet=U0&amp;row=5494&amp;col=7&amp;number=0.00269&amp;sourceID=14","0.00269")</f>
        <v>0.00269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HYPERLINK("http://141.218.60.56/~jnz1568/getInfo.php?workbook=12_04.xlsx&amp;sheet=U0&amp;row=5495&amp;col=6&amp;number=4.1&amp;sourceID=14","4.1")</f>
        <v>4.1</v>
      </c>
      <c r="G5495" s="4" t="str">
        <f>HYPERLINK("http://141.218.60.56/~jnz1568/getInfo.php?workbook=12_04.xlsx&amp;sheet=U0&amp;row=5495&amp;col=7&amp;number=0.00269&amp;sourceID=14","0.00269")</f>
        <v>0.00269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HYPERLINK("http://141.218.60.56/~jnz1568/getInfo.php?workbook=12_04.xlsx&amp;sheet=U0&amp;row=5496&amp;col=6&amp;number=4.2&amp;sourceID=14","4.2")</f>
        <v>4.2</v>
      </c>
      <c r="G5496" s="4" t="str">
        <f>HYPERLINK("http://141.218.60.56/~jnz1568/getInfo.php?workbook=12_04.xlsx&amp;sheet=U0&amp;row=5496&amp;col=7&amp;number=0.00268&amp;sourceID=14","0.00268")</f>
        <v>0.00268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HYPERLINK("http://141.218.60.56/~jnz1568/getInfo.php?workbook=12_04.xlsx&amp;sheet=U0&amp;row=5497&amp;col=6&amp;number=4.3&amp;sourceID=14","4.3")</f>
        <v>4.3</v>
      </c>
      <c r="G5497" s="4" t="str">
        <f>HYPERLINK("http://141.218.60.56/~jnz1568/getInfo.php?workbook=12_04.xlsx&amp;sheet=U0&amp;row=5497&amp;col=7&amp;number=0.00268&amp;sourceID=14","0.00268")</f>
        <v>0.00268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HYPERLINK("http://141.218.60.56/~jnz1568/getInfo.php?workbook=12_04.xlsx&amp;sheet=U0&amp;row=5498&amp;col=6&amp;number=4.4&amp;sourceID=14","4.4")</f>
        <v>4.4</v>
      </c>
      <c r="G5498" s="4" t="str">
        <f>HYPERLINK("http://141.218.60.56/~jnz1568/getInfo.php?workbook=12_04.xlsx&amp;sheet=U0&amp;row=5498&amp;col=7&amp;number=0.00267&amp;sourceID=14","0.00267")</f>
        <v>0.00267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HYPERLINK("http://141.218.60.56/~jnz1568/getInfo.php?workbook=12_04.xlsx&amp;sheet=U0&amp;row=5499&amp;col=6&amp;number=4.5&amp;sourceID=14","4.5")</f>
        <v>4.5</v>
      </c>
      <c r="G5499" s="4" t="str">
        <f>HYPERLINK("http://141.218.60.56/~jnz1568/getInfo.php?workbook=12_04.xlsx&amp;sheet=U0&amp;row=5499&amp;col=7&amp;number=0.00266&amp;sourceID=14","0.00266")</f>
        <v>0.00266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HYPERLINK("http://141.218.60.56/~jnz1568/getInfo.php?workbook=12_04.xlsx&amp;sheet=U0&amp;row=5500&amp;col=6&amp;number=4.6&amp;sourceID=14","4.6")</f>
        <v>4.6</v>
      </c>
      <c r="G5500" s="4" t="str">
        <f>HYPERLINK("http://141.218.60.56/~jnz1568/getInfo.php?workbook=12_04.xlsx&amp;sheet=U0&amp;row=5500&amp;col=7&amp;number=0.00265&amp;sourceID=14","0.00265")</f>
        <v>0.00265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HYPERLINK("http://141.218.60.56/~jnz1568/getInfo.php?workbook=12_04.xlsx&amp;sheet=U0&amp;row=5501&amp;col=6&amp;number=4.7&amp;sourceID=14","4.7")</f>
        <v>4.7</v>
      </c>
      <c r="G5501" s="4" t="str">
        <f>HYPERLINK("http://141.218.60.56/~jnz1568/getInfo.php?workbook=12_04.xlsx&amp;sheet=U0&amp;row=5501&amp;col=7&amp;number=0.00264&amp;sourceID=14","0.00264")</f>
        <v>0.00264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HYPERLINK("http://141.218.60.56/~jnz1568/getInfo.php?workbook=12_04.xlsx&amp;sheet=U0&amp;row=5502&amp;col=6&amp;number=4.8&amp;sourceID=14","4.8")</f>
        <v>4.8</v>
      </c>
      <c r="G5502" s="4" t="str">
        <f>HYPERLINK("http://141.218.60.56/~jnz1568/getInfo.php?workbook=12_04.xlsx&amp;sheet=U0&amp;row=5502&amp;col=7&amp;number=0.00263&amp;sourceID=14","0.00263")</f>
        <v>0.00263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HYPERLINK("http://141.218.60.56/~jnz1568/getInfo.php?workbook=12_04.xlsx&amp;sheet=U0&amp;row=5503&amp;col=6&amp;number=4.9&amp;sourceID=14","4.9")</f>
        <v>4.9</v>
      </c>
      <c r="G5503" s="4" t="str">
        <f>HYPERLINK("http://141.218.60.56/~jnz1568/getInfo.php?workbook=12_04.xlsx&amp;sheet=U0&amp;row=5503&amp;col=7&amp;number=0.00261&amp;sourceID=14","0.00261")</f>
        <v>0.00261</v>
      </c>
    </row>
    <row r="5504" spans="1:7">
      <c r="A5504" s="3">
        <v>12</v>
      </c>
      <c r="B5504" s="3">
        <v>4</v>
      </c>
      <c r="C5504" s="3">
        <v>3</v>
      </c>
      <c r="D5504" s="3">
        <v>86</v>
      </c>
      <c r="E5504" s="3">
        <v>1</v>
      </c>
      <c r="F5504" s="4" t="str">
        <f>HYPERLINK("http://141.218.60.56/~jnz1568/getInfo.php?workbook=12_04.xlsx&amp;sheet=U0&amp;row=5504&amp;col=6&amp;number=3&amp;sourceID=14","3")</f>
        <v>3</v>
      </c>
      <c r="G5504" s="4" t="str">
        <f>HYPERLINK("http://141.218.60.56/~jnz1568/getInfo.php?workbook=12_04.xlsx&amp;sheet=U0&amp;row=5504&amp;col=7&amp;number=0.00131&amp;sourceID=14","0.00131")</f>
        <v>0.00131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HYPERLINK("http://141.218.60.56/~jnz1568/getInfo.php?workbook=12_04.xlsx&amp;sheet=U0&amp;row=5505&amp;col=6&amp;number=3.1&amp;sourceID=14","3.1")</f>
        <v>3.1</v>
      </c>
      <c r="G5505" s="4" t="str">
        <f>HYPERLINK("http://141.218.60.56/~jnz1568/getInfo.php?workbook=12_04.xlsx&amp;sheet=U0&amp;row=5505&amp;col=7&amp;number=0.00131&amp;sourceID=14","0.00131")</f>
        <v>0.00131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HYPERLINK("http://141.218.60.56/~jnz1568/getInfo.php?workbook=12_04.xlsx&amp;sheet=U0&amp;row=5506&amp;col=6&amp;number=3.2&amp;sourceID=14","3.2")</f>
        <v>3.2</v>
      </c>
      <c r="G5506" s="4" t="str">
        <f>HYPERLINK("http://141.218.60.56/~jnz1568/getInfo.php?workbook=12_04.xlsx&amp;sheet=U0&amp;row=5506&amp;col=7&amp;number=0.00131&amp;sourceID=14","0.00131")</f>
        <v>0.00131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HYPERLINK("http://141.218.60.56/~jnz1568/getInfo.php?workbook=12_04.xlsx&amp;sheet=U0&amp;row=5507&amp;col=6&amp;number=3.3&amp;sourceID=14","3.3")</f>
        <v>3.3</v>
      </c>
      <c r="G5507" s="4" t="str">
        <f>HYPERLINK("http://141.218.60.56/~jnz1568/getInfo.php?workbook=12_04.xlsx&amp;sheet=U0&amp;row=5507&amp;col=7&amp;number=0.00131&amp;sourceID=14","0.00131")</f>
        <v>0.00131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HYPERLINK("http://141.218.60.56/~jnz1568/getInfo.php?workbook=12_04.xlsx&amp;sheet=U0&amp;row=5508&amp;col=6&amp;number=3.4&amp;sourceID=14","3.4")</f>
        <v>3.4</v>
      </c>
      <c r="G5508" s="4" t="str">
        <f>HYPERLINK("http://141.218.60.56/~jnz1568/getInfo.php?workbook=12_04.xlsx&amp;sheet=U0&amp;row=5508&amp;col=7&amp;number=0.00131&amp;sourceID=14","0.00131")</f>
        <v>0.00131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HYPERLINK("http://141.218.60.56/~jnz1568/getInfo.php?workbook=12_04.xlsx&amp;sheet=U0&amp;row=5509&amp;col=6&amp;number=3.5&amp;sourceID=14","3.5")</f>
        <v>3.5</v>
      </c>
      <c r="G5509" s="4" t="str">
        <f>HYPERLINK("http://141.218.60.56/~jnz1568/getInfo.php?workbook=12_04.xlsx&amp;sheet=U0&amp;row=5509&amp;col=7&amp;number=0.0013&amp;sourceID=14","0.0013")</f>
        <v>0.0013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HYPERLINK("http://141.218.60.56/~jnz1568/getInfo.php?workbook=12_04.xlsx&amp;sheet=U0&amp;row=5510&amp;col=6&amp;number=3.6&amp;sourceID=14","3.6")</f>
        <v>3.6</v>
      </c>
      <c r="G5510" s="4" t="str">
        <f>HYPERLINK("http://141.218.60.56/~jnz1568/getInfo.php?workbook=12_04.xlsx&amp;sheet=U0&amp;row=5510&amp;col=7&amp;number=0.0013&amp;sourceID=14","0.0013")</f>
        <v>0.0013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HYPERLINK("http://141.218.60.56/~jnz1568/getInfo.php?workbook=12_04.xlsx&amp;sheet=U0&amp;row=5511&amp;col=6&amp;number=3.7&amp;sourceID=14","3.7")</f>
        <v>3.7</v>
      </c>
      <c r="G5511" s="4" t="str">
        <f>HYPERLINK("http://141.218.60.56/~jnz1568/getInfo.php?workbook=12_04.xlsx&amp;sheet=U0&amp;row=5511&amp;col=7&amp;number=0.0013&amp;sourceID=14","0.0013")</f>
        <v>0.0013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HYPERLINK("http://141.218.60.56/~jnz1568/getInfo.php?workbook=12_04.xlsx&amp;sheet=U0&amp;row=5512&amp;col=6&amp;number=3.8&amp;sourceID=14","3.8")</f>
        <v>3.8</v>
      </c>
      <c r="G5512" s="4" t="str">
        <f>HYPERLINK("http://141.218.60.56/~jnz1568/getInfo.php?workbook=12_04.xlsx&amp;sheet=U0&amp;row=5512&amp;col=7&amp;number=0.0013&amp;sourceID=14","0.0013")</f>
        <v>0.0013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HYPERLINK("http://141.218.60.56/~jnz1568/getInfo.php?workbook=12_04.xlsx&amp;sheet=U0&amp;row=5513&amp;col=6&amp;number=3.9&amp;sourceID=14","3.9")</f>
        <v>3.9</v>
      </c>
      <c r="G5513" s="4" t="str">
        <f>HYPERLINK("http://141.218.60.56/~jnz1568/getInfo.php?workbook=12_04.xlsx&amp;sheet=U0&amp;row=5513&amp;col=7&amp;number=0.0013&amp;sourceID=14","0.0013")</f>
        <v>0.0013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HYPERLINK("http://141.218.60.56/~jnz1568/getInfo.php?workbook=12_04.xlsx&amp;sheet=U0&amp;row=5514&amp;col=6&amp;number=4&amp;sourceID=14","4")</f>
        <v>4</v>
      </c>
      <c r="G5514" s="4" t="str">
        <f>HYPERLINK("http://141.218.60.56/~jnz1568/getInfo.php?workbook=12_04.xlsx&amp;sheet=U0&amp;row=5514&amp;col=7&amp;number=0.00129&amp;sourceID=14","0.00129")</f>
        <v>0.00129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HYPERLINK("http://141.218.60.56/~jnz1568/getInfo.php?workbook=12_04.xlsx&amp;sheet=U0&amp;row=5515&amp;col=6&amp;number=4.1&amp;sourceID=14","4.1")</f>
        <v>4.1</v>
      </c>
      <c r="G5515" s="4" t="str">
        <f>HYPERLINK("http://141.218.60.56/~jnz1568/getInfo.php?workbook=12_04.xlsx&amp;sheet=U0&amp;row=5515&amp;col=7&amp;number=0.00129&amp;sourceID=14","0.00129")</f>
        <v>0.00129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HYPERLINK("http://141.218.60.56/~jnz1568/getInfo.php?workbook=12_04.xlsx&amp;sheet=U0&amp;row=5516&amp;col=6&amp;number=4.2&amp;sourceID=14","4.2")</f>
        <v>4.2</v>
      </c>
      <c r="G5516" s="4" t="str">
        <f>HYPERLINK("http://141.218.60.56/~jnz1568/getInfo.php?workbook=12_04.xlsx&amp;sheet=U0&amp;row=5516&amp;col=7&amp;number=0.00128&amp;sourceID=14","0.00128")</f>
        <v>0.00128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HYPERLINK("http://141.218.60.56/~jnz1568/getInfo.php?workbook=12_04.xlsx&amp;sheet=U0&amp;row=5517&amp;col=6&amp;number=4.3&amp;sourceID=14","4.3")</f>
        <v>4.3</v>
      </c>
      <c r="G5517" s="4" t="str">
        <f>HYPERLINK("http://141.218.60.56/~jnz1568/getInfo.php?workbook=12_04.xlsx&amp;sheet=U0&amp;row=5517&amp;col=7&amp;number=0.00128&amp;sourceID=14","0.00128")</f>
        <v>0.00128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HYPERLINK("http://141.218.60.56/~jnz1568/getInfo.php?workbook=12_04.xlsx&amp;sheet=U0&amp;row=5518&amp;col=6&amp;number=4.4&amp;sourceID=14","4.4")</f>
        <v>4.4</v>
      </c>
      <c r="G5518" s="4" t="str">
        <f>HYPERLINK("http://141.218.60.56/~jnz1568/getInfo.php?workbook=12_04.xlsx&amp;sheet=U0&amp;row=5518&amp;col=7&amp;number=0.00127&amp;sourceID=14","0.00127")</f>
        <v>0.00127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HYPERLINK("http://141.218.60.56/~jnz1568/getInfo.php?workbook=12_04.xlsx&amp;sheet=U0&amp;row=5519&amp;col=6&amp;number=4.5&amp;sourceID=14","4.5")</f>
        <v>4.5</v>
      </c>
      <c r="G5519" s="4" t="str">
        <f>HYPERLINK("http://141.218.60.56/~jnz1568/getInfo.php?workbook=12_04.xlsx&amp;sheet=U0&amp;row=5519&amp;col=7&amp;number=0.00126&amp;sourceID=14","0.00126")</f>
        <v>0.00126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HYPERLINK("http://141.218.60.56/~jnz1568/getInfo.php?workbook=12_04.xlsx&amp;sheet=U0&amp;row=5520&amp;col=6&amp;number=4.6&amp;sourceID=14","4.6")</f>
        <v>4.6</v>
      </c>
      <c r="G5520" s="4" t="str">
        <f>HYPERLINK("http://141.218.60.56/~jnz1568/getInfo.php?workbook=12_04.xlsx&amp;sheet=U0&amp;row=5520&amp;col=7&amp;number=0.00125&amp;sourceID=14","0.00125")</f>
        <v>0.00125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HYPERLINK("http://141.218.60.56/~jnz1568/getInfo.php?workbook=12_04.xlsx&amp;sheet=U0&amp;row=5521&amp;col=6&amp;number=4.7&amp;sourceID=14","4.7")</f>
        <v>4.7</v>
      </c>
      <c r="G5521" s="4" t="str">
        <f>HYPERLINK("http://141.218.60.56/~jnz1568/getInfo.php?workbook=12_04.xlsx&amp;sheet=U0&amp;row=5521&amp;col=7&amp;number=0.00123&amp;sourceID=14","0.00123")</f>
        <v>0.00123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HYPERLINK("http://141.218.60.56/~jnz1568/getInfo.php?workbook=12_04.xlsx&amp;sheet=U0&amp;row=5522&amp;col=6&amp;number=4.8&amp;sourceID=14","4.8")</f>
        <v>4.8</v>
      </c>
      <c r="G5522" s="4" t="str">
        <f>HYPERLINK("http://141.218.60.56/~jnz1568/getInfo.php?workbook=12_04.xlsx&amp;sheet=U0&amp;row=5522&amp;col=7&amp;number=0.00122&amp;sourceID=14","0.00122")</f>
        <v>0.00122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HYPERLINK("http://141.218.60.56/~jnz1568/getInfo.php?workbook=12_04.xlsx&amp;sheet=U0&amp;row=5523&amp;col=6&amp;number=4.9&amp;sourceID=14","4.9")</f>
        <v>4.9</v>
      </c>
      <c r="G5523" s="4" t="str">
        <f>HYPERLINK("http://141.218.60.56/~jnz1568/getInfo.php?workbook=12_04.xlsx&amp;sheet=U0&amp;row=5523&amp;col=7&amp;number=0.0012&amp;sourceID=14","0.0012")</f>
        <v>0.0012</v>
      </c>
    </row>
    <row r="5524" spans="1:7">
      <c r="A5524" s="3">
        <v>12</v>
      </c>
      <c r="B5524" s="3">
        <v>4</v>
      </c>
      <c r="C5524" s="3">
        <v>3</v>
      </c>
      <c r="D5524" s="3">
        <v>87</v>
      </c>
      <c r="E5524" s="3">
        <v>1</v>
      </c>
      <c r="F5524" s="4" t="str">
        <f>HYPERLINK("http://141.218.60.56/~jnz1568/getInfo.php?workbook=12_04.xlsx&amp;sheet=U0&amp;row=5524&amp;col=6&amp;number=3&amp;sourceID=14","3")</f>
        <v>3</v>
      </c>
      <c r="G5524" s="4" t="str">
        <f>HYPERLINK("http://141.218.60.56/~jnz1568/getInfo.php?workbook=12_04.xlsx&amp;sheet=U0&amp;row=5524&amp;col=7&amp;number=0.000298&amp;sourceID=14","0.000298")</f>
        <v>0.000298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HYPERLINK("http://141.218.60.56/~jnz1568/getInfo.php?workbook=12_04.xlsx&amp;sheet=U0&amp;row=5525&amp;col=6&amp;number=3.1&amp;sourceID=14","3.1")</f>
        <v>3.1</v>
      </c>
      <c r="G5525" s="4" t="str">
        <f>HYPERLINK("http://141.218.60.56/~jnz1568/getInfo.php?workbook=12_04.xlsx&amp;sheet=U0&amp;row=5525&amp;col=7&amp;number=0.000298&amp;sourceID=14","0.000298")</f>
        <v>0.000298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HYPERLINK("http://141.218.60.56/~jnz1568/getInfo.php?workbook=12_04.xlsx&amp;sheet=U0&amp;row=5526&amp;col=6&amp;number=3.2&amp;sourceID=14","3.2")</f>
        <v>3.2</v>
      </c>
      <c r="G5526" s="4" t="str">
        <f>HYPERLINK("http://141.218.60.56/~jnz1568/getInfo.php?workbook=12_04.xlsx&amp;sheet=U0&amp;row=5526&amp;col=7&amp;number=0.000298&amp;sourceID=14","0.000298")</f>
        <v>0.000298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HYPERLINK("http://141.218.60.56/~jnz1568/getInfo.php?workbook=12_04.xlsx&amp;sheet=U0&amp;row=5527&amp;col=6&amp;number=3.3&amp;sourceID=14","3.3")</f>
        <v>3.3</v>
      </c>
      <c r="G5527" s="4" t="str">
        <f>HYPERLINK("http://141.218.60.56/~jnz1568/getInfo.php?workbook=12_04.xlsx&amp;sheet=U0&amp;row=5527&amp;col=7&amp;number=0.000297&amp;sourceID=14","0.000297")</f>
        <v>0.000297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HYPERLINK("http://141.218.60.56/~jnz1568/getInfo.php?workbook=12_04.xlsx&amp;sheet=U0&amp;row=5528&amp;col=6&amp;number=3.4&amp;sourceID=14","3.4")</f>
        <v>3.4</v>
      </c>
      <c r="G5528" s="4" t="str">
        <f>HYPERLINK("http://141.218.60.56/~jnz1568/getInfo.php?workbook=12_04.xlsx&amp;sheet=U0&amp;row=5528&amp;col=7&amp;number=0.000297&amp;sourceID=14","0.000297")</f>
        <v>0.000297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HYPERLINK("http://141.218.60.56/~jnz1568/getInfo.php?workbook=12_04.xlsx&amp;sheet=U0&amp;row=5529&amp;col=6&amp;number=3.5&amp;sourceID=14","3.5")</f>
        <v>3.5</v>
      </c>
      <c r="G5529" s="4" t="str">
        <f>HYPERLINK("http://141.218.60.56/~jnz1568/getInfo.php?workbook=12_04.xlsx&amp;sheet=U0&amp;row=5529&amp;col=7&amp;number=0.000297&amp;sourceID=14","0.000297")</f>
        <v>0.000297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HYPERLINK("http://141.218.60.56/~jnz1568/getInfo.php?workbook=12_04.xlsx&amp;sheet=U0&amp;row=5530&amp;col=6&amp;number=3.6&amp;sourceID=14","3.6")</f>
        <v>3.6</v>
      </c>
      <c r="G5530" s="4" t="str">
        <f>HYPERLINK("http://141.218.60.56/~jnz1568/getInfo.php?workbook=12_04.xlsx&amp;sheet=U0&amp;row=5530&amp;col=7&amp;number=0.000297&amp;sourceID=14","0.000297")</f>
        <v>0.000297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HYPERLINK("http://141.218.60.56/~jnz1568/getInfo.php?workbook=12_04.xlsx&amp;sheet=U0&amp;row=5531&amp;col=6&amp;number=3.7&amp;sourceID=14","3.7")</f>
        <v>3.7</v>
      </c>
      <c r="G5531" s="4" t="str">
        <f>HYPERLINK("http://141.218.60.56/~jnz1568/getInfo.php?workbook=12_04.xlsx&amp;sheet=U0&amp;row=5531&amp;col=7&amp;number=0.000296&amp;sourceID=14","0.000296")</f>
        <v>0.000296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HYPERLINK("http://141.218.60.56/~jnz1568/getInfo.php?workbook=12_04.xlsx&amp;sheet=U0&amp;row=5532&amp;col=6&amp;number=3.8&amp;sourceID=14","3.8")</f>
        <v>3.8</v>
      </c>
      <c r="G5532" s="4" t="str">
        <f>HYPERLINK("http://141.218.60.56/~jnz1568/getInfo.php?workbook=12_04.xlsx&amp;sheet=U0&amp;row=5532&amp;col=7&amp;number=0.000296&amp;sourceID=14","0.000296")</f>
        <v>0.000296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HYPERLINK("http://141.218.60.56/~jnz1568/getInfo.php?workbook=12_04.xlsx&amp;sheet=U0&amp;row=5533&amp;col=6&amp;number=3.9&amp;sourceID=14","3.9")</f>
        <v>3.9</v>
      </c>
      <c r="G5533" s="4" t="str">
        <f>HYPERLINK("http://141.218.60.56/~jnz1568/getInfo.php?workbook=12_04.xlsx&amp;sheet=U0&amp;row=5533&amp;col=7&amp;number=0.000295&amp;sourceID=14","0.000295")</f>
        <v>0.000295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HYPERLINK("http://141.218.60.56/~jnz1568/getInfo.php?workbook=12_04.xlsx&amp;sheet=U0&amp;row=5534&amp;col=6&amp;number=4&amp;sourceID=14","4")</f>
        <v>4</v>
      </c>
      <c r="G5534" s="4" t="str">
        <f>HYPERLINK("http://141.218.60.56/~jnz1568/getInfo.php?workbook=12_04.xlsx&amp;sheet=U0&amp;row=5534&amp;col=7&amp;number=0.000294&amp;sourceID=14","0.000294")</f>
        <v>0.000294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HYPERLINK("http://141.218.60.56/~jnz1568/getInfo.php?workbook=12_04.xlsx&amp;sheet=U0&amp;row=5535&amp;col=6&amp;number=4.1&amp;sourceID=14","4.1")</f>
        <v>4.1</v>
      </c>
      <c r="G5535" s="4" t="str">
        <f>HYPERLINK("http://141.218.60.56/~jnz1568/getInfo.php?workbook=12_04.xlsx&amp;sheet=U0&amp;row=5535&amp;col=7&amp;number=0.000293&amp;sourceID=14","0.000293")</f>
        <v>0.000293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HYPERLINK("http://141.218.60.56/~jnz1568/getInfo.php?workbook=12_04.xlsx&amp;sheet=U0&amp;row=5536&amp;col=6&amp;number=4.2&amp;sourceID=14","4.2")</f>
        <v>4.2</v>
      </c>
      <c r="G5536" s="4" t="str">
        <f>HYPERLINK("http://141.218.60.56/~jnz1568/getInfo.php?workbook=12_04.xlsx&amp;sheet=U0&amp;row=5536&amp;col=7&amp;number=0.000292&amp;sourceID=14","0.000292")</f>
        <v>0.000292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HYPERLINK("http://141.218.60.56/~jnz1568/getInfo.php?workbook=12_04.xlsx&amp;sheet=U0&amp;row=5537&amp;col=6&amp;number=4.3&amp;sourceID=14","4.3")</f>
        <v>4.3</v>
      </c>
      <c r="G5537" s="4" t="str">
        <f>HYPERLINK("http://141.218.60.56/~jnz1568/getInfo.php?workbook=12_04.xlsx&amp;sheet=U0&amp;row=5537&amp;col=7&amp;number=0.000291&amp;sourceID=14","0.000291")</f>
        <v>0.000291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HYPERLINK("http://141.218.60.56/~jnz1568/getInfo.php?workbook=12_04.xlsx&amp;sheet=U0&amp;row=5538&amp;col=6&amp;number=4.4&amp;sourceID=14","4.4")</f>
        <v>4.4</v>
      </c>
      <c r="G5538" s="4" t="str">
        <f>HYPERLINK("http://141.218.60.56/~jnz1568/getInfo.php?workbook=12_04.xlsx&amp;sheet=U0&amp;row=5538&amp;col=7&amp;number=0.000289&amp;sourceID=14","0.000289")</f>
        <v>0.000289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HYPERLINK("http://141.218.60.56/~jnz1568/getInfo.php?workbook=12_04.xlsx&amp;sheet=U0&amp;row=5539&amp;col=6&amp;number=4.5&amp;sourceID=14","4.5")</f>
        <v>4.5</v>
      </c>
      <c r="G5539" s="4" t="str">
        <f>HYPERLINK("http://141.218.60.56/~jnz1568/getInfo.php?workbook=12_04.xlsx&amp;sheet=U0&amp;row=5539&amp;col=7&amp;number=0.000287&amp;sourceID=14","0.000287")</f>
        <v>0.000287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HYPERLINK("http://141.218.60.56/~jnz1568/getInfo.php?workbook=12_04.xlsx&amp;sheet=U0&amp;row=5540&amp;col=6&amp;number=4.6&amp;sourceID=14","4.6")</f>
        <v>4.6</v>
      </c>
      <c r="G5540" s="4" t="str">
        <f>HYPERLINK("http://141.218.60.56/~jnz1568/getInfo.php?workbook=12_04.xlsx&amp;sheet=U0&amp;row=5540&amp;col=7&amp;number=0.000284&amp;sourceID=14","0.000284")</f>
        <v>0.000284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HYPERLINK("http://141.218.60.56/~jnz1568/getInfo.php?workbook=12_04.xlsx&amp;sheet=U0&amp;row=5541&amp;col=6&amp;number=4.7&amp;sourceID=14","4.7")</f>
        <v>4.7</v>
      </c>
      <c r="G5541" s="4" t="str">
        <f>HYPERLINK("http://141.218.60.56/~jnz1568/getInfo.php?workbook=12_04.xlsx&amp;sheet=U0&amp;row=5541&amp;col=7&amp;number=0.00028&amp;sourceID=14","0.00028")</f>
        <v>0.00028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HYPERLINK("http://141.218.60.56/~jnz1568/getInfo.php?workbook=12_04.xlsx&amp;sheet=U0&amp;row=5542&amp;col=6&amp;number=4.8&amp;sourceID=14","4.8")</f>
        <v>4.8</v>
      </c>
      <c r="G5542" s="4" t="str">
        <f>HYPERLINK("http://141.218.60.56/~jnz1568/getInfo.php?workbook=12_04.xlsx&amp;sheet=U0&amp;row=5542&amp;col=7&amp;number=0.000276&amp;sourceID=14","0.000276")</f>
        <v>0.000276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HYPERLINK("http://141.218.60.56/~jnz1568/getInfo.php?workbook=12_04.xlsx&amp;sheet=U0&amp;row=5543&amp;col=6&amp;number=4.9&amp;sourceID=14","4.9")</f>
        <v>4.9</v>
      </c>
      <c r="G5543" s="4" t="str">
        <f>HYPERLINK("http://141.218.60.56/~jnz1568/getInfo.php?workbook=12_04.xlsx&amp;sheet=U0&amp;row=5543&amp;col=7&amp;number=0.000271&amp;sourceID=14","0.000271")</f>
        <v>0.000271</v>
      </c>
    </row>
    <row r="5544" spans="1:7">
      <c r="A5544" s="3">
        <v>12</v>
      </c>
      <c r="B5544" s="3">
        <v>4</v>
      </c>
      <c r="C5544" s="3">
        <v>3</v>
      </c>
      <c r="D5544" s="3">
        <v>88</v>
      </c>
      <c r="E5544" s="3">
        <v>1</v>
      </c>
      <c r="F5544" s="4" t="str">
        <f>HYPERLINK("http://141.218.60.56/~jnz1568/getInfo.php?workbook=12_04.xlsx&amp;sheet=U0&amp;row=5544&amp;col=6&amp;number=3&amp;sourceID=14","3")</f>
        <v>3</v>
      </c>
      <c r="G5544" s="4" t="str">
        <f>HYPERLINK("http://141.218.60.56/~jnz1568/getInfo.php?workbook=12_04.xlsx&amp;sheet=U0&amp;row=5544&amp;col=7&amp;number=0.00151&amp;sourceID=14","0.00151")</f>
        <v>0.00151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HYPERLINK("http://141.218.60.56/~jnz1568/getInfo.php?workbook=12_04.xlsx&amp;sheet=U0&amp;row=5545&amp;col=6&amp;number=3.1&amp;sourceID=14","3.1")</f>
        <v>3.1</v>
      </c>
      <c r="G5545" s="4" t="str">
        <f>HYPERLINK("http://141.218.60.56/~jnz1568/getInfo.php?workbook=12_04.xlsx&amp;sheet=U0&amp;row=5545&amp;col=7&amp;number=0.00151&amp;sourceID=14","0.00151")</f>
        <v>0.00151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HYPERLINK("http://141.218.60.56/~jnz1568/getInfo.php?workbook=12_04.xlsx&amp;sheet=U0&amp;row=5546&amp;col=6&amp;number=3.2&amp;sourceID=14","3.2")</f>
        <v>3.2</v>
      </c>
      <c r="G5546" s="4" t="str">
        <f>HYPERLINK("http://141.218.60.56/~jnz1568/getInfo.php?workbook=12_04.xlsx&amp;sheet=U0&amp;row=5546&amp;col=7&amp;number=0.00151&amp;sourceID=14","0.00151")</f>
        <v>0.00151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HYPERLINK("http://141.218.60.56/~jnz1568/getInfo.php?workbook=12_04.xlsx&amp;sheet=U0&amp;row=5547&amp;col=6&amp;number=3.3&amp;sourceID=14","3.3")</f>
        <v>3.3</v>
      </c>
      <c r="G5547" s="4" t="str">
        <f>HYPERLINK("http://141.218.60.56/~jnz1568/getInfo.php?workbook=12_04.xlsx&amp;sheet=U0&amp;row=5547&amp;col=7&amp;number=0.00151&amp;sourceID=14","0.00151")</f>
        <v>0.00151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HYPERLINK("http://141.218.60.56/~jnz1568/getInfo.php?workbook=12_04.xlsx&amp;sheet=U0&amp;row=5548&amp;col=6&amp;number=3.4&amp;sourceID=14","3.4")</f>
        <v>3.4</v>
      </c>
      <c r="G5548" s="4" t="str">
        <f>HYPERLINK("http://141.218.60.56/~jnz1568/getInfo.php?workbook=12_04.xlsx&amp;sheet=U0&amp;row=5548&amp;col=7&amp;number=0.00151&amp;sourceID=14","0.00151")</f>
        <v>0.00151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HYPERLINK("http://141.218.60.56/~jnz1568/getInfo.php?workbook=12_04.xlsx&amp;sheet=U0&amp;row=5549&amp;col=6&amp;number=3.5&amp;sourceID=14","3.5")</f>
        <v>3.5</v>
      </c>
      <c r="G5549" s="4" t="str">
        <f>HYPERLINK("http://141.218.60.56/~jnz1568/getInfo.php?workbook=12_04.xlsx&amp;sheet=U0&amp;row=5549&amp;col=7&amp;number=0.00151&amp;sourceID=14","0.00151")</f>
        <v>0.00151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HYPERLINK("http://141.218.60.56/~jnz1568/getInfo.php?workbook=12_04.xlsx&amp;sheet=U0&amp;row=5550&amp;col=6&amp;number=3.6&amp;sourceID=14","3.6")</f>
        <v>3.6</v>
      </c>
      <c r="G5550" s="4" t="str">
        <f>HYPERLINK("http://141.218.60.56/~jnz1568/getInfo.php?workbook=12_04.xlsx&amp;sheet=U0&amp;row=5550&amp;col=7&amp;number=0.00151&amp;sourceID=14","0.00151")</f>
        <v>0.00151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HYPERLINK("http://141.218.60.56/~jnz1568/getInfo.php?workbook=12_04.xlsx&amp;sheet=U0&amp;row=5551&amp;col=6&amp;number=3.7&amp;sourceID=14","3.7")</f>
        <v>3.7</v>
      </c>
      <c r="G5551" s="4" t="str">
        <f>HYPERLINK("http://141.218.60.56/~jnz1568/getInfo.php?workbook=12_04.xlsx&amp;sheet=U0&amp;row=5551&amp;col=7&amp;number=0.00151&amp;sourceID=14","0.00151")</f>
        <v>0.00151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HYPERLINK("http://141.218.60.56/~jnz1568/getInfo.php?workbook=12_04.xlsx&amp;sheet=U0&amp;row=5552&amp;col=6&amp;number=3.8&amp;sourceID=14","3.8")</f>
        <v>3.8</v>
      </c>
      <c r="G5552" s="4" t="str">
        <f>HYPERLINK("http://141.218.60.56/~jnz1568/getInfo.php?workbook=12_04.xlsx&amp;sheet=U0&amp;row=5552&amp;col=7&amp;number=0.00151&amp;sourceID=14","0.00151")</f>
        <v>0.00151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HYPERLINK("http://141.218.60.56/~jnz1568/getInfo.php?workbook=12_04.xlsx&amp;sheet=U0&amp;row=5553&amp;col=6&amp;number=3.9&amp;sourceID=14","3.9")</f>
        <v>3.9</v>
      </c>
      <c r="G5553" s="4" t="str">
        <f>HYPERLINK("http://141.218.60.56/~jnz1568/getInfo.php?workbook=12_04.xlsx&amp;sheet=U0&amp;row=5553&amp;col=7&amp;number=0.00151&amp;sourceID=14","0.00151")</f>
        <v>0.00151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HYPERLINK("http://141.218.60.56/~jnz1568/getInfo.php?workbook=12_04.xlsx&amp;sheet=U0&amp;row=5554&amp;col=6&amp;number=4&amp;sourceID=14","4")</f>
        <v>4</v>
      </c>
      <c r="G5554" s="4" t="str">
        <f>HYPERLINK("http://141.218.60.56/~jnz1568/getInfo.php?workbook=12_04.xlsx&amp;sheet=U0&amp;row=5554&amp;col=7&amp;number=0.00151&amp;sourceID=14","0.00151")</f>
        <v>0.00151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HYPERLINK("http://141.218.60.56/~jnz1568/getInfo.php?workbook=12_04.xlsx&amp;sheet=U0&amp;row=5555&amp;col=6&amp;number=4.1&amp;sourceID=14","4.1")</f>
        <v>4.1</v>
      </c>
      <c r="G5555" s="4" t="str">
        <f>HYPERLINK("http://141.218.60.56/~jnz1568/getInfo.php?workbook=12_04.xlsx&amp;sheet=U0&amp;row=5555&amp;col=7&amp;number=0.0015&amp;sourceID=14","0.0015")</f>
        <v>0.0015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HYPERLINK("http://141.218.60.56/~jnz1568/getInfo.php?workbook=12_04.xlsx&amp;sheet=U0&amp;row=5556&amp;col=6&amp;number=4.2&amp;sourceID=14","4.2")</f>
        <v>4.2</v>
      </c>
      <c r="G5556" s="4" t="str">
        <f>HYPERLINK("http://141.218.60.56/~jnz1568/getInfo.php?workbook=12_04.xlsx&amp;sheet=U0&amp;row=5556&amp;col=7&amp;number=0.0015&amp;sourceID=14","0.0015")</f>
        <v>0.0015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HYPERLINK("http://141.218.60.56/~jnz1568/getInfo.php?workbook=12_04.xlsx&amp;sheet=U0&amp;row=5557&amp;col=6&amp;number=4.3&amp;sourceID=14","4.3")</f>
        <v>4.3</v>
      </c>
      <c r="G5557" s="4" t="str">
        <f>HYPERLINK("http://141.218.60.56/~jnz1568/getInfo.php?workbook=12_04.xlsx&amp;sheet=U0&amp;row=5557&amp;col=7&amp;number=0.0015&amp;sourceID=14","0.0015")</f>
        <v>0.0015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HYPERLINK("http://141.218.60.56/~jnz1568/getInfo.php?workbook=12_04.xlsx&amp;sheet=U0&amp;row=5558&amp;col=6&amp;number=4.4&amp;sourceID=14","4.4")</f>
        <v>4.4</v>
      </c>
      <c r="G5558" s="4" t="str">
        <f>HYPERLINK("http://141.218.60.56/~jnz1568/getInfo.php?workbook=12_04.xlsx&amp;sheet=U0&amp;row=5558&amp;col=7&amp;number=0.0015&amp;sourceID=14","0.0015")</f>
        <v>0.0015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HYPERLINK("http://141.218.60.56/~jnz1568/getInfo.php?workbook=12_04.xlsx&amp;sheet=U0&amp;row=5559&amp;col=6&amp;number=4.5&amp;sourceID=14","4.5")</f>
        <v>4.5</v>
      </c>
      <c r="G5559" s="4" t="str">
        <f>HYPERLINK("http://141.218.60.56/~jnz1568/getInfo.php?workbook=12_04.xlsx&amp;sheet=U0&amp;row=5559&amp;col=7&amp;number=0.00149&amp;sourceID=14","0.00149")</f>
        <v>0.00149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HYPERLINK("http://141.218.60.56/~jnz1568/getInfo.php?workbook=12_04.xlsx&amp;sheet=U0&amp;row=5560&amp;col=6&amp;number=4.6&amp;sourceID=14","4.6")</f>
        <v>4.6</v>
      </c>
      <c r="G5560" s="4" t="str">
        <f>HYPERLINK("http://141.218.60.56/~jnz1568/getInfo.php?workbook=12_04.xlsx&amp;sheet=U0&amp;row=5560&amp;col=7&amp;number=0.00149&amp;sourceID=14","0.00149")</f>
        <v>0.00149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HYPERLINK("http://141.218.60.56/~jnz1568/getInfo.php?workbook=12_04.xlsx&amp;sheet=U0&amp;row=5561&amp;col=6&amp;number=4.7&amp;sourceID=14","4.7")</f>
        <v>4.7</v>
      </c>
      <c r="G5561" s="4" t="str">
        <f>HYPERLINK("http://141.218.60.56/~jnz1568/getInfo.php?workbook=12_04.xlsx&amp;sheet=U0&amp;row=5561&amp;col=7&amp;number=0.00149&amp;sourceID=14","0.00149")</f>
        <v>0.00149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HYPERLINK("http://141.218.60.56/~jnz1568/getInfo.php?workbook=12_04.xlsx&amp;sheet=U0&amp;row=5562&amp;col=6&amp;number=4.8&amp;sourceID=14","4.8")</f>
        <v>4.8</v>
      </c>
      <c r="G5562" s="4" t="str">
        <f>HYPERLINK("http://141.218.60.56/~jnz1568/getInfo.php?workbook=12_04.xlsx&amp;sheet=U0&amp;row=5562&amp;col=7&amp;number=0.00148&amp;sourceID=14","0.00148")</f>
        <v>0.00148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HYPERLINK("http://141.218.60.56/~jnz1568/getInfo.php?workbook=12_04.xlsx&amp;sheet=U0&amp;row=5563&amp;col=6&amp;number=4.9&amp;sourceID=14","4.9")</f>
        <v>4.9</v>
      </c>
      <c r="G5563" s="4" t="str">
        <f>HYPERLINK("http://141.218.60.56/~jnz1568/getInfo.php?workbook=12_04.xlsx&amp;sheet=U0&amp;row=5563&amp;col=7&amp;number=0.00147&amp;sourceID=14","0.00147")</f>
        <v>0.00147</v>
      </c>
    </row>
    <row r="5564" spans="1:7">
      <c r="A5564" s="3">
        <v>12</v>
      </c>
      <c r="B5564" s="3">
        <v>4</v>
      </c>
      <c r="C5564" s="3">
        <v>3</v>
      </c>
      <c r="D5564" s="3">
        <v>89</v>
      </c>
      <c r="E5564" s="3">
        <v>1</v>
      </c>
      <c r="F5564" s="4" t="str">
        <f>HYPERLINK("http://141.218.60.56/~jnz1568/getInfo.php?workbook=12_04.xlsx&amp;sheet=U0&amp;row=5564&amp;col=6&amp;number=3&amp;sourceID=14","3")</f>
        <v>3</v>
      </c>
      <c r="G5564" s="4" t="str">
        <f>HYPERLINK("http://141.218.60.56/~jnz1568/getInfo.php?workbook=12_04.xlsx&amp;sheet=U0&amp;row=5564&amp;col=7&amp;number=0.00156&amp;sourceID=14","0.00156")</f>
        <v>0.00156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HYPERLINK("http://141.218.60.56/~jnz1568/getInfo.php?workbook=12_04.xlsx&amp;sheet=U0&amp;row=5565&amp;col=6&amp;number=3.1&amp;sourceID=14","3.1")</f>
        <v>3.1</v>
      </c>
      <c r="G5565" s="4" t="str">
        <f>HYPERLINK("http://141.218.60.56/~jnz1568/getInfo.php?workbook=12_04.xlsx&amp;sheet=U0&amp;row=5565&amp;col=7&amp;number=0.00156&amp;sourceID=14","0.00156")</f>
        <v>0.00156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HYPERLINK("http://141.218.60.56/~jnz1568/getInfo.php?workbook=12_04.xlsx&amp;sheet=U0&amp;row=5566&amp;col=6&amp;number=3.2&amp;sourceID=14","3.2")</f>
        <v>3.2</v>
      </c>
      <c r="G5566" s="4" t="str">
        <f>HYPERLINK("http://141.218.60.56/~jnz1568/getInfo.php?workbook=12_04.xlsx&amp;sheet=U0&amp;row=5566&amp;col=7&amp;number=0.00156&amp;sourceID=14","0.00156")</f>
        <v>0.00156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HYPERLINK("http://141.218.60.56/~jnz1568/getInfo.php?workbook=12_04.xlsx&amp;sheet=U0&amp;row=5567&amp;col=6&amp;number=3.3&amp;sourceID=14","3.3")</f>
        <v>3.3</v>
      </c>
      <c r="G5567" s="4" t="str">
        <f>HYPERLINK("http://141.218.60.56/~jnz1568/getInfo.php?workbook=12_04.xlsx&amp;sheet=U0&amp;row=5567&amp;col=7&amp;number=0.00156&amp;sourceID=14","0.00156")</f>
        <v>0.00156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HYPERLINK("http://141.218.60.56/~jnz1568/getInfo.php?workbook=12_04.xlsx&amp;sheet=U0&amp;row=5568&amp;col=6&amp;number=3.4&amp;sourceID=14","3.4")</f>
        <v>3.4</v>
      </c>
      <c r="G5568" s="4" t="str">
        <f>HYPERLINK("http://141.218.60.56/~jnz1568/getInfo.php?workbook=12_04.xlsx&amp;sheet=U0&amp;row=5568&amp;col=7&amp;number=0.00156&amp;sourceID=14","0.00156")</f>
        <v>0.00156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HYPERLINK("http://141.218.60.56/~jnz1568/getInfo.php?workbook=12_04.xlsx&amp;sheet=U0&amp;row=5569&amp;col=6&amp;number=3.5&amp;sourceID=14","3.5")</f>
        <v>3.5</v>
      </c>
      <c r="G5569" s="4" t="str">
        <f>HYPERLINK("http://141.218.60.56/~jnz1568/getInfo.php?workbook=12_04.xlsx&amp;sheet=U0&amp;row=5569&amp;col=7&amp;number=0.00156&amp;sourceID=14","0.00156")</f>
        <v>0.00156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HYPERLINK("http://141.218.60.56/~jnz1568/getInfo.php?workbook=12_04.xlsx&amp;sheet=U0&amp;row=5570&amp;col=6&amp;number=3.6&amp;sourceID=14","3.6")</f>
        <v>3.6</v>
      </c>
      <c r="G5570" s="4" t="str">
        <f>HYPERLINK("http://141.218.60.56/~jnz1568/getInfo.php?workbook=12_04.xlsx&amp;sheet=U0&amp;row=5570&amp;col=7&amp;number=0.00156&amp;sourceID=14","0.00156")</f>
        <v>0.00156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HYPERLINK("http://141.218.60.56/~jnz1568/getInfo.php?workbook=12_04.xlsx&amp;sheet=U0&amp;row=5571&amp;col=6&amp;number=3.7&amp;sourceID=14","3.7")</f>
        <v>3.7</v>
      </c>
      <c r="G5571" s="4" t="str">
        <f>HYPERLINK("http://141.218.60.56/~jnz1568/getInfo.php?workbook=12_04.xlsx&amp;sheet=U0&amp;row=5571&amp;col=7&amp;number=0.00155&amp;sourceID=14","0.00155")</f>
        <v>0.00155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HYPERLINK("http://141.218.60.56/~jnz1568/getInfo.php?workbook=12_04.xlsx&amp;sheet=U0&amp;row=5572&amp;col=6&amp;number=3.8&amp;sourceID=14","3.8")</f>
        <v>3.8</v>
      </c>
      <c r="G5572" s="4" t="str">
        <f>HYPERLINK("http://141.218.60.56/~jnz1568/getInfo.php?workbook=12_04.xlsx&amp;sheet=U0&amp;row=5572&amp;col=7&amp;number=0.00155&amp;sourceID=14","0.00155")</f>
        <v>0.00155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HYPERLINK("http://141.218.60.56/~jnz1568/getInfo.php?workbook=12_04.xlsx&amp;sheet=U0&amp;row=5573&amp;col=6&amp;number=3.9&amp;sourceID=14","3.9")</f>
        <v>3.9</v>
      </c>
      <c r="G5573" s="4" t="str">
        <f>HYPERLINK("http://141.218.60.56/~jnz1568/getInfo.php?workbook=12_04.xlsx&amp;sheet=U0&amp;row=5573&amp;col=7&amp;number=0.00155&amp;sourceID=14","0.00155")</f>
        <v>0.00155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HYPERLINK("http://141.218.60.56/~jnz1568/getInfo.php?workbook=12_04.xlsx&amp;sheet=U0&amp;row=5574&amp;col=6&amp;number=4&amp;sourceID=14","4")</f>
        <v>4</v>
      </c>
      <c r="G5574" s="4" t="str">
        <f>HYPERLINK("http://141.218.60.56/~jnz1568/getInfo.php?workbook=12_04.xlsx&amp;sheet=U0&amp;row=5574&amp;col=7&amp;number=0.00155&amp;sourceID=14","0.00155")</f>
        <v>0.00155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HYPERLINK("http://141.218.60.56/~jnz1568/getInfo.php?workbook=12_04.xlsx&amp;sheet=U0&amp;row=5575&amp;col=6&amp;number=4.1&amp;sourceID=14","4.1")</f>
        <v>4.1</v>
      </c>
      <c r="G5575" s="4" t="str">
        <f>HYPERLINK("http://141.218.60.56/~jnz1568/getInfo.php?workbook=12_04.xlsx&amp;sheet=U0&amp;row=5575&amp;col=7&amp;number=0.00154&amp;sourceID=14","0.00154")</f>
        <v>0.00154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HYPERLINK("http://141.218.60.56/~jnz1568/getInfo.php?workbook=12_04.xlsx&amp;sheet=U0&amp;row=5576&amp;col=6&amp;number=4.2&amp;sourceID=14","4.2")</f>
        <v>4.2</v>
      </c>
      <c r="G5576" s="4" t="str">
        <f>HYPERLINK("http://141.218.60.56/~jnz1568/getInfo.php?workbook=12_04.xlsx&amp;sheet=U0&amp;row=5576&amp;col=7&amp;number=0.00154&amp;sourceID=14","0.00154")</f>
        <v>0.00154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HYPERLINK("http://141.218.60.56/~jnz1568/getInfo.php?workbook=12_04.xlsx&amp;sheet=U0&amp;row=5577&amp;col=6&amp;number=4.3&amp;sourceID=14","4.3")</f>
        <v>4.3</v>
      </c>
      <c r="G5577" s="4" t="str">
        <f>HYPERLINK("http://141.218.60.56/~jnz1568/getInfo.php?workbook=12_04.xlsx&amp;sheet=U0&amp;row=5577&amp;col=7&amp;number=0.00153&amp;sourceID=14","0.00153")</f>
        <v>0.00153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HYPERLINK("http://141.218.60.56/~jnz1568/getInfo.php?workbook=12_04.xlsx&amp;sheet=U0&amp;row=5578&amp;col=6&amp;number=4.4&amp;sourceID=14","4.4")</f>
        <v>4.4</v>
      </c>
      <c r="G5578" s="4" t="str">
        <f>HYPERLINK("http://141.218.60.56/~jnz1568/getInfo.php?workbook=12_04.xlsx&amp;sheet=U0&amp;row=5578&amp;col=7&amp;number=0.00152&amp;sourceID=14","0.00152")</f>
        <v>0.00152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HYPERLINK("http://141.218.60.56/~jnz1568/getInfo.php?workbook=12_04.xlsx&amp;sheet=U0&amp;row=5579&amp;col=6&amp;number=4.5&amp;sourceID=14","4.5")</f>
        <v>4.5</v>
      </c>
      <c r="G5579" s="4" t="str">
        <f>HYPERLINK("http://141.218.60.56/~jnz1568/getInfo.php?workbook=12_04.xlsx&amp;sheet=U0&amp;row=5579&amp;col=7&amp;number=0.00151&amp;sourceID=14","0.00151")</f>
        <v>0.00151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HYPERLINK("http://141.218.60.56/~jnz1568/getInfo.php?workbook=12_04.xlsx&amp;sheet=U0&amp;row=5580&amp;col=6&amp;number=4.6&amp;sourceID=14","4.6")</f>
        <v>4.6</v>
      </c>
      <c r="G5580" s="4" t="str">
        <f>HYPERLINK("http://141.218.60.56/~jnz1568/getInfo.php?workbook=12_04.xlsx&amp;sheet=U0&amp;row=5580&amp;col=7&amp;number=0.0015&amp;sourceID=14","0.0015")</f>
        <v>0.0015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HYPERLINK("http://141.218.60.56/~jnz1568/getInfo.php?workbook=12_04.xlsx&amp;sheet=U0&amp;row=5581&amp;col=6&amp;number=4.7&amp;sourceID=14","4.7")</f>
        <v>4.7</v>
      </c>
      <c r="G5581" s="4" t="str">
        <f>HYPERLINK("http://141.218.60.56/~jnz1568/getInfo.php?workbook=12_04.xlsx&amp;sheet=U0&amp;row=5581&amp;col=7&amp;number=0.00148&amp;sourceID=14","0.00148")</f>
        <v>0.00148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HYPERLINK("http://141.218.60.56/~jnz1568/getInfo.php?workbook=12_04.xlsx&amp;sheet=U0&amp;row=5582&amp;col=6&amp;number=4.8&amp;sourceID=14","4.8")</f>
        <v>4.8</v>
      </c>
      <c r="G5582" s="4" t="str">
        <f>HYPERLINK("http://141.218.60.56/~jnz1568/getInfo.php?workbook=12_04.xlsx&amp;sheet=U0&amp;row=5582&amp;col=7&amp;number=0.00147&amp;sourceID=14","0.00147")</f>
        <v>0.00147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HYPERLINK("http://141.218.60.56/~jnz1568/getInfo.php?workbook=12_04.xlsx&amp;sheet=U0&amp;row=5583&amp;col=6&amp;number=4.9&amp;sourceID=14","4.9")</f>
        <v>4.9</v>
      </c>
      <c r="G5583" s="4" t="str">
        <f>HYPERLINK("http://141.218.60.56/~jnz1568/getInfo.php?workbook=12_04.xlsx&amp;sheet=U0&amp;row=5583&amp;col=7&amp;number=0.00145&amp;sourceID=14","0.00145")</f>
        <v>0.00145</v>
      </c>
    </row>
    <row r="5584" spans="1:7">
      <c r="A5584" s="3">
        <v>12</v>
      </c>
      <c r="B5584" s="3">
        <v>4</v>
      </c>
      <c r="C5584" s="3">
        <v>3</v>
      </c>
      <c r="D5584" s="3">
        <v>90</v>
      </c>
      <c r="E5584" s="3">
        <v>1</v>
      </c>
      <c r="F5584" s="4" t="str">
        <f>HYPERLINK("http://141.218.60.56/~jnz1568/getInfo.php?workbook=12_04.xlsx&amp;sheet=U0&amp;row=5584&amp;col=6&amp;number=3&amp;sourceID=14","3")</f>
        <v>3</v>
      </c>
      <c r="G5584" s="4" t="str">
        <f>HYPERLINK("http://141.218.60.56/~jnz1568/getInfo.php?workbook=12_04.xlsx&amp;sheet=U0&amp;row=5584&amp;col=7&amp;number=0.00101&amp;sourceID=14","0.00101")</f>
        <v>0.00101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HYPERLINK("http://141.218.60.56/~jnz1568/getInfo.php?workbook=12_04.xlsx&amp;sheet=U0&amp;row=5585&amp;col=6&amp;number=3.1&amp;sourceID=14","3.1")</f>
        <v>3.1</v>
      </c>
      <c r="G5585" s="4" t="str">
        <f>HYPERLINK("http://141.218.60.56/~jnz1568/getInfo.php?workbook=12_04.xlsx&amp;sheet=U0&amp;row=5585&amp;col=7&amp;number=0.00101&amp;sourceID=14","0.00101")</f>
        <v>0.00101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HYPERLINK("http://141.218.60.56/~jnz1568/getInfo.php?workbook=12_04.xlsx&amp;sheet=U0&amp;row=5586&amp;col=6&amp;number=3.2&amp;sourceID=14","3.2")</f>
        <v>3.2</v>
      </c>
      <c r="G5586" s="4" t="str">
        <f>HYPERLINK("http://141.218.60.56/~jnz1568/getInfo.php?workbook=12_04.xlsx&amp;sheet=U0&amp;row=5586&amp;col=7&amp;number=0.00101&amp;sourceID=14","0.00101")</f>
        <v>0.00101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HYPERLINK("http://141.218.60.56/~jnz1568/getInfo.php?workbook=12_04.xlsx&amp;sheet=U0&amp;row=5587&amp;col=6&amp;number=3.3&amp;sourceID=14","3.3")</f>
        <v>3.3</v>
      </c>
      <c r="G5587" s="4" t="str">
        <f>HYPERLINK("http://141.218.60.56/~jnz1568/getInfo.php?workbook=12_04.xlsx&amp;sheet=U0&amp;row=5587&amp;col=7&amp;number=0.00101&amp;sourceID=14","0.00101")</f>
        <v>0.00101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HYPERLINK("http://141.218.60.56/~jnz1568/getInfo.php?workbook=12_04.xlsx&amp;sheet=U0&amp;row=5588&amp;col=6&amp;number=3.4&amp;sourceID=14","3.4")</f>
        <v>3.4</v>
      </c>
      <c r="G5588" s="4" t="str">
        <f>HYPERLINK("http://141.218.60.56/~jnz1568/getInfo.php?workbook=12_04.xlsx&amp;sheet=U0&amp;row=5588&amp;col=7&amp;number=0.00101&amp;sourceID=14","0.00101")</f>
        <v>0.00101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HYPERLINK("http://141.218.60.56/~jnz1568/getInfo.php?workbook=12_04.xlsx&amp;sheet=U0&amp;row=5589&amp;col=6&amp;number=3.5&amp;sourceID=14","3.5")</f>
        <v>3.5</v>
      </c>
      <c r="G5589" s="4" t="str">
        <f>HYPERLINK("http://141.218.60.56/~jnz1568/getInfo.php?workbook=12_04.xlsx&amp;sheet=U0&amp;row=5589&amp;col=7&amp;number=0.00101&amp;sourceID=14","0.00101")</f>
        <v>0.00101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HYPERLINK("http://141.218.60.56/~jnz1568/getInfo.php?workbook=12_04.xlsx&amp;sheet=U0&amp;row=5590&amp;col=6&amp;number=3.6&amp;sourceID=14","3.6")</f>
        <v>3.6</v>
      </c>
      <c r="G5590" s="4" t="str">
        <f>HYPERLINK("http://141.218.60.56/~jnz1568/getInfo.php?workbook=12_04.xlsx&amp;sheet=U0&amp;row=5590&amp;col=7&amp;number=0.00101&amp;sourceID=14","0.00101")</f>
        <v>0.00101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HYPERLINK("http://141.218.60.56/~jnz1568/getInfo.php?workbook=12_04.xlsx&amp;sheet=U0&amp;row=5591&amp;col=6&amp;number=3.7&amp;sourceID=14","3.7")</f>
        <v>3.7</v>
      </c>
      <c r="G5591" s="4" t="str">
        <f>HYPERLINK("http://141.218.60.56/~jnz1568/getInfo.php?workbook=12_04.xlsx&amp;sheet=U0&amp;row=5591&amp;col=7&amp;number=0.00101&amp;sourceID=14","0.00101")</f>
        <v>0.00101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HYPERLINK("http://141.218.60.56/~jnz1568/getInfo.php?workbook=12_04.xlsx&amp;sheet=U0&amp;row=5592&amp;col=6&amp;number=3.8&amp;sourceID=14","3.8")</f>
        <v>3.8</v>
      </c>
      <c r="G5592" s="4" t="str">
        <f>HYPERLINK("http://141.218.60.56/~jnz1568/getInfo.php?workbook=12_04.xlsx&amp;sheet=U0&amp;row=5592&amp;col=7&amp;number=0.00101&amp;sourceID=14","0.00101")</f>
        <v>0.00101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HYPERLINK("http://141.218.60.56/~jnz1568/getInfo.php?workbook=12_04.xlsx&amp;sheet=U0&amp;row=5593&amp;col=6&amp;number=3.9&amp;sourceID=14","3.9")</f>
        <v>3.9</v>
      </c>
      <c r="G5593" s="4" t="str">
        <f>HYPERLINK("http://141.218.60.56/~jnz1568/getInfo.php?workbook=12_04.xlsx&amp;sheet=U0&amp;row=5593&amp;col=7&amp;number=0.00101&amp;sourceID=14","0.00101")</f>
        <v>0.00101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HYPERLINK("http://141.218.60.56/~jnz1568/getInfo.php?workbook=12_04.xlsx&amp;sheet=U0&amp;row=5594&amp;col=6&amp;number=4&amp;sourceID=14","4")</f>
        <v>4</v>
      </c>
      <c r="G5594" s="4" t="str">
        <f>HYPERLINK("http://141.218.60.56/~jnz1568/getInfo.php?workbook=12_04.xlsx&amp;sheet=U0&amp;row=5594&amp;col=7&amp;number=0.001&amp;sourceID=14","0.001")</f>
        <v>0.001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HYPERLINK("http://141.218.60.56/~jnz1568/getInfo.php?workbook=12_04.xlsx&amp;sheet=U0&amp;row=5595&amp;col=6&amp;number=4.1&amp;sourceID=14","4.1")</f>
        <v>4.1</v>
      </c>
      <c r="G5595" s="4" t="str">
        <f>HYPERLINK("http://141.218.60.56/~jnz1568/getInfo.php?workbook=12_04.xlsx&amp;sheet=U0&amp;row=5595&amp;col=7&amp;number=0.001&amp;sourceID=14","0.001")</f>
        <v>0.001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HYPERLINK("http://141.218.60.56/~jnz1568/getInfo.php?workbook=12_04.xlsx&amp;sheet=U0&amp;row=5596&amp;col=6&amp;number=4.2&amp;sourceID=14","4.2")</f>
        <v>4.2</v>
      </c>
      <c r="G5596" s="4" t="str">
        <f>HYPERLINK("http://141.218.60.56/~jnz1568/getInfo.php?workbook=12_04.xlsx&amp;sheet=U0&amp;row=5596&amp;col=7&amp;number=0.001&amp;sourceID=14","0.001")</f>
        <v>0.001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HYPERLINK("http://141.218.60.56/~jnz1568/getInfo.php?workbook=12_04.xlsx&amp;sheet=U0&amp;row=5597&amp;col=6&amp;number=4.3&amp;sourceID=14","4.3")</f>
        <v>4.3</v>
      </c>
      <c r="G5597" s="4" t="str">
        <f>HYPERLINK("http://141.218.60.56/~jnz1568/getInfo.php?workbook=12_04.xlsx&amp;sheet=U0&amp;row=5597&amp;col=7&amp;number=0.000997&amp;sourceID=14","0.000997")</f>
        <v>0.000997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HYPERLINK("http://141.218.60.56/~jnz1568/getInfo.php?workbook=12_04.xlsx&amp;sheet=U0&amp;row=5598&amp;col=6&amp;number=4.4&amp;sourceID=14","4.4")</f>
        <v>4.4</v>
      </c>
      <c r="G5598" s="4" t="str">
        <f>HYPERLINK("http://141.218.60.56/~jnz1568/getInfo.php?workbook=12_04.xlsx&amp;sheet=U0&amp;row=5598&amp;col=7&amp;number=0.000994&amp;sourceID=14","0.000994")</f>
        <v>0.000994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HYPERLINK("http://141.218.60.56/~jnz1568/getInfo.php?workbook=12_04.xlsx&amp;sheet=U0&amp;row=5599&amp;col=6&amp;number=4.5&amp;sourceID=14","4.5")</f>
        <v>4.5</v>
      </c>
      <c r="G5599" s="4" t="str">
        <f>HYPERLINK("http://141.218.60.56/~jnz1568/getInfo.php?workbook=12_04.xlsx&amp;sheet=U0&amp;row=5599&amp;col=7&amp;number=0.000989&amp;sourceID=14","0.000989")</f>
        <v>0.000989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HYPERLINK("http://141.218.60.56/~jnz1568/getInfo.php?workbook=12_04.xlsx&amp;sheet=U0&amp;row=5600&amp;col=6&amp;number=4.6&amp;sourceID=14","4.6")</f>
        <v>4.6</v>
      </c>
      <c r="G5600" s="4" t="str">
        <f>HYPERLINK("http://141.218.60.56/~jnz1568/getInfo.php?workbook=12_04.xlsx&amp;sheet=U0&amp;row=5600&amp;col=7&amp;number=0.000984&amp;sourceID=14","0.000984")</f>
        <v>0.000984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HYPERLINK("http://141.218.60.56/~jnz1568/getInfo.php?workbook=12_04.xlsx&amp;sheet=U0&amp;row=5601&amp;col=6&amp;number=4.7&amp;sourceID=14","4.7")</f>
        <v>4.7</v>
      </c>
      <c r="G5601" s="4" t="str">
        <f>HYPERLINK("http://141.218.60.56/~jnz1568/getInfo.php?workbook=12_04.xlsx&amp;sheet=U0&amp;row=5601&amp;col=7&amp;number=0.000977&amp;sourceID=14","0.000977")</f>
        <v>0.000977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HYPERLINK("http://141.218.60.56/~jnz1568/getInfo.php?workbook=12_04.xlsx&amp;sheet=U0&amp;row=5602&amp;col=6&amp;number=4.8&amp;sourceID=14","4.8")</f>
        <v>4.8</v>
      </c>
      <c r="G5602" s="4" t="str">
        <f>HYPERLINK("http://141.218.60.56/~jnz1568/getInfo.php?workbook=12_04.xlsx&amp;sheet=U0&amp;row=5602&amp;col=7&amp;number=0.000969&amp;sourceID=14","0.000969")</f>
        <v>0.000969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HYPERLINK("http://141.218.60.56/~jnz1568/getInfo.php?workbook=12_04.xlsx&amp;sheet=U0&amp;row=5603&amp;col=6&amp;number=4.9&amp;sourceID=14","4.9")</f>
        <v>4.9</v>
      </c>
      <c r="G5603" s="4" t="str">
        <f>HYPERLINK("http://141.218.60.56/~jnz1568/getInfo.php?workbook=12_04.xlsx&amp;sheet=U0&amp;row=5603&amp;col=7&amp;number=0.000959&amp;sourceID=14","0.000959")</f>
        <v>0.000959</v>
      </c>
    </row>
    <row r="5604" spans="1:7">
      <c r="A5604" s="3">
        <v>12</v>
      </c>
      <c r="B5604" s="3">
        <v>4</v>
      </c>
      <c r="C5604" s="3">
        <v>3</v>
      </c>
      <c r="D5604" s="3">
        <v>91</v>
      </c>
      <c r="E5604" s="3">
        <v>1</v>
      </c>
      <c r="F5604" s="4" t="str">
        <f>HYPERLINK("http://141.218.60.56/~jnz1568/getInfo.php?workbook=12_04.xlsx&amp;sheet=U0&amp;row=5604&amp;col=6&amp;number=3&amp;sourceID=14","3")</f>
        <v>3</v>
      </c>
      <c r="G5604" s="4" t="str">
        <f>HYPERLINK("http://141.218.60.56/~jnz1568/getInfo.php?workbook=12_04.xlsx&amp;sheet=U0&amp;row=5604&amp;col=7&amp;number=0.00155&amp;sourceID=14","0.00155")</f>
        <v>0.00155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HYPERLINK("http://141.218.60.56/~jnz1568/getInfo.php?workbook=12_04.xlsx&amp;sheet=U0&amp;row=5605&amp;col=6&amp;number=3.1&amp;sourceID=14","3.1")</f>
        <v>3.1</v>
      </c>
      <c r="G5605" s="4" t="str">
        <f>HYPERLINK("http://141.218.60.56/~jnz1568/getInfo.php?workbook=12_04.xlsx&amp;sheet=U0&amp;row=5605&amp;col=7&amp;number=0.00155&amp;sourceID=14","0.00155")</f>
        <v>0.00155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HYPERLINK("http://141.218.60.56/~jnz1568/getInfo.php?workbook=12_04.xlsx&amp;sheet=U0&amp;row=5606&amp;col=6&amp;number=3.2&amp;sourceID=14","3.2")</f>
        <v>3.2</v>
      </c>
      <c r="G5606" s="4" t="str">
        <f>HYPERLINK("http://141.218.60.56/~jnz1568/getInfo.php?workbook=12_04.xlsx&amp;sheet=U0&amp;row=5606&amp;col=7&amp;number=0.00155&amp;sourceID=14","0.00155")</f>
        <v>0.00155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HYPERLINK("http://141.218.60.56/~jnz1568/getInfo.php?workbook=12_04.xlsx&amp;sheet=U0&amp;row=5607&amp;col=6&amp;number=3.3&amp;sourceID=14","3.3")</f>
        <v>3.3</v>
      </c>
      <c r="G5607" s="4" t="str">
        <f>HYPERLINK("http://141.218.60.56/~jnz1568/getInfo.php?workbook=12_04.xlsx&amp;sheet=U0&amp;row=5607&amp;col=7&amp;number=0.00155&amp;sourceID=14","0.00155")</f>
        <v>0.00155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HYPERLINK("http://141.218.60.56/~jnz1568/getInfo.php?workbook=12_04.xlsx&amp;sheet=U0&amp;row=5608&amp;col=6&amp;number=3.4&amp;sourceID=14","3.4")</f>
        <v>3.4</v>
      </c>
      <c r="G5608" s="4" t="str">
        <f>HYPERLINK("http://141.218.60.56/~jnz1568/getInfo.php?workbook=12_04.xlsx&amp;sheet=U0&amp;row=5608&amp;col=7&amp;number=0.00155&amp;sourceID=14","0.00155")</f>
        <v>0.00155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HYPERLINK("http://141.218.60.56/~jnz1568/getInfo.php?workbook=12_04.xlsx&amp;sheet=U0&amp;row=5609&amp;col=6&amp;number=3.5&amp;sourceID=14","3.5")</f>
        <v>3.5</v>
      </c>
      <c r="G5609" s="4" t="str">
        <f>HYPERLINK("http://141.218.60.56/~jnz1568/getInfo.php?workbook=12_04.xlsx&amp;sheet=U0&amp;row=5609&amp;col=7&amp;number=0.00155&amp;sourceID=14","0.00155")</f>
        <v>0.00155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HYPERLINK("http://141.218.60.56/~jnz1568/getInfo.php?workbook=12_04.xlsx&amp;sheet=U0&amp;row=5610&amp;col=6&amp;number=3.6&amp;sourceID=14","3.6")</f>
        <v>3.6</v>
      </c>
      <c r="G5610" s="4" t="str">
        <f>HYPERLINK("http://141.218.60.56/~jnz1568/getInfo.php?workbook=12_04.xlsx&amp;sheet=U0&amp;row=5610&amp;col=7&amp;number=0.00155&amp;sourceID=14","0.00155")</f>
        <v>0.00155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HYPERLINK("http://141.218.60.56/~jnz1568/getInfo.php?workbook=12_04.xlsx&amp;sheet=U0&amp;row=5611&amp;col=6&amp;number=3.7&amp;sourceID=14","3.7")</f>
        <v>3.7</v>
      </c>
      <c r="G5611" s="4" t="str">
        <f>HYPERLINK("http://141.218.60.56/~jnz1568/getInfo.php?workbook=12_04.xlsx&amp;sheet=U0&amp;row=5611&amp;col=7&amp;number=0.00155&amp;sourceID=14","0.00155")</f>
        <v>0.00155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HYPERLINK("http://141.218.60.56/~jnz1568/getInfo.php?workbook=12_04.xlsx&amp;sheet=U0&amp;row=5612&amp;col=6&amp;number=3.8&amp;sourceID=14","3.8")</f>
        <v>3.8</v>
      </c>
      <c r="G5612" s="4" t="str">
        <f>HYPERLINK("http://141.218.60.56/~jnz1568/getInfo.php?workbook=12_04.xlsx&amp;sheet=U0&amp;row=5612&amp;col=7&amp;number=0.00155&amp;sourceID=14","0.00155")</f>
        <v>0.00155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HYPERLINK("http://141.218.60.56/~jnz1568/getInfo.php?workbook=12_04.xlsx&amp;sheet=U0&amp;row=5613&amp;col=6&amp;number=3.9&amp;sourceID=14","3.9")</f>
        <v>3.9</v>
      </c>
      <c r="G5613" s="4" t="str">
        <f>HYPERLINK("http://141.218.60.56/~jnz1568/getInfo.php?workbook=12_04.xlsx&amp;sheet=U0&amp;row=5613&amp;col=7&amp;number=0.00155&amp;sourceID=14","0.00155")</f>
        <v>0.00155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HYPERLINK("http://141.218.60.56/~jnz1568/getInfo.php?workbook=12_04.xlsx&amp;sheet=U0&amp;row=5614&amp;col=6&amp;number=4&amp;sourceID=14","4")</f>
        <v>4</v>
      </c>
      <c r="G5614" s="4" t="str">
        <f>HYPERLINK("http://141.218.60.56/~jnz1568/getInfo.php?workbook=12_04.xlsx&amp;sheet=U0&amp;row=5614&amp;col=7&amp;number=0.00155&amp;sourceID=14","0.00155")</f>
        <v>0.00155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HYPERLINK("http://141.218.60.56/~jnz1568/getInfo.php?workbook=12_04.xlsx&amp;sheet=U0&amp;row=5615&amp;col=6&amp;number=4.1&amp;sourceID=14","4.1")</f>
        <v>4.1</v>
      </c>
      <c r="G5615" s="4" t="str">
        <f>HYPERLINK("http://141.218.60.56/~jnz1568/getInfo.php?workbook=12_04.xlsx&amp;sheet=U0&amp;row=5615&amp;col=7&amp;number=0.00155&amp;sourceID=14","0.00155")</f>
        <v>0.00155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HYPERLINK("http://141.218.60.56/~jnz1568/getInfo.php?workbook=12_04.xlsx&amp;sheet=U0&amp;row=5616&amp;col=6&amp;number=4.2&amp;sourceID=14","4.2")</f>
        <v>4.2</v>
      </c>
      <c r="G5616" s="4" t="str">
        <f>HYPERLINK("http://141.218.60.56/~jnz1568/getInfo.php?workbook=12_04.xlsx&amp;sheet=U0&amp;row=5616&amp;col=7&amp;number=0.00155&amp;sourceID=14","0.00155")</f>
        <v>0.00155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HYPERLINK("http://141.218.60.56/~jnz1568/getInfo.php?workbook=12_04.xlsx&amp;sheet=U0&amp;row=5617&amp;col=6&amp;number=4.3&amp;sourceID=14","4.3")</f>
        <v>4.3</v>
      </c>
      <c r="G5617" s="4" t="str">
        <f>HYPERLINK("http://141.218.60.56/~jnz1568/getInfo.php?workbook=12_04.xlsx&amp;sheet=U0&amp;row=5617&amp;col=7&amp;number=0.00155&amp;sourceID=14","0.00155")</f>
        <v>0.00155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HYPERLINK("http://141.218.60.56/~jnz1568/getInfo.php?workbook=12_04.xlsx&amp;sheet=U0&amp;row=5618&amp;col=6&amp;number=4.4&amp;sourceID=14","4.4")</f>
        <v>4.4</v>
      </c>
      <c r="G5618" s="4" t="str">
        <f>HYPERLINK("http://141.218.60.56/~jnz1568/getInfo.php?workbook=12_04.xlsx&amp;sheet=U0&amp;row=5618&amp;col=7&amp;number=0.00155&amp;sourceID=14","0.00155")</f>
        <v>0.00155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HYPERLINK("http://141.218.60.56/~jnz1568/getInfo.php?workbook=12_04.xlsx&amp;sheet=U0&amp;row=5619&amp;col=6&amp;number=4.5&amp;sourceID=14","4.5")</f>
        <v>4.5</v>
      </c>
      <c r="G5619" s="4" t="str">
        <f>HYPERLINK("http://141.218.60.56/~jnz1568/getInfo.php?workbook=12_04.xlsx&amp;sheet=U0&amp;row=5619&amp;col=7&amp;number=0.00154&amp;sourceID=14","0.00154")</f>
        <v>0.00154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HYPERLINK("http://141.218.60.56/~jnz1568/getInfo.php?workbook=12_04.xlsx&amp;sheet=U0&amp;row=5620&amp;col=6&amp;number=4.6&amp;sourceID=14","4.6")</f>
        <v>4.6</v>
      </c>
      <c r="G5620" s="4" t="str">
        <f>HYPERLINK("http://141.218.60.56/~jnz1568/getInfo.php?workbook=12_04.xlsx&amp;sheet=U0&amp;row=5620&amp;col=7&amp;number=0.00154&amp;sourceID=14","0.00154")</f>
        <v>0.00154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HYPERLINK("http://141.218.60.56/~jnz1568/getInfo.php?workbook=12_04.xlsx&amp;sheet=U0&amp;row=5621&amp;col=6&amp;number=4.7&amp;sourceID=14","4.7")</f>
        <v>4.7</v>
      </c>
      <c r="G5621" s="4" t="str">
        <f>HYPERLINK("http://141.218.60.56/~jnz1568/getInfo.php?workbook=12_04.xlsx&amp;sheet=U0&amp;row=5621&amp;col=7&amp;number=0.00154&amp;sourceID=14","0.00154")</f>
        <v>0.00154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HYPERLINK("http://141.218.60.56/~jnz1568/getInfo.php?workbook=12_04.xlsx&amp;sheet=U0&amp;row=5622&amp;col=6&amp;number=4.8&amp;sourceID=14","4.8")</f>
        <v>4.8</v>
      </c>
      <c r="G5622" s="4" t="str">
        <f>HYPERLINK("http://141.218.60.56/~jnz1568/getInfo.php?workbook=12_04.xlsx&amp;sheet=U0&amp;row=5622&amp;col=7&amp;number=0.00153&amp;sourceID=14","0.00153")</f>
        <v>0.00153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HYPERLINK("http://141.218.60.56/~jnz1568/getInfo.php?workbook=12_04.xlsx&amp;sheet=U0&amp;row=5623&amp;col=6&amp;number=4.9&amp;sourceID=14","4.9")</f>
        <v>4.9</v>
      </c>
      <c r="G5623" s="4" t="str">
        <f>HYPERLINK("http://141.218.60.56/~jnz1568/getInfo.php?workbook=12_04.xlsx&amp;sheet=U0&amp;row=5623&amp;col=7&amp;number=0.00153&amp;sourceID=14","0.00153")</f>
        <v>0.00153</v>
      </c>
    </row>
    <row r="5624" spans="1:7">
      <c r="A5624" s="3">
        <v>12</v>
      </c>
      <c r="B5624" s="3">
        <v>4</v>
      </c>
      <c r="C5624" s="3">
        <v>3</v>
      </c>
      <c r="D5624" s="3">
        <v>92</v>
      </c>
      <c r="E5624" s="3">
        <v>1</v>
      </c>
      <c r="F5624" s="4" t="str">
        <f>HYPERLINK("http://141.218.60.56/~jnz1568/getInfo.php?workbook=12_04.xlsx&amp;sheet=U0&amp;row=5624&amp;col=6&amp;number=3&amp;sourceID=14","3")</f>
        <v>3</v>
      </c>
      <c r="G5624" s="4" t="str">
        <f>HYPERLINK("http://141.218.60.56/~jnz1568/getInfo.php?workbook=12_04.xlsx&amp;sheet=U0&amp;row=5624&amp;col=7&amp;number=0.00212&amp;sourceID=14","0.00212")</f>
        <v>0.00212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HYPERLINK("http://141.218.60.56/~jnz1568/getInfo.php?workbook=12_04.xlsx&amp;sheet=U0&amp;row=5625&amp;col=6&amp;number=3.1&amp;sourceID=14","3.1")</f>
        <v>3.1</v>
      </c>
      <c r="G5625" s="4" t="str">
        <f>HYPERLINK("http://141.218.60.56/~jnz1568/getInfo.php?workbook=12_04.xlsx&amp;sheet=U0&amp;row=5625&amp;col=7&amp;number=0.00212&amp;sourceID=14","0.00212")</f>
        <v>0.00212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HYPERLINK("http://141.218.60.56/~jnz1568/getInfo.php?workbook=12_04.xlsx&amp;sheet=U0&amp;row=5626&amp;col=6&amp;number=3.2&amp;sourceID=14","3.2")</f>
        <v>3.2</v>
      </c>
      <c r="G5626" s="4" t="str">
        <f>HYPERLINK("http://141.218.60.56/~jnz1568/getInfo.php?workbook=12_04.xlsx&amp;sheet=U0&amp;row=5626&amp;col=7&amp;number=0.00211&amp;sourceID=14","0.00211")</f>
        <v>0.00211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HYPERLINK("http://141.218.60.56/~jnz1568/getInfo.php?workbook=12_04.xlsx&amp;sheet=U0&amp;row=5627&amp;col=6&amp;number=3.3&amp;sourceID=14","3.3")</f>
        <v>3.3</v>
      </c>
      <c r="G5627" s="4" t="str">
        <f>HYPERLINK("http://141.218.60.56/~jnz1568/getInfo.php?workbook=12_04.xlsx&amp;sheet=U0&amp;row=5627&amp;col=7&amp;number=0.00211&amp;sourceID=14","0.00211")</f>
        <v>0.00211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HYPERLINK("http://141.218.60.56/~jnz1568/getInfo.php?workbook=12_04.xlsx&amp;sheet=U0&amp;row=5628&amp;col=6&amp;number=3.4&amp;sourceID=14","3.4")</f>
        <v>3.4</v>
      </c>
      <c r="G5628" s="4" t="str">
        <f>HYPERLINK("http://141.218.60.56/~jnz1568/getInfo.php?workbook=12_04.xlsx&amp;sheet=U0&amp;row=5628&amp;col=7&amp;number=0.0021&amp;sourceID=14","0.0021")</f>
        <v>0.0021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HYPERLINK("http://141.218.60.56/~jnz1568/getInfo.php?workbook=12_04.xlsx&amp;sheet=U0&amp;row=5629&amp;col=6&amp;number=3.5&amp;sourceID=14","3.5")</f>
        <v>3.5</v>
      </c>
      <c r="G5629" s="4" t="str">
        <f>HYPERLINK("http://141.218.60.56/~jnz1568/getInfo.php?workbook=12_04.xlsx&amp;sheet=U0&amp;row=5629&amp;col=7&amp;number=0.00209&amp;sourceID=14","0.00209")</f>
        <v>0.00209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HYPERLINK("http://141.218.60.56/~jnz1568/getInfo.php?workbook=12_04.xlsx&amp;sheet=U0&amp;row=5630&amp;col=6&amp;number=3.6&amp;sourceID=14","3.6")</f>
        <v>3.6</v>
      </c>
      <c r="G5630" s="4" t="str">
        <f>HYPERLINK("http://141.218.60.56/~jnz1568/getInfo.php?workbook=12_04.xlsx&amp;sheet=U0&amp;row=5630&amp;col=7&amp;number=0.00208&amp;sourceID=14","0.00208")</f>
        <v>0.00208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HYPERLINK("http://141.218.60.56/~jnz1568/getInfo.php?workbook=12_04.xlsx&amp;sheet=U0&amp;row=5631&amp;col=6&amp;number=3.7&amp;sourceID=14","3.7")</f>
        <v>3.7</v>
      </c>
      <c r="G5631" s="4" t="str">
        <f>HYPERLINK("http://141.218.60.56/~jnz1568/getInfo.php?workbook=12_04.xlsx&amp;sheet=U0&amp;row=5631&amp;col=7&amp;number=0.00207&amp;sourceID=14","0.00207")</f>
        <v>0.00207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HYPERLINK("http://141.218.60.56/~jnz1568/getInfo.php?workbook=12_04.xlsx&amp;sheet=U0&amp;row=5632&amp;col=6&amp;number=3.8&amp;sourceID=14","3.8")</f>
        <v>3.8</v>
      </c>
      <c r="G5632" s="4" t="str">
        <f>HYPERLINK("http://141.218.60.56/~jnz1568/getInfo.php?workbook=12_04.xlsx&amp;sheet=U0&amp;row=5632&amp;col=7&amp;number=0.00205&amp;sourceID=14","0.00205")</f>
        <v>0.00205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HYPERLINK("http://141.218.60.56/~jnz1568/getInfo.php?workbook=12_04.xlsx&amp;sheet=U0&amp;row=5633&amp;col=6&amp;number=3.9&amp;sourceID=14","3.9")</f>
        <v>3.9</v>
      </c>
      <c r="G5633" s="4" t="str">
        <f>HYPERLINK("http://141.218.60.56/~jnz1568/getInfo.php?workbook=12_04.xlsx&amp;sheet=U0&amp;row=5633&amp;col=7&amp;number=0.00203&amp;sourceID=14","0.00203")</f>
        <v>0.00203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HYPERLINK("http://141.218.60.56/~jnz1568/getInfo.php?workbook=12_04.xlsx&amp;sheet=U0&amp;row=5634&amp;col=6&amp;number=4&amp;sourceID=14","4")</f>
        <v>4</v>
      </c>
      <c r="G5634" s="4" t="str">
        <f>HYPERLINK("http://141.218.60.56/~jnz1568/getInfo.php?workbook=12_04.xlsx&amp;sheet=U0&amp;row=5634&amp;col=7&amp;number=0.002&amp;sourceID=14","0.002")</f>
        <v>0.002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HYPERLINK("http://141.218.60.56/~jnz1568/getInfo.php?workbook=12_04.xlsx&amp;sheet=U0&amp;row=5635&amp;col=6&amp;number=4.1&amp;sourceID=14","4.1")</f>
        <v>4.1</v>
      </c>
      <c r="G5635" s="4" t="str">
        <f>HYPERLINK("http://141.218.60.56/~jnz1568/getInfo.php?workbook=12_04.xlsx&amp;sheet=U0&amp;row=5635&amp;col=7&amp;number=0.00197&amp;sourceID=14","0.00197")</f>
        <v>0.00197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HYPERLINK("http://141.218.60.56/~jnz1568/getInfo.php?workbook=12_04.xlsx&amp;sheet=U0&amp;row=5636&amp;col=6&amp;number=4.2&amp;sourceID=14","4.2")</f>
        <v>4.2</v>
      </c>
      <c r="G5636" s="4" t="str">
        <f>HYPERLINK("http://141.218.60.56/~jnz1568/getInfo.php?workbook=12_04.xlsx&amp;sheet=U0&amp;row=5636&amp;col=7&amp;number=0.00193&amp;sourceID=14","0.00193")</f>
        <v>0.00193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HYPERLINK("http://141.218.60.56/~jnz1568/getInfo.php?workbook=12_04.xlsx&amp;sheet=U0&amp;row=5637&amp;col=6&amp;number=4.3&amp;sourceID=14","4.3")</f>
        <v>4.3</v>
      </c>
      <c r="G5637" s="4" t="str">
        <f>HYPERLINK("http://141.218.60.56/~jnz1568/getInfo.php?workbook=12_04.xlsx&amp;sheet=U0&amp;row=5637&amp;col=7&amp;number=0.00187&amp;sourceID=14","0.00187")</f>
        <v>0.00187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HYPERLINK("http://141.218.60.56/~jnz1568/getInfo.php?workbook=12_04.xlsx&amp;sheet=U0&amp;row=5638&amp;col=6&amp;number=4.4&amp;sourceID=14","4.4")</f>
        <v>4.4</v>
      </c>
      <c r="G5638" s="4" t="str">
        <f>HYPERLINK("http://141.218.60.56/~jnz1568/getInfo.php?workbook=12_04.xlsx&amp;sheet=U0&amp;row=5638&amp;col=7&amp;number=0.00181&amp;sourceID=14","0.00181")</f>
        <v>0.00181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HYPERLINK("http://141.218.60.56/~jnz1568/getInfo.php?workbook=12_04.xlsx&amp;sheet=U0&amp;row=5639&amp;col=6&amp;number=4.5&amp;sourceID=14","4.5")</f>
        <v>4.5</v>
      </c>
      <c r="G5639" s="4" t="str">
        <f>HYPERLINK("http://141.218.60.56/~jnz1568/getInfo.php?workbook=12_04.xlsx&amp;sheet=U0&amp;row=5639&amp;col=7&amp;number=0.00174&amp;sourceID=14","0.00174")</f>
        <v>0.00174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HYPERLINK("http://141.218.60.56/~jnz1568/getInfo.php?workbook=12_04.xlsx&amp;sheet=U0&amp;row=5640&amp;col=6&amp;number=4.6&amp;sourceID=14","4.6")</f>
        <v>4.6</v>
      </c>
      <c r="G5640" s="4" t="str">
        <f>HYPERLINK("http://141.218.60.56/~jnz1568/getInfo.php?workbook=12_04.xlsx&amp;sheet=U0&amp;row=5640&amp;col=7&amp;number=0.00165&amp;sourceID=14","0.00165")</f>
        <v>0.00165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HYPERLINK("http://141.218.60.56/~jnz1568/getInfo.php?workbook=12_04.xlsx&amp;sheet=U0&amp;row=5641&amp;col=6&amp;number=4.7&amp;sourceID=14","4.7")</f>
        <v>4.7</v>
      </c>
      <c r="G5641" s="4" t="str">
        <f>HYPERLINK("http://141.218.60.56/~jnz1568/getInfo.php?workbook=12_04.xlsx&amp;sheet=U0&amp;row=5641&amp;col=7&amp;number=0.00154&amp;sourceID=14","0.00154")</f>
        <v>0.00154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HYPERLINK("http://141.218.60.56/~jnz1568/getInfo.php?workbook=12_04.xlsx&amp;sheet=U0&amp;row=5642&amp;col=6&amp;number=4.8&amp;sourceID=14","4.8")</f>
        <v>4.8</v>
      </c>
      <c r="G5642" s="4" t="str">
        <f>HYPERLINK("http://141.218.60.56/~jnz1568/getInfo.php?workbook=12_04.xlsx&amp;sheet=U0&amp;row=5642&amp;col=7&amp;number=0.00143&amp;sourceID=14","0.00143")</f>
        <v>0.00143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HYPERLINK("http://141.218.60.56/~jnz1568/getInfo.php?workbook=12_04.xlsx&amp;sheet=U0&amp;row=5643&amp;col=6&amp;number=4.9&amp;sourceID=14","4.9")</f>
        <v>4.9</v>
      </c>
      <c r="G5643" s="4" t="str">
        <f>HYPERLINK("http://141.218.60.56/~jnz1568/getInfo.php?workbook=12_04.xlsx&amp;sheet=U0&amp;row=5643&amp;col=7&amp;number=0.00131&amp;sourceID=14","0.00131")</f>
        <v>0.00131</v>
      </c>
    </row>
    <row r="5644" spans="1:7">
      <c r="A5644" s="3">
        <v>12</v>
      </c>
      <c r="B5644" s="3">
        <v>4</v>
      </c>
      <c r="C5644" s="3">
        <v>3</v>
      </c>
      <c r="D5644" s="3">
        <v>93</v>
      </c>
      <c r="E5644" s="3">
        <v>1</v>
      </c>
      <c r="F5644" s="4" t="str">
        <f>HYPERLINK("http://141.218.60.56/~jnz1568/getInfo.php?workbook=12_04.xlsx&amp;sheet=U0&amp;row=5644&amp;col=6&amp;number=3&amp;sourceID=14","3")</f>
        <v>3</v>
      </c>
      <c r="G5644" s="4" t="str">
        <f>HYPERLINK("http://141.218.60.56/~jnz1568/getInfo.php?workbook=12_04.xlsx&amp;sheet=U0&amp;row=5644&amp;col=7&amp;number=0.000998&amp;sourceID=14","0.000998")</f>
        <v>0.000998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HYPERLINK("http://141.218.60.56/~jnz1568/getInfo.php?workbook=12_04.xlsx&amp;sheet=U0&amp;row=5645&amp;col=6&amp;number=3.1&amp;sourceID=14","3.1")</f>
        <v>3.1</v>
      </c>
      <c r="G5645" s="4" t="str">
        <f>HYPERLINK("http://141.218.60.56/~jnz1568/getInfo.php?workbook=12_04.xlsx&amp;sheet=U0&amp;row=5645&amp;col=7&amp;number=0.000998&amp;sourceID=14","0.000998")</f>
        <v>0.000998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HYPERLINK("http://141.218.60.56/~jnz1568/getInfo.php?workbook=12_04.xlsx&amp;sheet=U0&amp;row=5646&amp;col=6&amp;number=3.2&amp;sourceID=14","3.2")</f>
        <v>3.2</v>
      </c>
      <c r="G5646" s="4" t="str">
        <f>HYPERLINK("http://141.218.60.56/~jnz1568/getInfo.php?workbook=12_04.xlsx&amp;sheet=U0&amp;row=5646&amp;col=7&amp;number=0.000998&amp;sourceID=14","0.000998")</f>
        <v>0.000998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HYPERLINK("http://141.218.60.56/~jnz1568/getInfo.php?workbook=12_04.xlsx&amp;sheet=U0&amp;row=5647&amp;col=6&amp;number=3.3&amp;sourceID=14","3.3")</f>
        <v>3.3</v>
      </c>
      <c r="G5647" s="4" t="str">
        <f>HYPERLINK("http://141.218.60.56/~jnz1568/getInfo.php?workbook=12_04.xlsx&amp;sheet=U0&amp;row=5647&amp;col=7&amp;number=0.000997&amp;sourceID=14","0.000997")</f>
        <v>0.000997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HYPERLINK("http://141.218.60.56/~jnz1568/getInfo.php?workbook=12_04.xlsx&amp;sheet=U0&amp;row=5648&amp;col=6&amp;number=3.4&amp;sourceID=14","3.4")</f>
        <v>3.4</v>
      </c>
      <c r="G5648" s="4" t="str">
        <f>HYPERLINK("http://141.218.60.56/~jnz1568/getInfo.php?workbook=12_04.xlsx&amp;sheet=U0&amp;row=5648&amp;col=7&amp;number=0.000996&amp;sourceID=14","0.000996")</f>
        <v>0.000996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HYPERLINK("http://141.218.60.56/~jnz1568/getInfo.php?workbook=12_04.xlsx&amp;sheet=U0&amp;row=5649&amp;col=6&amp;number=3.5&amp;sourceID=14","3.5")</f>
        <v>3.5</v>
      </c>
      <c r="G5649" s="4" t="str">
        <f>HYPERLINK("http://141.218.60.56/~jnz1568/getInfo.php?workbook=12_04.xlsx&amp;sheet=U0&amp;row=5649&amp;col=7&amp;number=0.000996&amp;sourceID=14","0.000996")</f>
        <v>0.000996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HYPERLINK("http://141.218.60.56/~jnz1568/getInfo.php?workbook=12_04.xlsx&amp;sheet=U0&amp;row=5650&amp;col=6&amp;number=3.6&amp;sourceID=14","3.6")</f>
        <v>3.6</v>
      </c>
      <c r="G5650" s="4" t="str">
        <f>HYPERLINK("http://141.218.60.56/~jnz1568/getInfo.php?workbook=12_04.xlsx&amp;sheet=U0&amp;row=5650&amp;col=7&amp;number=0.000995&amp;sourceID=14","0.000995")</f>
        <v>0.000995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HYPERLINK("http://141.218.60.56/~jnz1568/getInfo.php?workbook=12_04.xlsx&amp;sheet=U0&amp;row=5651&amp;col=6&amp;number=3.7&amp;sourceID=14","3.7")</f>
        <v>3.7</v>
      </c>
      <c r="G5651" s="4" t="str">
        <f>HYPERLINK("http://141.218.60.56/~jnz1568/getInfo.php?workbook=12_04.xlsx&amp;sheet=U0&amp;row=5651&amp;col=7&amp;number=0.000993&amp;sourceID=14","0.000993")</f>
        <v>0.000993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HYPERLINK("http://141.218.60.56/~jnz1568/getInfo.php?workbook=12_04.xlsx&amp;sheet=U0&amp;row=5652&amp;col=6&amp;number=3.8&amp;sourceID=14","3.8")</f>
        <v>3.8</v>
      </c>
      <c r="G5652" s="4" t="str">
        <f>HYPERLINK("http://141.218.60.56/~jnz1568/getInfo.php?workbook=12_04.xlsx&amp;sheet=U0&amp;row=5652&amp;col=7&amp;number=0.000992&amp;sourceID=14","0.000992")</f>
        <v>0.000992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HYPERLINK("http://141.218.60.56/~jnz1568/getInfo.php?workbook=12_04.xlsx&amp;sheet=U0&amp;row=5653&amp;col=6&amp;number=3.9&amp;sourceID=14","3.9")</f>
        <v>3.9</v>
      </c>
      <c r="G5653" s="4" t="str">
        <f>HYPERLINK("http://141.218.60.56/~jnz1568/getInfo.php?workbook=12_04.xlsx&amp;sheet=U0&amp;row=5653&amp;col=7&amp;number=0.000989&amp;sourceID=14","0.000989")</f>
        <v>0.000989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HYPERLINK("http://141.218.60.56/~jnz1568/getInfo.php?workbook=12_04.xlsx&amp;sheet=U0&amp;row=5654&amp;col=6&amp;number=4&amp;sourceID=14","4")</f>
        <v>4</v>
      </c>
      <c r="G5654" s="4" t="str">
        <f>HYPERLINK("http://141.218.60.56/~jnz1568/getInfo.php?workbook=12_04.xlsx&amp;sheet=U0&amp;row=5654&amp;col=7&amp;number=0.000987&amp;sourceID=14","0.000987")</f>
        <v>0.000987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HYPERLINK("http://141.218.60.56/~jnz1568/getInfo.php?workbook=12_04.xlsx&amp;sheet=U0&amp;row=5655&amp;col=6&amp;number=4.1&amp;sourceID=14","4.1")</f>
        <v>4.1</v>
      </c>
      <c r="G5655" s="4" t="str">
        <f>HYPERLINK("http://141.218.60.56/~jnz1568/getInfo.php?workbook=12_04.xlsx&amp;sheet=U0&amp;row=5655&amp;col=7&amp;number=0.000983&amp;sourceID=14","0.000983")</f>
        <v>0.000983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HYPERLINK("http://141.218.60.56/~jnz1568/getInfo.php?workbook=12_04.xlsx&amp;sheet=U0&amp;row=5656&amp;col=6&amp;number=4.2&amp;sourceID=14","4.2")</f>
        <v>4.2</v>
      </c>
      <c r="G5656" s="4" t="str">
        <f>HYPERLINK("http://141.218.60.56/~jnz1568/getInfo.php?workbook=12_04.xlsx&amp;sheet=U0&amp;row=5656&amp;col=7&amp;number=0.000979&amp;sourceID=14","0.000979")</f>
        <v>0.000979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HYPERLINK("http://141.218.60.56/~jnz1568/getInfo.php?workbook=12_04.xlsx&amp;sheet=U0&amp;row=5657&amp;col=6&amp;number=4.3&amp;sourceID=14","4.3")</f>
        <v>4.3</v>
      </c>
      <c r="G5657" s="4" t="str">
        <f>HYPERLINK("http://141.218.60.56/~jnz1568/getInfo.php?workbook=12_04.xlsx&amp;sheet=U0&amp;row=5657&amp;col=7&amp;number=0.000974&amp;sourceID=14","0.000974")</f>
        <v>0.000974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HYPERLINK("http://141.218.60.56/~jnz1568/getInfo.php?workbook=12_04.xlsx&amp;sheet=U0&amp;row=5658&amp;col=6&amp;number=4.4&amp;sourceID=14","4.4")</f>
        <v>4.4</v>
      </c>
      <c r="G5658" s="4" t="str">
        <f>HYPERLINK("http://141.218.60.56/~jnz1568/getInfo.php?workbook=12_04.xlsx&amp;sheet=U0&amp;row=5658&amp;col=7&amp;number=0.000967&amp;sourceID=14","0.000967")</f>
        <v>0.000967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HYPERLINK("http://141.218.60.56/~jnz1568/getInfo.php?workbook=12_04.xlsx&amp;sheet=U0&amp;row=5659&amp;col=6&amp;number=4.5&amp;sourceID=14","4.5")</f>
        <v>4.5</v>
      </c>
      <c r="G5659" s="4" t="str">
        <f>HYPERLINK("http://141.218.60.56/~jnz1568/getInfo.php?workbook=12_04.xlsx&amp;sheet=U0&amp;row=5659&amp;col=7&amp;number=0.000959&amp;sourceID=14","0.000959")</f>
        <v>0.000959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HYPERLINK("http://141.218.60.56/~jnz1568/getInfo.php?workbook=12_04.xlsx&amp;sheet=U0&amp;row=5660&amp;col=6&amp;number=4.6&amp;sourceID=14","4.6")</f>
        <v>4.6</v>
      </c>
      <c r="G5660" s="4" t="str">
        <f>HYPERLINK("http://141.218.60.56/~jnz1568/getInfo.php?workbook=12_04.xlsx&amp;sheet=U0&amp;row=5660&amp;col=7&amp;number=0.000949&amp;sourceID=14","0.000949")</f>
        <v>0.000949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HYPERLINK("http://141.218.60.56/~jnz1568/getInfo.php?workbook=12_04.xlsx&amp;sheet=U0&amp;row=5661&amp;col=6&amp;number=4.7&amp;sourceID=14","4.7")</f>
        <v>4.7</v>
      </c>
      <c r="G5661" s="4" t="str">
        <f>HYPERLINK("http://141.218.60.56/~jnz1568/getInfo.php?workbook=12_04.xlsx&amp;sheet=U0&amp;row=5661&amp;col=7&amp;number=0.000936&amp;sourceID=14","0.000936")</f>
        <v>0.000936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HYPERLINK("http://141.218.60.56/~jnz1568/getInfo.php?workbook=12_04.xlsx&amp;sheet=U0&amp;row=5662&amp;col=6&amp;number=4.8&amp;sourceID=14","4.8")</f>
        <v>4.8</v>
      </c>
      <c r="G5662" s="4" t="str">
        <f>HYPERLINK("http://141.218.60.56/~jnz1568/getInfo.php?workbook=12_04.xlsx&amp;sheet=U0&amp;row=5662&amp;col=7&amp;number=0.00092&amp;sourceID=14","0.00092")</f>
        <v>0.00092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HYPERLINK("http://141.218.60.56/~jnz1568/getInfo.php?workbook=12_04.xlsx&amp;sheet=U0&amp;row=5663&amp;col=6&amp;number=4.9&amp;sourceID=14","4.9")</f>
        <v>4.9</v>
      </c>
      <c r="G5663" s="4" t="str">
        <f>HYPERLINK("http://141.218.60.56/~jnz1568/getInfo.php?workbook=12_04.xlsx&amp;sheet=U0&amp;row=5663&amp;col=7&amp;number=0.0009&amp;sourceID=14","0.0009")</f>
        <v>0.0009</v>
      </c>
    </row>
    <row r="5664" spans="1:7">
      <c r="A5664" s="3">
        <v>12</v>
      </c>
      <c r="B5664" s="3">
        <v>4</v>
      </c>
      <c r="C5664" s="3">
        <v>3</v>
      </c>
      <c r="D5664" s="3">
        <v>94</v>
      </c>
      <c r="E5664" s="3">
        <v>1</v>
      </c>
      <c r="F5664" s="4" t="str">
        <f>HYPERLINK("http://141.218.60.56/~jnz1568/getInfo.php?workbook=12_04.xlsx&amp;sheet=U0&amp;row=5664&amp;col=6&amp;number=3&amp;sourceID=14","3")</f>
        <v>3</v>
      </c>
      <c r="G5664" s="4" t="str">
        <f>HYPERLINK("http://141.218.60.56/~jnz1568/getInfo.php?workbook=12_04.xlsx&amp;sheet=U0&amp;row=5664&amp;col=7&amp;number=0.000267&amp;sourceID=14","0.000267")</f>
        <v>0.000267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HYPERLINK("http://141.218.60.56/~jnz1568/getInfo.php?workbook=12_04.xlsx&amp;sheet=U0&amp;row=5665&amp;col=6&amp;number=3.1&amp;sourceID=14","3.1")</f>
        <v>3.1</v>
      </c>
      <c r="G5665" s="4" t="str">
        <f>HYPERLINK("http://141.218.60.56/~jnz1568/getInfo.php?workbook=12_04.xlsx&amp;sheet=U0&amp;row=5665&amp;col=7&amp;number=0.000267&amp;sourceID=14","0.000267")</f>
        <v>0.000267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HYPERLINK("http://141.218.60.56/~jnz1568/getInfo.php?workbook=12_04.xlsx&amp;sheet=U0&amp;row=5666&amp;col=6&amp;number=3.2&amp;sourceID=14","3.2")</f>
        <v>3.2</v>
      </c>
      <c r="G5666" s="4" t="str">
        <f>HYPERLINK("http://141.218.60.56/~jnz1568/getInfo.php?workbook=12_04.xlsx&amp;sheet=U0&amp;row=5666&amp;col=7&amp;number=0.000267&amp;sourceID=14","0.000267")</f>
        <v>0.000267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HYPERLINK("http://141.218.60.56/~jnz1568/getInfo.php?workbook=12_04.xlsx&amp;sheet=U0&amp;row=5667&amp;col=6&amp;number=3.3&amp;sourceID=14","3.3")</f>
        <v>3.3</v>
      </c>
      <c r="G5667" s="4" t="str">
        <f>HYPERLINK("http://141.218.60.56/~jnz1568/getInfo.php?workbook=12_04.xlsx&amp;sheet=U0&amp;row=5667&amp;col=7&amp;number=0.000267&amp;sourceID=14","0.000267")</f>
        <v>0.000267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HYPERLINK("http://141.218.60.56/~jnz1568/getInfo.php?workbook=12_04.xlsx&amp;sheet=U0&amp;row=5668&amp;col=6&amp;number=3.4&amp;sourceID=14","3.4")</f>
        <v>3.4</v>
      </c>
      <c r="G5668" s="4" t="str">
        <f>HYPERLINK("http://141.218.60.56/~jnz1568/getInfo.php?workbook=12_04.xlsx&amp;sheet=U0&amp;row=5668&amp;col=7&amp;number=0.000267&amp;sourceID=14","0.000267")</f>
        <v>0.000267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HYPERLINK("http://141.218.60.56/~jnz1568/getInfo.php?workbook=12_04.xlsx&amp;sheet=U0&amp;row=5669&amp;col=6&amp;number=3.5&amp;sourceID=14","3.5")</f>
        <v>3.5</v>
      </c>
      <c r="G5669" s="4" t="str">
        <f>HYPERLINK("http://141.218.60.56/~jnz1568/getInfo.php?workbook=12_04.xlsx&amp;sheet=U0&amp;row=5669&amp;col=7&amp;number=0.000267&amp;sourceID=14","0.000267")</f>
        <v>0.000267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HYPERLINK("http://141.218.60.56/~jnz1568/getInfo.php?workbook=12_04.xlsx&amp;sheet=U0&amp;row=5670&amp;col=6&amp;number=3.6&amp;sourceID=14","3.6")</f>
        <v>3.6</v>
      </c>
      <c r="G5670" s="4" t="str">
        <f>HYPERLINK("http://141.218.60.56/~jnz1568/getInfo.php?workbook=12_04.xlsx&amp;sheet=U0&amp;row=5670&amp;col=7&amp;number=0.000266&amp;sourceID=14","0.000266")</f>
        <v>0.000266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HYPERLINK("http://141.218.60.56/~jnz1568/getInfo.php?workbook=12_04.xlsx&amp;sheet=U0&amp;row=5671&amp;col=6&amp;number=3.7&amp;sourceID=14","3.7")</f>
        <v>3.7</v>
      </c>
      <c r="G5671" s="4" t="str">
        <f>HYPERLINK("http://141.218.60.56/~jnz1568/getInfo.php?workbook=12_04.xlsx&amp;sheet=U0&amp;row=5671&amp;col=7&amp;number=0.000266&amp;sourceID=14","0.000266")</f>
        <v>0.000266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HYPERLINK("http://141.218.60.56/~jnz1568/getInfo.php?workbook=12_04.xlsx&amp;sheet=U0&amp;row=5672&amp;col=6&amp;number=3.8&amp;sourceID=14","3.8")</f>
        <v>3.8</v>
      </c>
      <c r="G5672" s="4" t="str">
        <f>HYPERLINK("http://141.218.60.56/~jnz1568/getInfo.php?workbook=12_04.xlsx&amp;sheet=U0&amp;row=5672&amp;col=7&amp;number=0.000266&amp;sourceID=14","0.000266")</f>
        <v>0.000266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HYPERLINK("http://141.218.60.56/~jnz1568/getInfo.php?workbook=12_04.xlsx&amp;sheet=U0&amp;row=5673&amp;col=6&amp;number=3.9&amp;sourceID=14","3.9")</f>
        <v>3.9</v>
      </c>
      <c r="G5673" s="4" t="str">
        <f>HYPERLINK("http://141.218.60.56/~jnz1568/getInfo.php?workbook=12_04.xlsx&amp;sheet=U0&amp;row=5673&amp;col=7&amp;number=0.000266&amp;sourceID=14","0.000266")</f>
        <v>0.000266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HYPERLINK("http://141.218.60.56/~jnz1568/getInfo.php?workbook=12_04.xlsx&amp;sheet=U0&amp;row=5674&amp;col=6&amp;number=4&amp;sourceID=14","4")</f>
        <v>4</v>
      </c>
      <c r="G5674" s="4" t="str">
        <f>HYPERLINK("http://141.218.60.56/~jnz1568/getInfo.php?workbook=12_04.xlsx&amp;sheet=U0&amp;row=5674&amp;col=7&amp;number=0.000266&amp;sourceID=14","0.000266")</f>
        <v>0.000266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HYPERLINK("http://141.218.60.56/~jnz1568/getInfo.php?workbook=12_04.xlsx&amp;sheet=U0&amp;row=5675&amp;col=6&amp;number=4.1&amp;sourceID=14","4.1")</f>
        <v>4.1</v>
      </c>
      <c r="G5675" s="4" t="str">
        <f>HYPERLINK("http://141.218.60.56/~jnz1568/getInfo.php?workbook=12_04.xlsx&amp;sheet=U0&amp;row=5675&amp;col=7&amp;number=0.000265&amp;sourceID=14","0.000265")</f>
        <v>0.000265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HYPERLINK("http://141.218.60.56/~jnz1568/getInfo.php?workbook=12_04.xlsx&amp;sheet=U0&amp;row=5676&amp;col=6&amp;number=4.2&amp;sourceID=14","4.2")</f>
        <v>4.2</v>
      </c>
      <c r="G5676" s="4" t="str">
        <f>HYPERLINK("http://141.218.60.56/~jnz1568/getInfo.php?workbook=12_04.xlsx&amp;sheet=U0&amp;row=5676&amp;col=7&amp;number=0.000265&amp;sourceID=14","0.000265")</f>
        <v>0.000265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HYPERLINK("http://141.218.60.56/~jnz1568/getInfo.php?workbook=12_04.xlsx&amp;sheet=U0&amp;row=5677&amp;col=6&amp;number=4.3&amp;sourceID=14","4.3")</f>
        <v>4.3</v>
      </c>
      <c r="G5677" s="4" t="str">
        <f>HYPERLINK("http://141.218.60.56/~jnz1568/getInfo.php?workbook=12_04.xlsx&amp;sheet=U0&amp;row=5677&amp;col=7&amp;number=0.000264&amp;sourceID=14","0.000264")</f>
        <v>0.000264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HYPERLINK("http://141.218.60.56/~jnz1568/getInfo.php?workbook=12_04.xlsx&amp;sheet=U0&amp;row=5678&amp;col=6&amp;number=4.4&amp;sourceID=14","4.4")</f>
        <v>4.4</v>
      </c>
      <c r="G5678" s="4" t="str">
        <f>HYPERLINK("http://141.218.60.56/~jnz1568/getInfo.php?workbook=12_04.xlsx&amp;sheet=U0&amp;row=5678&amp;col=7&amp;number=0.000264&amp;sourceID=14","0.000264")</f>
        <v>0.000264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HYPERLINK("http://141.218.60.56/~jnz1568/getInfo.php?workbook=12_04.xlsx&amp;sheet=U0&amp;row=5679&amp;col=6&amp;number=4.5&amp;sourceID=14","4.5")</f>
        <v>4.5</v>
      </c>
      <c r="G5679" s="4" t="str">
        <f>HYPERLINK("http://141.218.60.56/~jnz1568/getInfo.php?workbook=12_04.xlsx&amp;sheet=U0&amp;row=5679&amp;col=7&amp;number=0.000263&amp;sourceID=14","0.000263")</f>
        <v>0.000263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HYPERLINK("http://141.218.60.56/~jnz1568/getInfo.php?workbook=12_04.xlsx&amp;sheet=U0&amp;row=5680&amp;col=6&amp;number=4.6&amp;sourceID=14","4.6")</f>
        <v>4.6</v>
      </c>
      <c r="G5680" s="4" t="str">
        <f>HYPERLINK("http://141.218.60.56/~jnz1568/getInfo.php?workbook=12_04.xlsx&amp;sheet=U0&amp;row=5680&amp;col=7&amp;number=0.000262&amp;sourceID=14","0.000262")</f>
        <v>0.000262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HYPERLINK("http://141.218.60.56/~jnz1568/getInfo.php?workbook=12_04.xlsx&amp;sheet=U0&amp;row=5681&amp;col=6&amp;number=4.7&amp;sourceID=14","4.7")</f>
        <v>4.7</v>
      </c>
      <c r="G5681" s="4" t="str">
        <f>HYPERLINK("http://141.218.60.56/~jnz1568/getInfo.php?workbook=12_04.xlsx&amp;sheet=U0&amp;row=5681&amp;col=7&amp;number=0.000261&amp;sourceID=14","0.000261")</f>
        <v>0.000261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HYPERLINK("http://141.218.60.56/~jnz1568/getInfo.php?workbook=12_04.xlsx&amp;sheet=U0&amp;row=5682&amp;col=6&amp;number=4.8&amp;sourceID=14","4.8")</f>
        <v>4.8</v>
      </c>
      <c r="G5682" s="4" t="str">
        <f>HYPERLINK("http://141.218.60.56/~jnz1568/getInfo.php?workbook=12_04.xlsx&amp;sheet=U0&amp;row=5682&amp;col=7&amp;number=0.000259&amp;sourceID=14","0.000259")</f>
        <v>0.000259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HYPERLINK("http://141.218.60.56/~jnz1568/getInfo.php?workbook=12_04.xlsx&amp;sheet=U0&amp;row=5683&amp;col=6&amp;number=4.9&amp;sourceID=14","4.9")</f>
        <v>4.9</v>
      </c>
      <c r="G5683" s="4" t="str">
        <f>HYPERLINK("http://141.218.60.56/~jnz1568/getInfo.php?workbook=12_04.xlsx&amp;sheet=U0&amp;row=5683&amp;col=7&amp;number=0.000257&amp;sourceID=14","0.000257")</f>
        <v>0.000257</v>
      </c>
    </row>
    <row r="5684" spans="1:7">
      <c r="A5684" s="3">
        <v>12</v>
      </c>
      <c r="B5684" s="3">
        <v>4</v>
      </c>
      <c r="C5684" s="3">
        <v>3</v>
      </c>
      <c r="D5684" s="3">
        <v>95</v>
      </c>
      <c r="E5684" s="3">
        <v>1</v>
      </c>
      <c r="F5684" s="4" t="str">
        <f>HYPERLINK("http://141.218.60.56/~jnz1568/getInfo.php?workbook=12_04.xlsx&amp;sheet=U0&amp;row=5684&amp;col=6&amp;number=3&amp;sourceID=14","3")</f>
        <v>3</v>
      </c>
      <c r="G5684" s="4" t="str">
        <f>HYPERLINK("http://141.218.60.56/~jnz1568/getInfo.php?workbook=12_04.xlsx&amp;sheet=U0&amp;row=5684&amp;col=7&amp;number=0.000628&amp;sourceID=14","0.000628")</f>
        <v>0.000628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HYPERLINK("http://141.218.60.56/~jnz1568/getInfo.php?workbook=12_04.xlsx&amp;sheet=U0&amp;row=5685&amp;col=6&amp;number=3.1&amp;sourceID=14","3.1")</f>
        <v>3.1</v>
      </c>
      <c r="G5685" s="4" t="str">
        <f>HYPERLINK("http://141.218.60.56/~jnz1568/getInfo.php?workbook=12_04.xlsx&amp;sheet=U0&amp;row=5685&amp;col=7&amp;number=0.000628&amp;sourceID=14","0.000628")</f>
        <v>0.000628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HYPERLINK("http://141.218.60.56/~jnz1568/getInfo.php?workbook=12_04.xlsx&amp;sheet=U0&amp;row=5686&amp;col=6&amp;number=3.2&amp;sourceID=14","3.2")</f>
        <v>3.2</v>
      </c>
      <c r="G5686" s="4" t="str">
        <f>HYPERLINK("http://141.218.60.56/~jnz1568/getInfo.php?workbook=12_04.xlsx&amp;sheet=U0&amp;row=5686&amp;col=7&amp;number=0.000627&amp;sourceID=14","0.000627")</f>
        <v>0.000627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HYPERLINK("http://141.218.60.56/~jnz1568/getInfo.php?workbook=12_04.xlsx&amp;sheet=U0&amp;row=5687&amp;col=6&amp;number=3.3&amp;sourceID=14","3.3")</f>
        <v>3.3</v>
      </c>
      <c r="G5687" s="4" t="str">
        <f>HYPERLINK("http://141.218.60.56/~jnz1568/getInfo.php?workbook=12_04.xlsx&amp;sheet=U0&amp;row=5687&amp;col=7&amp;number=0.000627&amp;sourceID=14","0.000627")</f>
        <v>0.000627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HYPERLINK("http://141.218.60.56/~jnz1568/getInfo.php?workbook=12_04.xlsx&amp;sheet=U0&amp;row=5688&amp;col=6&amp;number=3.4&amp;sourceID=14","3.4")</f>
        <v>3.4</v>
      </c>
      <c r="G5688" s="4" t="str">
        <f>HYPERLINK("http://141.218.60.56/~jnz1568/getInfo.php?workbook=12_04.xlsx&amp;sheet=U0&amp;row=5688&amp;col=7&amp;number=0.000626&amp;sourceID=14","0.000626")</f>
        <v>0.000626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HYPERLINK("http://141.218.60.56/~jnz1568/getInfo.php?workbook=12_04.xlsx&amp;sheet=U0&amp;row=5689&amp;col=6&amp;number=3.5&amp;sourceID=14","3.5")</f>
        <v>3.5</v>
      </c>
      <c r="G5689" s="4" t="str">
        <f>HYPERLINK("http://141.218.60.56/~jnz1568/getInfo.php?workbook=12_04.xlsx&amp;sheet=U0&amp;row=5689&amp;col=7&amp;number=0.000625&amp;sourceID=14","0.000625")</f>
        <v>0.000625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HYPERLINK("http://141.218.60.56/~jnz1568/getInfo.php?workbook=12_04.xlsx&amp;sheet=U0&amp;row=5690&amp;col=6&amp;number=3.6&amp;sourceID=14","3.6")</f>
        <v>3.6</v>
      </c>
      <c r="G5690" s="4" t="str">
        <f>HYPERLINK("http://141.218.60.56/~jnz1568/getInfo.php?workbook=12_04.xlsx&amp;sheet=U0&amp;row=5690&amp;col=7&amp;number=0.000624&amp;sourceID=14","0.000624")</f>
        <v>0.000624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HYPERLINK("http://141.218.60.56/~jnz1568/getInfo.php?workbook=12_04.xlsx&amp;sheet=U0&amp;row=5691&amp;col=6&amp;number=3.7&amp;sourceID=14","3.7")</f>
        <v>3.7</v>
      </c>
      <c r="G5691" s="4" t="str">
        <f>HYPERLINK("http://141.218.60.56/~jnz1568/getInfo.php?workbook=12_04.xlsx&amp;sheet=U0&amp;row=5691&amp;col=7&amp;number=0.000623&amp;sourceID=14","0.000623")</f>
        <v>0.000623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HYPERLINK("http://141.218.60.56/~jnz1568/getInfo.php?workbook=12_04.xlsx&amp;sheet=U0&amp;row=5692&amp;col=6&amp;number=3.8&amp;sourceID=14","3.8")</f>
        <v>3.8</v>
      </c>
      <c r="G5692" s="4" t="str">
        <f>HYPERLINK("http://141.218.60.56/~jnz1568/getInfo.php?workbook=12_04.xlsx&amp;sheet=U0&amp;row=5692&amp;col=7&amp;number=0.000621&amp;sourceID=14","0.000621")</f>
        <v>0.000621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HYPERLINK("http://141.218.60.56/~jnz1568/getInfo.php?workbook=12_04.xlsx&amp;sheet=U0&amp;row=5693&amp;col=6&amp;number=3.9&amp;sourceID=14","3.9")</f>
        <v>3.9</v>
      </c>
      <c r="G5693" s="4" t="str">
        <f>HYPERLINK("http://141.218.60.56/~jnz1568/getInfo.php?workbook=12_04.xlsx&amp;sheet=U0&amp;row=5693&amp;col=7&amp;number=0.000619&amp;sourceID=14","0.000619")</f>
        <v>0.000619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HYPERLINK("http://141.218.60.56/~jnz1568/getInfo.php?workbook=12_04.xlsx&amp;sheet=U0&amp;row=5694&amp;col=6&amp;number=4&amp;sourceID=14","4")</f>
        <v>4</v>
      </c>
      <c r="G5694" s="4" t="str">
        <f>HYPERLINK("http://141.218.60.56/~jnz1568/getInfo.php?workbook=12_04.xlsx&amp;sheet=U0&amp;row=5694&amp;col=7&amp;number=0.000617&amp;sourceID=14","0.000617")</f>
        <v>0.000617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HYPERLINK("http://141.218.60.56/~jnz1568/getInfo.php?workbook=12_04.xlsx&amp;sheet=U0&amp;row=5695&amp;col=6&amp;number=4.1&amp;sourceID=14","4.1")</f>
        <v>4.1</v>
      </c>
      <c r="G5695" s="4" t="str">
        <f>HYPERLINK("http://141.218.60.56/~jnz1568/getInfo.php?workbook=12_04.xlsx&amp;sheet=U0&amp;row=5695&amp;col=7&amp;number=0.000614&amp;sourceID=14","0.000614")</f>
        <v>0.000614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HYPERLINK("http://141.218.60.56/~jnz1568/getInfo.php?workbook=12_04.xlsx&amp;sheet=U0&amp;row=5696&amp;col=6&amp;number=4.2&amp;sourceID=14","4.2")</f>
        <v>4.2</v>
      </c>
      <c r="G5696" s="4" t="str">
        <f>HYPERLINK("http://141.218.60.56/~jnz1568/getInfo.php?workbook=12_04.xlsx&amp;sheet=U0&amp;row=5696&amp;col=7&amp;number=0.00061&amp;sourceID=14","0.00061")</f>
        <v>0.00061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HYPERLINK("http://141.218.60.56/~jnz1568/getInfo.php?workbook=12_04.xlsx&amp;sheet=U0&amp;row=5697&amp;col=6&amp;number=4.3&amp;sourceID=14","4.3")</f>
        <v>4.3</v>
      </c>
      <c r="G5697" s="4" t="str">
        <f>HYPERLINK("http://141.218.60.56/~jnz1568/getInfo.php?workbook=12_04.xlsx&amp;sheet=U0&amp;row=5697&amp;col=7&amp;number=0.000605&amp;sourceID=14","0.000605")</f>
        <v>0.000605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HYPERLINK("http://141.218.60.56/~jnz1568/getInfo.php?workbook=12_04.xlsx&amp;sheet=U0&amp;row=5698&amp;col=6&amp;number=4.4&amp;sourceID=14","4.4")</f>
        <v>4.4</v>
      </c>
      <c r="G5698" s="4" t="str">
        <f>HYPERLINK("http://141.218.60.56/~jnz1568/getInfo.php?workbook=12_04.xlsx&amp;sheet=U0&amp;row=5698&amp;col=7&amp;number=0.000599&amp;sourceID=14","0.000599")</f>
        <v>0.000599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HYPERLINK("http://141.218.60.56/~jnz1568/getInfo.php?workbook=12_04.xlsx&amp;sheet=U0&amp;row=5699&amp;col=6&amp;number=4.5&amp;sourceID=14","4.5")</f>
        <v>4.5</v>
      </c>
      <c r="G5699" s="4" t="str">
        <f>HYPERLINK("http://141.218.60.56/~jnz1568/getInfo.php?workbook=12_04.xlsx&amp;sheet=U0&amp;row=5699&amp;col=7&amp;number=0.000591&amp;sourceID=14","0.000591")</f>
        <v>0.000591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HYPERLINK("http://141.218.60.56/~jnz1568/getInfo.php?workbook=12_04.xlsx&amp;sheet=U0&amp;row=5700&amp;col=6&amp;number=4.6&amp;sourceID=14","4.6")</f>
        <v>4.6</v>
      </c>
      <c r="G5700" s="4" t="str">
        <f>HYPERLINK("http://141.218.60.56/~jnz1568/getInfo.php?workbook=12_04.xlsx&amp;sheet=U0&amp;row=5700&amp;col=7&amp;number=0.000581&amp;sourceID=14","0.000581")</f>
        <v>0.000581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HYPERLINK("http://141.218.60.56/~jnz1568/getInfo.php?workbook=12_04.xlsx&amp;sheet=U0&amp;row=5701&amp;col=6&amp;number=4.7&amp;sourceID=14","4.7")</f>
        <v>4.7</v>
      </c>
      <c r="G5701" s="4" t="str">
        <f>HYPERLINK("http://141.218.60.56/~jnz1568/getInfo.php?workbook=12_04.xlsx&amp;sheet=U0&amp;row=5701&amp;col=7&amp;number=0.000569&amp;sourceID=14","0.000569")</f>
        <v>0.000569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HYPERLINK("http://141.218.60.56/~jnz1568/getInfo.php?workbook=12_04.xlsx&amp;sheet=U0&amp;row=5702&amp;col=6&amp;number=4.8&amp;sourceID=14","4.8")</f>
        <v>4.8</v>
      </c>
      <c r="G5702" s="4" t="str">
        <f>HYPERLINK("http://141.218.60.56/~jnz1568/getInfo.php?workbook=12_04.xlsx&amp;sheet=U0&amp;row=5702&amp;col=7&amp;number=0.000554&amp;sourceID=14","0.000554")</f>
        <v>0.000554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HYPERLINK("http://141.218.60.56/~jnz1568/getInfo.php?workbook=12_04.xlsx&amp;sheet=U0&amp;row=5703&amp;col=6&amp;number=4.9&amp;sourceID=14","4.9")</f>
        <v>4.9</v>
      </c>
      <c r="G5703" s="4" t="str">
        <f>HYPERLINK("http://141.218.60.56/~jnz1568/getInfo.php?workbook=12_04.xlsx&amp;sheet=U0&amp;row=5703&amp;col=7&amp;number=0.000536&amp;sourceID=14","0.000536")</f>
        <v>0.000536</v>
      </c>
    </row>
    <row r="5704" spans="1:7">
      <c r="A5704" s="3">
        <v>12</v>
      </c>
      <c r="B5704" s="3">
        <v>4</v>
      </c>
      <c r="C5704" s="3">
        <v>3</v>
      </c>
      <c r="D5704" s="3">
        <v>96</v>
      </c>
      <c r="E5704" s="3">
        <v>1</v>
      </c>
      <c r="F5704" s="4" t="str">
        <f>HYPERLINK("http://141.218.60.56/~jnz1568/getInfo.php?workbook=12_04.xlsx&amp;sheet=U0&amp;row=5704&amp;col=6&amp;number=3&amp;sourceID=14","3")</f>
        <v>3</v>
      </c>
      <c r="G5704" s="4" t="str">
        <f>HYPERLINK("http://141.218.60.56/~jnz1568/getInfo.php?workbook=12_04.xlsx&amp;sheet=U0&amp;row=5704&amp;col=7&amp;number=0.000773&amp;sourceID=14","0.000773")</f>
        <v>0.000773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HYPERLINK("http://141.218.60.56/~jnz1568/getInfo.php?workbook=12_04.xlsx&amp;sheet=U0&amp;row=5705&amp;col=6&amp;number=3.1&amp;sourceID=14","3.1")</f>
        <v>3.1</v>
      </c>
      <c r="G5705" s="4" t="str">
        <f>HYPERLINK("http://141.218.60.56/~jnz1568/getInfo.php?workbook=12_04.xlsx&amp;sheet=U0&amp;row=5705&amp;col=7&amp;number=0.000772&amp;sourceID=14","0.000772")</f>
        <v>0.000772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HYPERLINK("http://141.218.60.56/~jnz1568/getInfo.php?workbook=12_04.xlsx&amp;sheet=U0&amp;row=5706&amp;col=6&amp;number=3.2&amp;sourceID=14","3.2")</f>
        <v>3.2</v>
      </c>
      <c r="G5706" s="4" t="str">
        <f>HYPERLINK("http://141.218.60.56/~jnz1568/getInfo.php?workbook=12_04.xlsx&amp;sheet=U0&amp;row=5706&amp;col=7&amp;number=0.000772&amp;sourceID=14","0.000772")</f>
        <v>0.000772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HYPERLINK("http://141.218.60.56/~jnz1568/getInfo.php?workbook=12_04.xlsx&amp;sheet=U0&amp;row=5707&amp;col=6&amp;number=3.3&amp;sourceID=14","3.3")</f>
        <v>3.3</v>
      </c>
      <c r="G5707" s="4" t="str">
        <f>HYPERLINK("http://141.218.60.56/~jnz1568/getInfo.php?workbook=12_04.xlsx&amp;sheet=U0&amp;row=5707&amp;col=7&amp;number=0.000771&amp;sourceID=14","0.000771")</f>
        <v>0.000771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HYPERLINK("http://141.218.60.56/~jnz1568/getInfo.php?workbook=12_04.xlsx&amp;sheet=U0&amp;row=5708&amp;col=6&amp;number=3.4&amp;sourceID=14","3.4")</f>
        <v>3.4</v>
      </c>
      <c r="G5708" s="4" t="str">
        <f>HYPERLINK("http://141.218.60.56/~jnz1568/getInfo.php?workbook=12_04.xlsx&amp;sheet=U0&amp;row=5708&amp;col=7&amp;number=0.000771&amp;sourceID=14","0.000771")</f>
        <v>0.000771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HYPERLINK("http://141.218.60.56/~jnz1568/getInfo.php?workbook=12_04.xlsx&amp;sheet=U0&amp;row=5709&amp;col=6&amp;number=3.5&amp;sourceID=14","3.5")</f>
        <v>3.5</v>
      </c>
      <c r="G5709" s="4" t="str">
        <f>HYPERLINK("http://141.218.60.56/~jnz1568/getInfo.php?workbook=12_04.xlsx&amp;sheet=U0&amp;row=5709&amp;col=7&amp;number=0.00077&amp;sourceID=14","0.00077")</f>
        <v>0.00077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HYPERLINK("http://141.218.60.56/~jnz1568/getInfo.php?workbook=12_04.xlsx&amp;sheet=U0&amp;row=5710&amp;col=6&amp;number=3.6&amp;sourceID=14","3.6")</f>
        <v>3.6</v>
      </c>
      <c r="G5710" s="4" t="str">
        <f>HYPERLINK("http://141.218.60.56/~jnz1568/getInfo.php?workbook=12_04.xlsx&amp;sheet=U0&amp;row=5710&amp;col=7&amp;number=0.000769&amp;sourceID=14","0.000769")</f>
        <v>0.000769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HYPERLINK("http://141.218.60.56/~jnz1568/getInfo.php?workbook=12_04.xlsx&amp;sheet=U0&amp;row=5711&amp;col=6&amp;number=3.7&amp;sourceID=14","3.7")</f>
        <v>3.7</v>
      </c>
      <c r="G5711" s="4" t="str">
        <f>HYPERLINK("http://141.218.60.56/~jnz1568/getInfo.php?workbook=12_04.xlsx&amp;sheet=U0&amp;row=5711&amp;col=7&amp;number=0.000768&amp;sourceID=14","0.000768")</f>
        <v>0.000768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HYPERLINK("http://141.218.60.56/~jnz1568/getInfo.php?workbook=12_04.xlsx&amp;sheet=U0&amp;row=5712&amp;col=6&amp;number=3.8&amp;sourceID=14","3.8")</f>
        <v>3.8</v>
      </c>
      <c r="G5712" s="4" t="str">
        <f>HYPERLINK("http://141.218.60.56/~jnz1568/getInfo.php?workbook=12_04.xlsx&amp;sheet=U0&amp;row=5712&amp;col=7&amp;number=0.000767&amp;sourceID=14","0.000767")</f>
        <v>0.000767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HYPERLINK("http://141.218.60.56/~jnz1568/getInfo.php?workbook=12_04.xlsx&amp;sheet=U0&amp;row=5713&amp;col=6&amp;number=3.9&amp;sourceID=14","3.9")</f>
        <v>3.9</v>
      </c>
      <c r="G5713" s="4" t="str">
        <f>HYPERLINK("http://141.218.60.56/~jnz1568/getInfo.php?workbook=12_04.xlsx&amp;sheet=U0&amp;row=5713&amp;col=7&amp;number=0.000765&amp;sourceID=14","0.000765")</f>
        <v>0.000765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HYPERLINK("http://141.218.60.56/~jnz1568/getInfo.php?workbook=12_04.xlsx&amp;sheet=U0&amp;row=5714&amp;col=6&amp;number=4&amp;sourceID=14","4")</f>
        <v>4</v>
      </c>
      <c r="G5714" s="4" t="str">
        <f>HYPERLINK("http://141.218.60.56/~jnz1568/getInfo.php?workbook=12_04.xlsx&amp;sheet=U0&amp;row=5714&amp;col=7&amp;number=0.000763&amp;sourceID=14","0.000763")</f>
        <v>0.000763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HYPERLINK("http://141.218.60.56/~jnz1568/getInfo.php?workbook=12_04.xlsx&amp;sheet=U0&amp;row=5715&amp;col=6&amp;number=4.1&amp;sourceID=14","4.1")</f>
        <v>4.1</v>
      </c>
      <c r="G5715" s="4" t="str">
        <f>HYPERLINK("http://141.218.60.56/~jnz1568/getInfo.php?workbook=12_04.xlsx&amp;sheet=U0&amp;row=5715&amp;col=7&amp;number=0.00076&amp;sourceID=14","0.00076")</f>
        <v>0.00076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HYPERLINK("http://141.218.60.56/~jnz1568/getInfo.php?workbook=12_04.xlsx&amp;sheet=U0&amp;row=5716&amp;col=6&amp;number=4.2&amp;sourceID=14","4.2")</f>
        <v>4.2</v>
      </c>
      <c r="G5716" s="4" t="str">
        <f>HYPERLINK("http://141.218.60.56/~jnz1568/getInfo.php?workbook=12_04.xlsx&amp;sheet=U0&amp;row=5716&amp;col=7&amp;number=0.000757&amp;sourceID=14","0.000757")</f>
        <v>0.000757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HYPERLINK("http://141.218.60.56/~jnz1568/getInfo.php?workbook=12_04.xlsx&amp;sheet=U0&amp;row=5717&amp;col=6&amp;number=4.3&amp;sourceID=14","4.3")</f>
        <v>4.3</v>
      </c>
      <c r="G5717" s="4" t="str">
        <f>HYPERLINK("http://141.218.60.56/~jnz1568/getInfo.php?workbook=12_04.xlsx&amp;sheet=U0&amp;row=5717&amp;col=7&amp;number=0.000752&amp;sourceID=14","0.000752")</f>
        <v>0.000752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HYPERLINK("http://141.218.60.56/~jnz1568/getInfo.php?workbook=12_04.xlsx&amp;sheet=U0&amp;row=5718&amp;col=6&amp;number=4.4&amp;sourceID=14","4.4")</f>
        <v>4.4</v>
      </c>
      <c r="G5718" s="4" t="str">
        <f>HYPERLINK("http://141.218.60.56/~jnz1568/getInfo.php?workbook=12_04.xlsx&amp;sheet=U0&amp;row=5718&amp;col=7&amp;number=0.000747&amp;sourceID=14","0.000747")</f>
        <v>0.000747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HYPERLINK("http://141.218.60.56/~jnz1568/getInfo.php?workbook=12_04.xlsx&amp;sheet=U0&amp;row=5719&amp;col=6&amp;number=4.5&amp;sourceID=14","4.5")</f>
        <v>4.5</v>
      </c>
      <c r="G5719" s="4" t="str">
        <f>HYPERLINK("http://141.218.60.56/~jnz1568/getInfo.php?workbook=12_04.xlsx&amp;sheet=U0&amp;row=5719&amp;col=7&amp;number=0.00074&amp;sourceID=14","0.00074")</f>
        <v>0.00074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HYPERLINK("http://141.218.60.56/~jnz1568/getInfo.php?workbook=12_04.xlsx&amp;sheet=U0&amp;row=5720&amp;col=6&amp;number=4.6&amp;sourceID=14","4.6")</f>
        <v>4.6</v>
      </c>
      <c r="G5720" s="4" t="str">
        <f>HYPERLINK("http://141.218.60.56/~jnz1568/getInfo.php?workbook=12_04.xlsx&amp;sheet=U0&amp;row=5720&amp;col=7&amp;number=0.000731&amp;sourceID=14","0.000731")</f>
        <v>0.000731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HYPERLINK("http://141.218.60.56/~jnz1568/getInfo.php?workbook=12_04.xlsx&amp;sheet=U0&amp;row=5721&amp;col=6&amp;number=4.7&amp;sourceID=14","4.7")</f>
        <v>4.7</v>
      </c>
      <c r="G5721" s="4" t="str">
        <f>HYPERLINK("http://141.218.60.56/~jnz1568/getInfo.php?workbook=12_04.xlsx&amp;sheet=U0&amp;row=5721&amp;col=7&amp;number=0.00072&amp;sourceID=14","0.00072")</f>
        <v>0.00072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HYPERLINK("http://141.218.60.56/~jnz1568/getInfo.php?workbook=12_04.xlsx&amp;sheet=U0&amp;row=5722&amp;col=6&amp;number=4.8&amp;sourceID=14","4.8")</f>
        <v>4.8</v>
      </c>
      <c r="G5722" s="4" t="str">
        <f>HYPERLINK("http://141.218.60.56/~jnz1568/getInfo.php?workbook=12_04.xlsx&amp;sheet=U0&amp;row=5722&amp;col=7&amp;number=0.000707&amp;sourceID=14","0.000707")</f>
        <v>0.000707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HYPERLINK("http://141.218.60.56/~jnz1568/getInfo.php?workbook=12_04.xlsx&amp;sheet=U0&amp;row=5723&amp;col=6&amp;number=4.9&amp;sourceID=14","4.9")</f>
        <v>4.9</v>
      </c>
      <c r="G5723" s="4" t="str">
        <f>HYPERLINK("http://141.218.60.56/~jnz1568/getInfo.php?workbook=12_04.xlsx&amp;sheet=U0&amp;row=5723&amp;col=7&amp;number=0.000691&amp;sourceID=14","0.000691")</f>
        <v>0.000691</v>
      </c>
    </row>
    <row r="5724" spans="1:7">
      <c r="A5724" s="3">
        <v>12</v>
      </c>
      <c r="B5724" s="3">
        <v>4</v>
      </c>
      <c r="C5724" s="3">
        <v>3</v>
      </c>
      <c r="D5724" s="3">
        <v>97</v>
      </c>
      <c r="E5724" s="3">
        <v>1</v>
      </c>
      <c r="F5724" s="4" t="str">
        <f>HYPERLINK("http://141.218.60.56/~jnz1568/getInfo.php?workbook=12_04.xlsx&amp;sheet=U0&amp;row=5724&amp;col=6&amp;number=3&amp;sourceID=14","3")</f>
        <v>3</v>
      </c>
      <c r="G5724" s="4" t="str">
        <f>HYPERLINK("http://141.218.60.56/~jnz1568/getInfo.php?workbook=12_04.xlsx&amp;sheet=U0&amp;row=5724&amp;col=7&amp;number=0.00339&amp;sourceID=14","0.00339")</f>
        <v>0.00339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HYPERLINK("http://141.218.60.56/~jnz1568/getInfo.php?workbook=12_04.xlsx&amp;sheet=U0&amp;row=5725&amp;col=6&amp;number=3.1&amp;sourceID=14","3.1")</f>
        <v>3.1</v>
      </c>
      <c r="G5725" s="4" t="str">
        <f>HYPERLINK("http://141.218.60.56/~jnz1568/getInfo.php?workbook=12_04.xlsx&amp;sheet=U0&amp;row=5725&amp;col=7&amp;number=0.00339&amp;sourceID=14","0.00339")</f>
        <v>0.00339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HYPERLINK("http://141.218.60.56/~jnz1568/getInfo.php?workbook=12_04.xlsx&amp;sheet=U0&amp;row=5726&amp;col=6&amp;number=3.2&amp;sourceID=14","3.2")</f>
        <v>3.2</v>
      </c>
      <c r="G5726" s="4" t="str">
        <f>HYPERLINK("http://141.218.60.56/~jnz1568/getInfo.php?workbook=12_04.xlsx&amp;sheet=U0&amp;row=5726&amp;col=7&amp;number=0.00339&amp;sourceID=14","0.00339")</f>
        <v>0.00339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HYPERLINK("http://141.218.60.56/~jnz1568/getInfo.php?workbook=12_04.xlsx&amp;sheet=U0&amp;row=5727&amp;col=6&amp;number=3.3&amp;sourceID=14","3.3")</f>
        <v>3.3</v>
      </c>
      <c r="G5727" s="4" t="str">
        <f>HYPERLINK("http://141.218.60.56/~jnz1568/getInfo.php?workbook=12_04.xlsx&amp;sheet=U0&amp;row=5727&amp;col=7&amp;number=0.00339&amp;sourceID=14","0.00339")</f>
        <v>0.00339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HYPERLINK("http://141.218.60.56/~jnz1568/getInfo.php?workbook=12_04.xlsx&amp;sheet=U0&amp;row=5728&amp;col=6&amp;number=3.4&amp;sourceID=14","3.4")</f>
        <v>3.4</v>
      </c>
      <c r="G5728" s="4" t="str">
        <f>HYPERLINK("http://141.218.60.56/~jnz1568/getInfo.php?workbook=12_04.xlsx&amp;sheet=U0&amp;row=5728&amp;col=7&amp;number=0.00339&amp;sourceID=14","0.00339")</f>
        <v>0.00339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HYPERLINK("http://141.218.60.56/~jnz1568/getInfo.php?workbook=12_04.xlsx&amp;sheet=U0&amp;row=5729&amp;col=6&amp;number=3.5&amp;sourceID=14","3.5")</f>
        <v>3.5</v>
      </c>
      <c r="G5729" s="4" t="str">
        <f>HYPERLINK("http://141.218.60.56/~jnz1568/getInfo.php?workbook=12_04.xlsx&amp;sheet=U0&amp;row=5729&amp;col=7&amp;number=0.00339&amp;sourceID=14","0.00339")</f>
        <v>0.00339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HYPERLINK("http://141.218.60.56/~jnz1568/getInfo.php?workbook=12_04.xlsx&amp;sheet=U0&amp;row=5730&amp;col=6&amp;number=3.6&amp;sourceID=14","3.6")</f>
        <v>3.6</v>
      </c>
      <c r="G5730" s="4" t="str">
        <f>HYPERLINK("http://141.218.60.56/~jnz1568/getInfo.php?workbook=12_04.xlsx&amp;sheet=U0&amp;row=5730&amp;col=7&amp;number=0.00339&amp;sourceID=14","0.00339")</f>
        <v>0.00339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HYPERLINK("http://141.218.60.56/~jnz1568/getInfo.php?workbook=12_04.xlsx&amp;sheet=U0&amp;row=5731&amp;col=6&amp;number=3.7&amp;sourceID=14","3.7")</f>
        <v>3.7</v>
      </c>
      <c r="G5731" s="4" t="str">
        <f>HYPERLINK("http://141.218.60.56/~jnz1568/getInfo.php?workbook=12_04.xlsx&amp;sheet=U0&amp;row=5731&amp;col=7&amp;number=0.00339&amp;sourceID=14","0.00339")</f>
        <v>0.00339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HYPERLINK("http://141.218.60.56/~jnz1568/getInfo.php?workbook=12_04.xlsx&amp;sheet=U0&amp;row=5732&amp;col=6&amp;number=3.8&amp;sourceID=14","3.8")</f>
        <v>3.8</v>
      </c>
      <c r="G5732" s="4" t="str">
        <f>HYPERLINK("http://141.218.60.56/~jnz1568/getInfo.php?workbook=12_04.xlsx&amp;sheet=U0&amp;row=5732&amp;col=7&amp;number=0.00339&amp;sourceID=14","0.00339")</f>
        <v>0.00339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HYPERLINK("http://141.218.60.56/~jnz1568/getInfo.php?workbook=12_04.xlsx&amp;sheet=U0&amp;row=5733&amp;col=6&amp;number=3.9&amp;sourceID=14","3.9")</f>
        <v>3.9</v>
      </c>
      <c r="G5733" s="4" t="str">
        <f>HYPERLINK("http://141.218.60.56/~jnz1568/getInfo.php?workbook=12_04.xlsx&amp;sheet=U0&amp;row=5733&amp;col=7&amp;number=0.00339&amp;sourceID=14","0.00339")</f>
        <v>0.00339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HYPERLINK("http://141.218.60.56/~jnz1568/getInfo.php?workbook=12_04.xlsx&amp;sheet=U0&amp;row=5734&amp;col=6&amp;number=4&amp;sourceID=14","4")</f>
        <v>4</v>
      </c>
      <c r="G5734" s="4" t="str">
        <f>HYPERLINK("http://141.218.60.56/~jnz1568/getInfo.php?workbook=12_04.xlsx&amp;sheet=U0&amp;row=5734&amp;col=7&amp;number=0.00338&amp;sourceID=14","0.00338")</f>
        <v>0.00338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HYPERLINK("http://141.218.60.56/~jnz1568/getInfo.php?workbook=12_04.xlsx&amp;sheet=U0&amp;row=5735&amp;col=6&amp;number=4.1&amp;sourceID=14","4.1")</f>
        <v>4.1</v>
      </c>
      <c r="G5735" s="4" t="str">
        <f>HYPERLINK("http://141.218.60.56/~jnz1568/getInfo.php?workbook=12_04.xlsx&amp;sheet=U0&amp;row=5735&amp;col=7&amp;number=0.00338&amp;sourceID=14","0.00338")</f>
        <v>0.00338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HYPERLINK("http://141.218.60.56/~jnz1568/getInfo.php?workbook=12_04.xlsx&amp;sheet=U0&amp;row=5736&amp;col=6&amp;number=4.2&amp;sourceID=14","4.2")</f>
        <v>4.2</v>
      </c>
      <c r="G5736" s="4" t="str">
        <f>HYPERLINK("http://141.218.60.56/~jnz1568/getInfo.php?workbook=12_04.xlsx&amp;sheet=U0&amp;row=5736&amp;col=7&amp;number=0.00338&amp;sourceID=14","0.00338")</f>
        <v>0.00338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HYPERLINK("http://141.218.60.56/~jnz1568/getInfo.php?workbook=12_04.xlsx&amp;sheet=U0&amp;row=5737&amp;col=6&amp;number=4.3&amp;sourceID=14","4.3")</f>
        <v>4.3</v>
      </c>
      <c r="G5737" s="4" t="str">
        <f>HYPERLINK("http://141.218.60.56/~jnz1568/getInfo.php?workbook=12_04.xlsx&amp;sheet=U0&amp;row=5737&amp;col=7&amp;number=0.00338&amp;sourceID=14","0.00338")</f>
        <v>0.00338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HYPERLINK("http://141.218.60.56/~jnz1568/getInfo.php?workbook=12_04.xlsx&amp;sheet=U0&amp;row=5738&amp;col=6&amp;number=4.4&amp;sourceID=14","4.4")</f>
        <v>4.4</v>
      </c>
      <c r="G5738" s="4" t="str">
        <f>HYPERLINK("http://141.218.60.56/~jnz1568/getInfo.php?workbook=12_04.xlsx&amp;sheet=U0&amp;row=5738&amp;col=7&amp;number=0.00337&amp;sourceID=14","0.00337")</f>
        <v>0.00337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HYPERLINK("http://141.218.60.56/~jnz1568/getInfo.php?workbook=12_04.xlsx&amp;sheet=U0&amp;row=5739&amp;col=6&amp;number=4.5&amp;sourceID=14","4.5")</f>
        <v>4.5</v>
      </c>
      <c r="G5739" s="4" t="str">
        <f>HYPERLINK("http://141.218.60.56/~jnz1568/getInfo.php?workbook=12_04.xlsx&amp;sheet=U0&amp;row=5739&amp;col=7&amp;number=0.00337&amp;sourceID=14","0.00337")</f>
        <v>0.00337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HYPERLINK("http://141.218.60.56/~jnz1568/getInfo.php?workbook=12_04.xlsx&amp;sheet=U0&amp;row=5740&amp;col=6&amp;number=4.6&amp;sourceID=14","4.6")</f>
        <v>4.6</v>
      </c>
      <c r="G5740" s="4" t="str">
        <f>HYPERLINK("http://141.218.60.56/~jnz1568/getInfo.php?workbook=12_04.xlsx&amp;sheet=U0&amp;row=5740&amp;col=7&amp;number=0.00337&amp;sourceID=14","0.00337")</f>
        <v>0.00337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HYPERLINK("http://141.218.60.56/~jnz1568/getInfo.php?workbook=12_04.xlsx&amp;sheet=U0&amp;row=5741&amp;col=6&amp;number=4.7&amp;sourceID=14","4.7")</f>
        <v>4.7</v>
      </c>
      <c r="G5741" s="4" t="str">
        <f>HYPERLINK("http://141.218.60.56/~jnz1568/getInfo.php?workbook=12_04.xlsx&amp;sheet=U0&amp;row=5741&amp;col=7&amp;number=0.00336&amp;sourceID=14","0.00336")</f>
        <v>0.00336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HYPERLINK("http://141.218.60.56/~jnz1568/getInfo.php?workbook=12_04.xlsx&amp;sheet=U0&amp;row=5742&amp;col=6&amp;number=4.8&amp;sourceID=14","4.8")</f>
        <v>4.8</v>
      </c>
      <c r="G5742" s="4" t="str">
        <f>HYPERLINK("http://141.218.60.56/~jnz1568/getInfo.php?workbook=12_04.xlsx&amp;sheet=U0&amp;row=5742&amp;col=7&amp;number=0.00335&amp;sourceID=14","0.00335")</f>
        <v>0.00335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HYPERLINK("http://141.218.60.56/~jnz1568/getInfo.php?workbook=12_04.xlsx&amp;sheet=U0&amp;row=5743&amp;col=6&amp;number=4.9&amp;sourceID=14","4.9")</f>
        <v>4.9</v>
      </c>
      <c r="G5743" s="4" t="str">
        <f>HYPERLINK("http://141.218.60.56/~jnz1568/getInfo.php?workbook=12_04.xlsx&amp;sheet=U0&amp;row=5743&amp;col=7&amp;number=0.00334&amp;sourceID=14","0.00334")</f>
        <v>0.00334</v>
      </c>
    </row>
    <row r="5744" spans="1:7">
      <c r="A5744" s="3">
        <v>12</v>
      </c>
      <c r="B5744" s="3">
        <v>4</v>
      </c>
      <c r="C5744" s="3">
        <v>3</v>
      </c>
      <c r="D5744" s="3">
        <v>98</v>
      </c>
      <c r="E5744" s="3">
        <v>1</v>
      </c>
      <c r="F5744" s="4" t="str">
        <f>HYPERLINK("http://141.218.60.56/~jnz1568/getInfo.php?workbook=12_04.xlsx&amp;sheet=U0&amp;row=5744&amp;col=6&amp;number=3&amp;sourceID=14","3")</f>
        <v>3</v>
      </c>
      <c r="G5744" s="4" t="str">
        <f>HYPERLINK("http://141.218.60.56/~jnz1568/getInfo.php?workbook=12_04.xlsx&amp;sheet=U0&amp;row=5744&amp;col=7&amp;number=0.0014&amp;sourceID=14","0.0014")</f>
        <v>0.0014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HYPERLINK("http://141.218.60.56/~jnz1568/getInfo.php?workbook=12_04.xlsx&amp;sheet=U0&amp;row=5745&amp;col=6&amp;number=3.1&amp;sourceID=14","3.1")</f>
        <v>3.1</v>
      </c>
      <c r="G5745" s="4" t="str">
        <f>HYPERLINK("http://141.218.60.56/~jnz1568/getInfo.php?workbook=12_04.xlsx&amp;sheet=U0&amp;row=5745&amp;col=7&amp;number=0.0014&amp;sourceID=14","0.0014")</f>
        <v>0.0014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HYPERLINK("http://141.218.60.56/~jnz1568/getInfo.php?workbook=12_04.xlsx&amp;sheet=U0&amp;row=5746&amp;col=6&amp;number=3.2&amp;sourceID=14","3.2")</f>
        <v>3.2</v>
      </c>
      <c r="G5746" s="4" t="str">
        <f>HYPERLINK("http://141.218.60.56/~jnz1568/getInfo.php?workbook=12_04.xlsx&amp;sheet=U0&amp;row=5746&amp;col=7&amp;number=0.0014&amp;sourceID=14","0.0014")</f>
        <v>0.0014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HYPERLINK("http://141.218.60.56/~jnz1568/getInfo.php?workbook=12_04.xlsx&amp;sheet=U0&amp;row=5747&amp;col=6&amp;number=3.3&amp;sourceID=14","3.3")</f>
        <v>3.3</v>
      </c>
      <c r="G5747" s="4" t="str">
        <f>HYPERLINK("http://141.218.60.56/~jnz1568/getInfo.php?workbook=12_04.xlsx&amp;sheet=U0&amp;row=5747&amp;col=7&amp;number=0.0014&amp;sourceID=14","0.0014")</f>
        <v>0.0014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HYPERLINK("http://141.218.60.56/~jnz1568/getInfo.php?workbook=12_04.xlsx&amp;sheet=U0&amp;row=5748&amp;col=6&amp;number=3.4&amp;sourceID=14","3.4")</f>
        <v>3.4</v>
      </c>
      <c r="G5748" s="4" t="str">
        <f>HYPERLINK("http://141.218.60.56/~jnz1568/getInfo.php?workbook=12_04.xlsx&amp;sheet=U0&amp;row=5748&amp;col=7&amp;number=0.0014&amp;sourceID=14","0.0014")</f>
        <v>0.0014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HYPERLINK("http://141.218.60.56/~jnz1568/getInfo.php?workbook=12_04.xlsx&amp;sheet=U0&amp;row=5749&amp;col=6&amp;number=3.5&amp;sourceID=14","3.5")</f>
        <v>3.5</v>
      </c>
      <c r="G5749" s="4" t="str">
        <f>HYPERLINK("http://141.218.60.56/~jnz1568/getInfo.php?workbook=12_04.xlsx&amp;sheet=U0&amp;row=5749&amp;col=7&amp;number=0.0014&amp;sourceID=14","0.0014")</f>
        <v>0.0014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HYPERLINK("http://141.218.60.56/~jnz1568/getInfo.php?workbook=12_04.xlsx&amp;sheet=U0&amp;row=5750&amp;col=6&amp;number=3.6&amp;sourceID=14","3.6")</f>
        <v>3.6</v>
      </c>
      <c r="G5750" s="4" t="str">
        <f>HYPERLINK("http://141.218.60.56/~jnz1568/getInfo.php?workbook=12_04.xlsx&amp;sheet=U0&amp;row=5750&amp;col=7&amp;number=0.0014&amp;sourceID=14","0.0014")</f>
        <v>0.0014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HYPERLINK("http://141.218.60.56/~jnz1568/getInfo.php?workbook=12_04.xlsx&amp;sheet=U0&amp;row=5751&amp;col=6&amp;number=3.7&amp;sourceID=14","3.7")</f>
        <v>3.7</v>
      </c>
      <c r="G5751" s="4" t="str">
        <f>HYPERLINK("http://141.218.60.56/~jnz1568/getInfo.php?workbook=12_04.xlsx&amp;sheet=U0&amp;row=5751&amp;col=7&amp;number=0.0014&amp;sourceID=14","0.0014")</f>
        <v>0.0014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HYPERLINK("http://141.218.60.56/~jnz1568/getInfo.php?workbook=12_04.xlsx&amp;sheet=U0&amp;row=5752&amp;col=6&amp;number=3.8&amp;sourceID=14","3.8")</f>
        <v>3.8</v>
      </c>
      <c r="G5752" s="4" t="str">
        <f>HYPERLINK("http://141.218.60.56/~jnz1568/getInfo.php?workbook=12_04.xlsx&amp;sheet=U0&amp;row=5752&amp;col=7&amp;number=0.0014&amp;sourceID=14","0.0014")</f>
        <v>0.0014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HYPERLINK("http://141.218.60.56/~jnz1568/getInfo.php?workbook=12_04.xlsx&amp;sheet=U0&amp;row=5753&amp;col=6&amp;number=3.9&amp;sourceID=14","3.9")</f>
        <v>3.9</v>
      </c>
      <c r="G5753" s="4" t="str">
        <f>HYPERLINK("http://141.218.60.56/~jnz1568/getInfo.php?workbook=12_04.xlsx&amp;sheet=U0&amp;row=5753&amp;col=7&amp;number=0.0014&amp;sourceID=14","0.0014")</f>
        <v>0.0014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HYPERLINK("http://141.218.60.56/~jnz1568/getInfo.php?workbook=12_04.xlsx&amp;sheet=U0&amp;row=5754&amp;col=6&amp;number=4&amp;sourceID=14","4")</f>
        <v>4</v>
      </c>
      <c r="G5754" s="4" t="str">
        <f>HYPERLINK("http://141.218.60.56/~jnz1568/getInfo.php?workbook=12_04.xlsx&amp;sheet=U0&amp;row=5754&amp;col=7&amp;number=0.0014&amp;sourceID=14","0.0014")</f>
        <v>0.0014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HYPERLINK("http://141.218.60.56/~jnz1568/getInfo.php?workbook=12_04.xlsx&amp;sheet=U0&amp;row=5755&amp;col=6&amp;number=4.1&amp;sourceID=14","4.1")</f>
        <v>4.1</v>
      </c>
      <c r="G5755" s="4" t="str">
        <f>HYPERLINK("http://141.218.60.56/~jnz1568/getInfo.php?workbook=12_04.xlsx&amp;sheet=U0&amp;row=5755&amp;col=7&amp;number=0.0014&amp;sourceID=14","0.0014")</f>
        <v>0.0014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HYPERLINK("http://141.218.60.56/~jnz1568/getInfo.php?workbook=12_04.xlsx&amp;sheet=U0&amp;row=5756&amp;col=6&amp;number=4.2&amp;sourceID=14","4.2")</f>
        <v>4.2</v>
      </c>
      <c r="G5756" s="4" t="str">
        <f>HYPERLINK("http://141.218.60.56/~jnz1568/getInfo.php?workbook=12_04.xlsx&amp;sheet=U0&amp;row=5756&amp;col=7&amp;number=0.0014&amp;sourceID=14","0.0014")</f>
        <v>0.0014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HYPERLINK("http://141.218.60.56/~jnz1568/getInfo.php?workbook=12_04.xlsx&amp;sheet=U0&amp;row=5757&amp;col=6&amp;number=4.3&amp;sourceID=14","4.3")</f>
        <v>4.3</v>
      </c>
      <c r="G5757" s="4" t="str">
        <f>HYPERLINK("http://141.218.60.56/~jnz1568/getInfo.php?workbook=12_04.xlsx&amp;sheet=U0&amp;row=5757&amp;col=7&amp;number=0.0014&amp;sourceID=14","0.0014")</f>
        <v>0.0014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HYPERLINK("http://141.218.60.56/~jnz1568/getInfo.php?workbook=12_04.xlsx&amp;sheet=U0&amp;row=5758&amp;col=6&amp;number=4.4&amp;sourceID=14","4.4")</f>
        <v>4.4</v>
      </c>
      <c r="G5758" s="4" t="str">
        <f>HYPERLINK("http://141.218.60.56/~jnz1568/getInfo.php?workbook=12_04.xlsx&amp;sheet=U0&amp;row=5758&amp;col=7&amp;number=0.00139&amp;sourceID=14","0.00139")</f>
        <v>0.00139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HYPERLINK("http://141.218.60.56/~jnz1568/getInfo.php?workbook=12_04.xlsx&amp;sheet=U0&amp;row=5759&amp;col=6&amp;number=4.5&amp;sourceID=14","4.5")</f>
        <v>4.5</v>
      </c>
      <c r="G5759" s="4" t="str">
        <f>HYPERLINK("http://141.218.60.56/~jnz1568/getInfo.php?workbook=12_04.xlsx&amp;sheet=U0&amp;row=5759&amp;col=7&amp;number=0.00139&amp;sourceID=14","0.00139")</f>
        <v>0.00139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HYPERLINK("http://141.218.60.56/~jnz1568/getInfo.php?workbook=12_04.xlsx&amp;sheet=U0&amp;row=5760&amp;col=6&amp;number=4.6&amp;sourceID=14","4.6")</f>
        <v>4.6</v>
      </c>
      <c r="G5760" s="4" t="str">
        <f>HYPERLINK("http://141.218.60.56/~jnz1568/getInfo.php?workbook=12_04.xlsx&amp;sheet=U0&amp;row=5760&amp;col=7&amp;number=0.00139&amp;sourceID=14","0.00139")</f>
        <v>0.00139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HYPERLINK("http://141.218.60.56/~jnz1568/getInfo.php?workbook=12_04.xlsx&amp;sheet=U0&amp;row=5761&amp;col=6&amp;number=4.7&amp;sourceID=14","4.7")</f>
        <v>4.7</v>
      </c>
      <c r="G5761" s="4" t="str">
        <f>HYPERLINK("http://141.218.60.56/~jnz1568/getInfo.php?workbook=12_04.xlsx&amp;sheet=U0&amp;row=5761&amp;col=7&amp;number=0.00139&amp;sourceID=14","0.00139")</f>
        <v>0.00139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HYPERLINK("http://141.218.60.56/~jnz1568/getInfo.php?workbook=12_04.xlsx&amp;sheet=U0&amp;row=5762&amp;col=6&amp;number=4.8&amp;sourceID=14","4.8")</f>
        <v>4.8</v>
      </c>
      <c r="G5762" s="4" t="str">
        <f>HYPERLINK("http://141.218.60.56/~jnz1568/getInfo.php?workbook=12_04.xlsx&amp;sheet=U0&amp;row=5762&amp;col=7&amp;number=0.00139&amp;sourceID=14","0.00139")</f>
        <v>0.00139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HYPERLINK("http://141.218.60.56/~jnz1568/getInfo.php?workbook=12_04.xlsx&amp;sheet=U0&amp;row=5763&amp;col=6&amp;number=4.9&amp;sourceID=14","4.9")</f>
        <v>4.9</v>
      </c>
      <c r="G5763" s="4" t="str">
        <f>HYPERLINK("http://141.218.60.56/~jnz1568/getInfo.php?workbook=12_04.xlsx&amp;sheet=U0&amp;row=5763&amp;col=7&amp;number=0.00138&amp;sourceID=14","0.00138")</f>
        <v>0.00138</v>
      </c>
    </row>
    <row r="5764" spans="1:7">
      <c r="A5764" s="3">
        <v>12</v>
      </c>
      <c r="B5764" s="3">
        <v>4</v>
      </c>
      <c r="C5764" s="3">
        <v>4</v>
      </c>
      <c r="D5764" s="3">
        <v>5</v>
      </c>
      <c r="E5764" s="3">
        <v>1</v>
      </c>
      <c r="F5764" s="4" t="str">
        <f>HYPERLINK("http://141.218.60.56/~jnz1568/getInfo.php?workbook=12_04.xlsx&amp;sheet=U0&amp;row=5764&amp;col=6&amp;number=3&amp;sourceID=14","3")</f>
        <v>3</v>
      </c>
      <c r="G5764" s="4" t="str">
        <f>HYPERLINK("http://141.218.60.56/~jnz1568/getInfo.php?workbook=12_04.xlsx&amp;sheet=U0&amp;row=5764&amp;col=7&amp;number=0.222&amp;sourceID=14","0.222")</f>
        <v>0.222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HYPERLINK("http://141.218.60.56/~jnz1568/getInfo.php?workbook=12_04.xlsx&amp;sheet=U0&amp;row=5765&amp;col=6&amp;number=3.1&amp;sourceID=14","3.1")</f>
        <v>3.1</v>
      </c>
      <c r="G5765" s="4" t="str">
        <f>HYPERLINK("http://141.218.60.56/~jnz1568/getInfo.php?workbook=12_04.xlsx&amp;sheet=U0&amp;row=5765&amp;col=7&amp;number=0.222&amp;sourceID=14","0.222")</f>
        <v>0.222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HYPERLINK("http://141.218.60.56/~jnz1568/getInfo.php?workbook=12_04.xlsx&amp;sheet=U0&amp;row=5766&amp;col=6&amp;number=3.2&amp;sourceID=14","3.2")</f>
        <v>3.2</v>
      </c>
      <c r="G5766" s="4" t="str">
        <f>HYPERLINK("http://141.218.60.56/~jnz1568/getInfo.php?workbook=12_04.xlsx&amp;sheet=U0&amp;row=5766&amp;col=7&amp;number=0.222&amp;sourceID=14","0.222")</f>
        <v>0.222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HYPERLINK("http://141.218.60.56/~jnz1568/getInfo.php?workbook=12_04.xlsx&amp;sheet=U0&amp;row=5767&amp;col=6&amp;number=3.3&amp;sourceID=14","3.3")</f>
        <v>3.3</v>
      </c>
      <c r="G5767" s="4" t="str">
        <f>HYPERLINK("http://141.218.60.56/~jnz1568/getInfo.php?workbook=12_04.xlsx&amp;sheet=U0&amp;row=5767&amp;col=7&amp;number=0.222&amp;sourceID=14","0.222")</f>
        <v>0.222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HYPERLINK("http://141.218.60.56/~jnz1568/getInfo.php?workbook=12_04.xlsx&amp;sheet=U0&amp;row=5768&amp;col=6&amp;number=3.4&amp;sourceID=14","3.4")</f>
        <v>3.4</v>
      </c>
      <c r="G5768" s="4" t="str">
        <f>HYPERLINK("http://141.218.60.56/~jnz1568/getInfo.php?workbook=12_04.xlsx&amp;sheet=U0&amp;row=5768&amp;col=7&amp;number=0.222&amp;sourceID=14","0.222")</f>
        <v>0.222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HYPERLINK("http://141.218.60.56/~jnz1568/getInfo.php?workbook=12_04.xlsx&amp;sheet=U0&amp;row=5769&amp;col=6&amp;number=3.5&amp;sourceID=14","3.5")</f>
        <v>3.5</v>
      </c>
      <c r="G5769" s="4" t="str">
        <f>HYPERLINK("http://141.218.60.56/~jnz1568/getInfo.php?workbook=12_04.xlsx&amp;sheet=U0&amp;row=5769&amp;col=7&amp;number=0.222&amp;sourceID=14","0.222")</f>
        <v>0.222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HYPERLINK("http://141.218.60.56/~jnz1568/getInfo.php?workbook=12_04.xlsx&amp;sheet=U0&amp;row=5770&amp;col=6&amp;number=3.6&amp;sourceID=14","3.6")</f>
        <v>3.6</v>
      </c>
      <c r="G5770" s="4" t="str">
        <f>HYPERLINK("http://141.218.60.56/~jnz1568/getInfo.php?workbook=12_04.xlsx&amp;sheet=U0&amp;row=5770&amp;col=7&amp;number=0.222&amp;sourceID=14","0.222")</f>
        <v>0.222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HYPERLINK("http://141.218.60.56/~jnz1568/getInfo.php?workbook=12_04.xlsx&amp;sheet=U0&amp;row=5771&amp;col=6&amp;number=3.7&amp;sourceID=14","3.7")</f>
        <v>3.7</v>
      </c>
      <c r="G5771" s="4" t="str">
        <f>HYPERLINK("http://141.218.60.56/~jnz1568/getInfo.php?workbook=12_04.xlsx&amp;sheet=U0&amp;row=5771&amp;col=7&amp;number=0.222&amp;sourceID=14","0.222")</f>
        <v>0.222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HYPERLINK("http://141.218.60.56/~jnz1568/getInfo.php?workbook=12_04.xlsx&amp;sheet=U0&amp;row=5772&amp;col=6&amp;number=3.8&amp;sourceID=14","3.8")</f>
        <v>3.8</v>
      </c>
      <c r="G5772" s="4" t="str">
        <f>HYPERLINK("http://141.218.60.56/~jnz1568/getInfo.php?workbook=12_04.xlsx&amp;sheet=U0&amp;row=5772&amp;col=7&amp;number=0.222&amp;sourceID=14","0.222")</f>
        <v>0.222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HYPERLINK("http://141.218.60.56/~jnz1568/getInfo.php?workbook=12_04.xlsx&amp;sheet=U0&amp;row=5773&amp;col=6&amp;number=3.9&amp;sourceID=14","3.9")</f>
        <v>3.9</v>
      </c>
      <c r="G5773" s="4" t="str">
        <f>HYPERLINK("http://141.218.60.56/~jnz1568/getInfo.php?workbook=12_04.xlsx&amp;sheet=U0&amp;row=5773&amp;col=7&amp;number=0.221&amp;sourceID=14","0.221")</f>
        <v>0.221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HYPERLINK("http://141.218.60.56/~jnz1568/getInfo.php?workbook=12_04.xlsx&amp;sheet=U0&amp;row=5774&amp;col=6&amp;number=4&amp;sourceID=14","4")</f>
        <v>4</v>
      </c>
      <c r="G5774" s="4" t="str">
        <f>HYPERLINK("http://141.218.60.56/~jnz1568/getInfo.php?workbook=12_04.xlsx&amp;sheet=U0&amp;row=5774&amp;col=7&amp;number=0.221&amp;sourceID=14","0.221")</f>
        <v>0.221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HYPERLINK("http://141.218.60.56/~jnz1568/getInfo.php?workbook=12_04.xlsx&amp;sheet=U0&amp;row=5775&amp;col=6&amp;number=4.1&amp;sourceID=14","4.1")</f>
        <v>4.1</v>
      </c>
      <c r="G5775" s="4" t="str">
        <f>HYPERLINK("http://141.218.60.56/~jnz1568/getInfo.php?workbook=12_04.xlsx&amp;sheet=U0&amp;row=5775&amp;col=7&amp;number=0.221&amp;sourceID=14","0.221")</f>
        <v>0.221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HYPERLINK("http://141.218.60.56/~jnz1568/getInfo.php?workbook=12_04.xlsx&amp;sheet=U0&amp;row=5776&amp;col=6&amp;number=4.2&amp;sourceID=14","4.2")</f>
        <v>4.2</v>
      </c>
      <c r="G5776" s="4" t="str">
        <f>HYPERLINK("http://141.218.60.56/~jnz1568/getInfo.php?workbook=12_04.xlsx&amp;sheet=U0&amp;row=5776&amp;col=7&amp;number=0.221&amp;sourceID=14","0.221")</f>
        <v>0.221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HYPERLINK("http://141.218.60.56/~jnz1568/getInfo.php?workbook=12_04.xlsx&amp;sheet=U0&amp;row=5777&amp;col=6&amp;number=4.3&amp;sourceID=14","4.3")</f>
        <v>4.3</v>
      </c>
      <c r="G5777" s="4" t="str">
        <f>HYPERLINK("http://141.218.60.56/~jnz1568/getInfo.php?workbook=12_04.xlsx&amp;sheet=U0&amp;row=5777&amp;col=7&amp;number=0.221&amp;sourceID=14","0.221")</f>
        <v>0.221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HYPERLINK("http://141.218.60.56/~jnz1568/getInfo.php?workbook=12_04.xlsx&amp;sheet=U0&amp;row=5778&amp;col=6&amp;number=4.4&amp;sourceID=14","4.4")</f>
        <v>4.4</v>
      </c>
      <c r="G5778" s="4" t="str">
        <f>HYPERLINK("http://141.218.60.56/~jnz1568/getInfo.php?workbook=12_04.xlsx&amp;sheet=U0&amp;row=5778&amp;col=7&amp;number=0.221&amp;sourceID=14","0.221")</f>
        <v>0.221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HYPERLINK("http://141.218.60.56/~jnz1568/getInfo.php?workbook=12_04.xlsx&amp;sheet=U0&amp;row=5779&amp;col=6&amp;number=4.5&amp;sourceID=14","4.5")</f>
        <v>4.5</v>
      </c>
      <c r="G5779" s="4" t="str">
        <f>HYPERLINK("http://141.218.60.56/~jnz1568/getInfo.php?workbook=12_04.xlsx&amp;sheet=U0&amp;row=5779&amp;col=7&amp;number=0.221&amp;sourceID=14","0.221")</f>
        <v>0.221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HYPERLINK("http://141.218.60.56/~jnz1568/getInfo.php?workbook=12_04.xlsx&amp;sheet=U0&amp;row=5780&amp;col=6&amp;number=4.6&amp;sourceID=14","4.6")</f>
        <v>4.6</v>
      </c>
      <c r="G5780" s="4" t="str">
        <f>HYPERLINK("http://141.218.60.56/~jnz1568/getInfo.php?workbook=12_04.xlsx&amp;sheet=U0&amp;row=5780&amp;col=7&amp;number=0.221&amp;sourceID=14","0.221")</f>
        <v>0.221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HYPERLINK("http://141.218.60.56/~jnz1568/getInfo.php?workbook=12_04.xlsx&amp;sheet=U0&amp;row=5781&amp;col=6&amp;number=4.7&amp;sourceID=14","4.7")</f>
        <v>4.7</v>
      </c>
      <c r="G5781" s="4" t="str">
        <f>HYPERLINK("http://141.218.60.56/~jnz1568/getInfo.php?workbook=12_04.xlsx&amp;sheet=U0&amp;row=5781&amp;col=7&amp;number=0.22&amp;sourceID=14","0.22")</f>
        <v>0.22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HYPERLINK("http://141.218.60.56/~jnz1568/getInfo.php?workbook=12_04.xlsx&amp;sheet=U0&amp;row=5782&amp;col=6&amp;number=4.8&amp;sourceID=14","4.8")</f>
        <v>4.8</v>
      </c>
      <c r="G5782" s="4" t="str">
        <f>HYPERLINK("http://141.218.60.56/~jnz1568/getInfo.php?workbook=12_04.xlsx&amp;sheet=U0&amp;row=5782&amp;col=7&amp;number=0.22&amp;sourceID=14","0.22")</f>
        <v>0.22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HYPERLINK("http://141.218.60.56/~jnz1568/getInfo.php?workbook=12_04.xlsx&amp;sheet=U0&amp;row=5783&amp;col=6&amp;number=4.9&amp;sourceID=14","4.9")</f>
        <v>4.9</v>
      </c>
      <c r="G5783" s="4" t="str">
        <f>HYPERLINK("http://141.218.60.56/~jnz1568/getInfo.php?workbook=12_04.xlsx&amp;sheet=U0&amp;row=5783&amp;col=7&amp;number=0.219&amp;sourceID=14","0.219")</f>
        <v>0.219</v>
      </c>
    </row>
    <row r="5784" spans="1:7">
      <c r="A5784" s="3">
        <v>12</v>
      </c>
      <c r="B5784" s="3">
        <v>4</v>
      </c>
      <c r="C5784" s="3">
        <v>4</v>
      </c>
      <c r="D5784" s="3">
        <v>6</v>
      </c>
      <c r="E5784" s="3">
        <v>1</v>
      </c>
      <c r="F5784" s="4" t="str">
        <f>HYPERLINK("http://141.218.60.56/~jnz1568/getInfo.php?workbook=12_04.xlsx&amp;sheet=U0&amp;row=5784&amp;col=6&amp;number=3&amp;sourceID=14","3")</f>
        <v>3</v>
      </c>
      <c r="G5784" s="4" t="str">
        <f>HYPERLINK("http://141.218.60.56/~jnz1568/getInfo.php?workbook=12_04.xlsx&amp;sheet=U0&amp;row=5784&amp;col=7&amp;number=0.0329&amp;sourceID=14","0.0329")</f>
        <v>0.0329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HYPERLINK("http://141.218.60.56/~jnz1568/getInfo.php?workbook=12_04.xlsx&amp;sheet=U0&amp;row=5785&amp;col=6&amp;number=3.1&amp;sourceID=14","3.1")</f>
        <v>3.1</v>
      </c>
      <c r="G5785" s="4" t="str">
        <f>HYPERLINK("http://141.218.60.56/~jnz1568/getInfo.php?workbook=12_04.xlsx&amp;sheet=U0&amp;row=5785&amp;col=7&amp;number=0.0328&amp;sourceID=14","0.0328")</f>
        <v>0.0328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HYPERLINK("http://141.218.60.56/~jnz1568/getInfo.php?workbook=12_04.xlsx&amp;sheet=U0&amp;row=5786&amp;col=6&amp;number=3.2&amp;sourceID=14","3.2")</f>
        <v>3.2</v>
      </c>
      <c r="G5786" s="4" t="str">
        <f>HYPERLINK("http://141.218.60.56/~jnz1568/getInfo.php?workbook=12_04.xlsx&amp;sheet=U0&amp;row=5786&amp;col=7&amp;number=0.0327&amp;sourceID=14","0.0327")</f>
        <v>0.0327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HYPERLINK("http://141.218.60.56/~jnz1568/getInfo.php?workbook=12_04.xlsx&amp;sheet=U0&amp;row=5787&amp;col=6&amp;number=3.3&amp;sourceID=14","3.3")</f>
        <v>3.3</v>
      </c>
      <c r="G5787" s="4" t="str">
        <f>HYPERLINK("http://141.218.60.56/~jnz1568/getInfo.php?workbook=12_04.xlsx&amp;sheet=U0&amp;row=5787&amp;col=7&amp;number=0.0326&amp;sourceID=14","0.0326")</f>
        <v>0.0326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HYPERLINK("http://141.218.60.56/~jnz1568/getInfo.php?workbook=12_04.xlsx&amp;sheet=U0&amp;row=5788&amp;col=6&amp;number=3.4&amp;sourceID=14","3.4")</f>
        <v>3.4</v>
      </c>
      <c r="G5788" s="4" t="str">
        <f>HYPERLINK("http://141.218.60.56/~jnz1568/getInfo.php?workbook=12_04.xlsx&amp;sheet=U0&amp;row=5788&amp;col=7&amp;number=0.0325&amp;sourceID=14","0.0325")</f>
        <v>0.0325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HYPERLINK("http://141.218.60.56/~jnz1568/getInfo.php?workbook=12_04.xlsx&amp;sheet=U0&amp;row=5789&amp;col=6&amp;number=3.5&amp;sourceID=14","3.5")</f>
        <v>3.5</v>
      </c>
      <c r="G5789" s="4" t="str">
        <f>HYPERLINK("http://141.218.60.56/~jnz1568/getInfo.php?workbook=12_04.xlsx&amp;sheet=U0&amp;row=5789&amp;col=7&amp;number=0.0323&amp;sourceID=14","0.0323")</f>
        <v>0.0323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HYPERLINK("http://141.218.60.56/~jnz1568/getInfo.php?workbook=12_04.xlsx&amp;sheet=U0&amp;row=5790&amp;col=6&amp;number=3.6&amp;sourceID=14","3.6")</f>
        <v>3.6</v>
      </c>
      <c r="G5790" s="4" t="str">
        <f>HYPERLINK("http://141.218.60.56/~jnz1568/getInfo.php?workbook=12_04.xlsx&amp;sheet=U0&amp;row=5790&amp;col=7&amp;number=0.032&amp;sourceID=14","0.032")</f>
        <v>0.032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HYPERLINK("http://141.218.60.56/~jnz1568/getInfo.php?workbook=12_04.xlsx&amp;sheet=U0&amp;row=5791&amp;col=6&amp;number=3.7&amp;sourceID=14","3.7")</f>
        <v>3.7</v>
      </c>
      <c r="G5791" s="4" t="str">
        <f>HYPERLINK("http://141.218.60.56/~jnz1568/getInfo.php?workbook=12_04.xlsx&amp;sheet=U0&amp;row=5791&amp;col=7&amp;number=0.0317&amp;sourceID=14","0.0317")</f>
        <v>0.0317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HYPERLINK("http://141.218.60.56/~jnz1568/getInfo.php?workbook=12_04.xlsx&amp;sheet=U0&amp;row=5792&amp;col=6&amp;number=3.8&amp;sourceID=14","3.8")</f>
        <v>3.8</v>
      </c>
      <c r="G5792" s="4" t="str">
        <f>HYPERLINK("http://141.218.60.56/~jnz1568/getInfo.php?workbook=12_04.xlsx&amp;sheet=U0&amp;row=5792&amp;col=7&amp;number=0.0314&amp;sourceID=14","0.0314")</f>
        <v>0.0314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HYPERLINK("http://141.218.60.56/~jnz1568/getInfo.php?workbook=12_04.xlsx&amp;sheet=U0&amp;row=5793&amp;col=6&amp;number=3.9&amp;sourceID=14","3.9")</f>
        <v>3.9</v>
      </c>
      <c r="G5793" s="4" t="str">
        <f>HYPERLINK("http://141.218.60.56/~jnz1568/getInfo.php?workbook=12_04.xlsx&amp;sheet=U0&amp;row=5793&amp;col=7&amp;number=0.0309&amp;sourceID=14","0.0309")</f>
        <v>0.0309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HYPERLINK("http://141.218.60.56/~jnz1568/getInfo.php?workbook=12_04.xlsx&amp;sheet=U0&amp;row=5794&amp;col=6&amp;number=4&amp;sourceID=14","4")</f>
        <v>4</v>
      </c>
      <c r="G5794" s="4" t="str">
        <f>HYPERLINK("http://141.218.60.56/~jnz1568/getInfo.php?workbook=12_04.xlsx&amp;sheet=U0&amp;row=5794&amp;col=7&amp;number=0.0303&amp;sourceID=14","0.0303")</f>
        <v>0.0303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HYPERLINK("http://141.218.60.56/~jnz1568/getInfo.php?workbook=12_04.xlsx&amp;sheet=U0&amp;row=5795&amp;col=6&amp;number=4.1&amp;sourceID=14","4.1")</f>
        <v>4.1</v>
      </c>
      <c r="G5795" s="4" t="str">
        <f>HYPERLINK("http://141.218.60.56/~jnz1568/getInfo.php?workbook=12_04.xlsx&amp;sheet=U0&amp;row=5795&amp;col=7&amp;number=0.0296&amp;sourceID=14","0.0296")</f>
        <v>0.0296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HYPERLINK("http://141.218.60.56/~jnz1568/getInfo.php?workbook=12_04.xlsx&amp;sheet=U0&amp;row=5796&amp;col=6&amp;number=4.2&amp;sourceID=14","4.2")</f>
        <v>4.2</v>
      </c>
      <c r="G5796" s="4" t="str">
        <f>HYPERLINK("http://141.218.60.56/~jnz1568/getInfo.php?workbook=12_04.xlsx&amp;sheet=U0&amp;row=5796&amp;col=7&amp;number=0.0287&amp;sourceID=14","0.0287")</f>
        <v>0.0287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HYPERLINK("http://141.218.60.56/~jnz1568/getInfo.php?workbook=12_04.xlsx&amp;sheet=U0&amp;row=5797&amp;col=6&amp;number=4.3&amp;sourceID=14","4.3")</f>
        <v>4.3</v>
      </c>
      <c r="G5797" s="4" t="str">
        <f>HYPERLINK("http://141.218.60.56/~jnz1568/getInfo.php?workbook=12_04.xlsx&amp;sheet=U0&amp;row=5797&amp;col=7&amp;number=0.0275&amp;sourceID=14","0.0275")</f>
        <v>0.0275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HYPERLINK("http://141.218.60.56/~jnz1568/getInfo.php?workbook=12_04.xlsx&amp;sheet=U0&amp;row=5798&amp;col=6&amp;number=4.4&amp;sourceID=14","4.4")</f>
        <v>4.4</v>
      </c>
      <c r="G5798" s="4" t="str">
        <f>HYPERLINK("http://141.218.60.56/~jnz1568/getInfo.php?workbook=12_04.xlsx&amp;sheet=U0&amp;row=5798&amp;col=7&amp;number=0.0262&amp;sourceID=14","0.0262")</f>
        <v>0.0262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HYPERLINK("http://141.218.60.56/~jnz1568/getInfo.php?workbook=12_04.xlsx&amp;sheet=U0&amp;row=5799&amp;col=6&amp;number=4.5&amp;sourceID=14","4.5")</f>
        <v>4.5</v>
      </c>
      <c r="G5799" s="4" t="str">
        <f>HYPERLINK("http://141.218.60.56/~jnz1568/getInfo.php?workbook=12_04.xlsx&amp;sheet=U0&amp;row=5799&amp;col=7&amp;number=0.0245&amp;sourceID=14","0.0245")</f>
        <v>0.0245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HYPERLINK("http://141.218.60.56/~jnz1568/getInfo.php?workbook=12_04.xlsx&amp;sheet=U0&amp;row=5800&amp;col=6&amp;number=4.6&amp;sourceID=14","4.6")</f>
        <v>4.6</v>
      </c>
      <c r="G5800" s="4" t="str">
        <f>HYPERLINK("http://141.218.60.56/~jnz1568/getInfo.php?workbook=12_04.xlsx&amp;sheet=U0&amp;row=5800&amp;col=7&amp;number=0.0225&amp;sourceID=14","0.0225")</f>
        <v>0.0225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HYPERLINK("http://141.218.60.56/~jnz1568/getInfo.php?workbook=12_04.xlsx&amp;sheet=U0&amp;row=5801&amp;col=6&amp;number=4.7&amp;sourceID=14","4.7")</f>
        <v>4.7</v>
      </c>
      <c r="G5801" s="4" t="str">
        <f>HYPERLINK("http://141.218.60.56/~jnz1568/getInfo.php?workbook=12_04.xlsx&amp;sheet=U0&amp;row=5801&amp;col=7&amp;number=0.0201&amp;sourceID=14","0.0201")</f>
        <v>0.0201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HYPERLINK("http://141.218.60.56/~jnz1568/getInfo.php?workbook=12_04.xlsx&amp;sheet=U0&amp;row=5802&amp;col=6&amp;number=4.8&amp;sourceID=14","4.8")</f>
        <v>4.8</v>
      </c>
      <c r="G5802" s="4" t="str">
        <f>HYPERLINK("http://141.218.60.56/~jnz1568/getInfo.php?workbook=12_04.xlsx&amp;sheet=U0&amp;row=5802&amp;col=7&amp;number=0.0175&amp;sourceID=14","0.0175")</f>
        <v>0.0175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HYPERLINK("http://141.218.60.56/~jnz1568/getInfo.php?workbook=12_04.xlsx&amp;sheet=U0&amp;row=5803&amp;col=6&amp;number=4.9&amp;sourceID=14","4.9")</f>
        <v>4.9</v>
      </c>
      <c r="G5803" s="4" t="str">
        <f>HYPERLINK("http://141.218.60.56/~jnz1568/getInfo.php?workbook=12_04.xlsx&amp;sheet=U0&amp;row=5803&amp;col=7&amp;number=0.0148&amp;sourceID=14","0.0148")</f>
        <v>0.0148</v>
      </c>
    </row>
    <row r="5804" spans="1:7">
      <c r="A5804" s="3">
        <v>12</v>
      </c>
      <c r="B5804" s="3">
        <v>4</v>
      </c>
      <c r="C5804" s="3">
        <v>4</v>
      </c>
      <c r="D5804" s="3">
        <v>7</v>
      </c>
      <c r="E5804" s="3">
        <v>1</v>
      </c>
      <c r="F5804" s="4" t="str">
        <f>HYPERLINK("http://141.218.60.56/~jnz1568/getInfo.php?workbook=12_04.xlsx&amp;sheet=U0&amp;row=5804&amp;col=6&amp;number=3&amp;sourceID=14","3")</f>
        <v>3</v>
      </c>
      <c r="G5804" s="4" t="str">
        <f>HYPERLINK("http://141.218.60.56/~jnz1568/getInfo.php?workbook=12_04.xlsx&amp;sheet=U0&amp;row=5804&amp;col=7&amp;number=0.86&amp;sourceID=14","0.86")</f>
        <v>0.86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HYPERLINK("http://141.218.60.56/~jnz1568/getInfo.php?workbook=12_04.xlsx&amp;sheet=U0&amp;row=5805&amp;col=6&amp;number=3.1&amp;sourceID=14","3.1")</f>
        <v>3.1</v>
      </c>
      <c r="G5805" s="4" t="str">
        <f>HYPERLINK("http://141.218.60.56/~jnz1568/getInfo.php?workbook=12_04.xlsx&amp;sheet=U0&amp;row=5805&amp;col=7&amp;number=0.86&amp;sourceID=14","0.86")</f>
        <v>0.86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HYPERLINK("http://141.218.60.56/~jnz1568/getInfo.php?workbook=12_04.xlsx&amp;sheet=U0&amp;row=5806&amp;col=6&amp;number=3.2&amp;sourceID=14","3.2")</f>
        <v>3.2</v>
      </c>
      <c r="G5806" s="4" t="str">
        <f>HYPERLINK("http://141.218.60.56/~jnz1568/getInfo.php?workbook=12_04.xlsx&amp;sheet=U0&amp;row=5806&amp;col=7&amp;number=0.86&amp;sourceID=14","0.86")</f>
        <v>0.86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HYPERLINK("http://141.218.60.56/~jnz1568/getInfo.php?workbook=12_04.xlsx&amp;sheet=U0&amp;row=5807&amp;col=6&amp;number=3.3&amp;sourceID=14","3.3")</f>
        <v>3.3</v>
      </c>
      <c r="G5807" s="4" t="str">
        <f>HYPERLINK("http://141.218.60.56/~jnz1568/getInfo.php?workbook=12_04.xlsx&amp;sheet=U0&amp;row=5807&amp;col=7&amp;number=0.86&amp;sourceID=14","0.86")</f>
        <v>0.86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HYPERLINK("http://141.218.60.56/~jnz1568/getInfo.php?workbook=12_04.xlsx&amp;sheet=U0&amp;row=5808&amp;col=6&amp;number=3.4&amp;sourceID=14","3.4")</f>
        <v>3.4</v>
      </c>
      <c r="G5808" s="4" t="str">
        <f>HYPERLINK("http://141.218.60.56/~jnz1568/getInfo.php?workbook=12_04.xlsx&amp;sheet=U0&amp;row=5808&amp;col=7&amp;number=0.859&amp;sourceID=14","0.859")</f>
        <v>0.859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HYPERLINK("http://141.218.60.56/~jnz1568/getInfo.php?workbook=12_04.xlsx&amp;sheet=U0&amp;row=5809&amp;col=6&amp;number=3.5&amp;sourceID=14","3.5")</f>
        <v>3.5</v>
      </c>
      <c r="G5809" s="4" t="str">
        <f>HYPERLINK("http://141.218.60.56/~jnz1568/getInfo.php?workbook=12_04.xlsx&amp;sheet=U0&amp;row=5809&amp;col=7&amp;number=0.859&amp;sourceID=14","0.859")</f>
        <v>0.859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HYPERLINK("http://141.218.60.56/~jnz1568/getInfo.php?workbook=12_04.xlsx&amp;sheet=U0&amp;row=5810&amp;col=6&amp;number=3.6&amp;sourceID=14","3.6")</f>
        <v>3.6</v>
      </c>
      <c r="G5810" s="4" t="str">
        <f>HYPERLINK("http://141.218.60.56/~jnz1568/getInfo.php?workbook=12_04.xlsx&amp;sheet=U0&amp;row=5810&amp;col=7&amp;number=0.859&amp;sourceID=14","0.859")</f>
        <v>0.859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HYPERLINK("http://141.218.60.56/~jnz1568/getInfo.php?workbook=12_04.xlsx&amp;sheet=U0&amp;row=5811&amp;col=6&amp;number=3.7&amp;sourceID=14","3.7")</f>
        <v>3.7</v>
      </c>
      <c r="G5811" s="4" t="str">
        <f>HYPERLINK("http://141.218.60.56/~jnz1568/getInfo.php?workbook=12_04.xlsx&amp;sheet=U0&amp;row=5811&amp;col=7&amp;number=0.858&amp;sourceID=14","0.858")</f>
        <v>0.858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HYPERLINK("http://141.218.60.56/~jnz1568/getInfo.php?workbook=12_04.xlsx&amp;sheet=U0&amp;row=5812&amp;col=6&amp;number=3.8&amp;sourceID=14","3.8")</f>
        <v>3.8</v>
      </c>
      <c r="G5812" s="4" t="str">
        <f>HYPERLINK("http://141.218.60.56/~jnz1568/getInfo.php?workbook=12_04.xlsx&amp;sheet=U0&amp;row=5812&amp;col=7&amp;number=0.858&amp;sourceID=14","0.858")</f>
        <v>0.858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HYPERLINK("http://141.218.60.56/~jnz1568/getInfo.php?workbook=12_04.xlsx&amp;sheet=U0&amp;row=5813&amp;col=6&amp;number=3.9&amp;sourceID=14","3.9")</f>
        <v>3.9</v>
      </c>
      <c r="G5813" s="4" t="str">
        <f>HYPERLINK("http://141.218.60.56/~jnz1568/getInfo.php?workbook=12_04.xlsx&amp;sheet=U0&amp;row=5813&amp;col=7&amp;number=0.857&amp;sourceID=14","0.857")</f>
        <v>0.857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HYPERLINK("http://141.218.60.56/~jnz1568/getInfo.php?workbook=12_04.xlsx&amp;sheet=U0&amp;row=5814&amp;col=6&amp;number=4&amp;sourceID=14","4")</f>
        <v>4</v>
      </c>
      <c r="G5814" s="4" t="str">
        <f>HYPERLINK("http://141.218.60.56/~jnz1568/getInfo.php?workbook=12_04.xlsx&amp;sheet=U0&amp;row=5814&amp;col=7&amp;number=0.857&amp;sourceID=14","0.857")</f>
        <v>0.857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HYPERLINK("http://141.218.60.56/~jnz1568/getInfo.php?workbook=12_04.xlsx&amp;sheet=U0&amp;row=5815&amp;col=6&amp;number=4.1&amp;sourceID=14","4.1")</f>
        <v>4.1</v>
      </c>
      <c r="G5815" s="4" t="str">
        <f>HYPERLINK("http://141.218.60.56/~jnz1568/getInfo.php?workbook=12_04.xlsx&amp;sheet=U0&amp;row=5815&amp;col=7&amp;number=0.856&amp;sourceID=14","0.856")</f>
        <v>0.856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HYPERLINK("http://141.218.60.56/~jnz1568/getInfo.php?workbook=12_04.xlsx&amp;sheet=U0&amp;row=5816&amp;col=6&amp;number=4.2&amp;sourceID=14","4.2")</f>
        <v>4.2</v>
      </c>
      <c r="G5816" s="4" t="str">
        <f>HYPERLINK("http://141.218.60.56/~jnz1568/getInfo.php?workbook=12_04.xlsx&amp;sheet=U0&amp;row=5816&amp;col=7&amp;number=0.855&amp;sourceID=14","0.855")</f>
        <v>0.855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HYPERLINK("http://141.218.60.56/~jnz1568/getInfo.php?workbook=12_04.xlsx&amp;sheet=U0&amp;row=5817&amp;col=6&amp;number=4.3&amp;sourceID=14","4.3")</f>
        <v>4.3</v>
      </c>
      <c r="G5817" s="4" t="str">
        <f>HYPERLINK("http://141.218.60.56/~jnz1568/getInfo.php?workbook=12_04.xlsx&amp;sheet=U0&amp;row=5817&amp;col=7&amp;number=0.854&amp;sourceID=14","0.854")</f>
        <v>0.854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HYPERLINK("http://141.218.60.56/~jnz1568/getInfo.php?workbook=12_04.xlsx&amp;sheet=U0&amp;row=5818&amp;col=6&amp;number=4.4&amp;sourceID=14","4.4")</f>
        <v>4.4</v>
      </c>
      <c r="G5818" s="4" t="str">
        <f>HYPERLINK("http://141.218.60.56/~jnz1568/getInfo.php?workbook=12_04.xlsx&amp;sheet=U0&amp;row=5818&amp;col=7&amp;number=0.853&amp;sourceID=14","0.853")</f>
        <v>0.853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HYPERLINK("http://141.218.60.56/~jnz1568/getInfo.php?workbook=12_04.xlsx&amp;sheet=U0&amp;row=5819&amp;col=6&amp;number=4.5&amp;sourceID=14","4.5")</f>
        <v>4.5</v>
      </c>
      <c r="G5819" s="4" t="str">
        <f>HYPERLINK("http://141.218.60.56/~jnz1568/getInfo.php?workbook=12_04.xlsx&amp;sheet=U0&amp;row=5819&amp;col=7&amp;number=0.851&amp;sourceID=14","0.851")</f>
        <v>0.851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HYPERLINK("http://141.218.60.56/~jnz1568/getInfo.php?workbook=12_04.xlsx&amp;sheet=U0&amp;row=5820&amp;col=6&amp;number=4.6&amp;sourceID=14","4.6")</f>
        <v>4.6</v>
      </c>
      <c r="G5820" s="4" t="str">
        <f>HYPERLINK("http://141.218.60.56/~jnz1568/getInfo.php?workbook=12_04.xlsx&amp;sheet=U0&amp;row=5820&amp;col=7&amp;number=0.85&amp;sourceID=14","0.85")</f>
        <v>0.85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HYPERLINK("http://141.218.60.56/~jnz1568/getInfo.php?workbook=12_04.xlsx&amp;sheet=U0&amp;row=5821&amp;col=6&amp;number=4.7&amp;sourceID=14","4.7")</f>
        <v>4.7</v>
      </c>
      <c r="G5821" s="4" t="str">
        <f>HYPERLINK("http://141.218.60.56/~jnz1568/getInfo.php?workbook=12_04.xlsx&amp;sheet=U0&amp;row=5821&amp;col=7&amp;number=0.849&amp;sourceID=14","0.849")</f>
        <v>0.849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HYPERLINK("http://141.218.60.56/~jnz1568/getInfo.php?workbook=12_04.xlsx&amp;sheet=U0&amp;row=5822&amp;col=6&amp;number=4.8&amp;sourceID=14","4.8")</f>
        <v>4.8</v>
      </c>
      <c r="G5822" s="4" t="str">
        <f>HYPERLINK("http://141.218.60.56/~jnz1568/getInfo.php?workbook=12_04.xlsx&amp;sheet=U0&amp;row=5822&amp;col=7&amp;number=0.849&amp;sourceID=14","0.849")</f>
        <v>0.849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HYPERLINK("http://141.218.60.56/~jnz1568/getInfo.php?workbook=12_04.xlsx&amp;sheet=U0&amp;row=5823&amp;col=6&amp;number=4.9&amp;sourceID=14","4.9")</f>
        <v>4.9</v>
      </c>
      <c r="G5823" s="4" t="str">
        <f>HYPERLINK("http://141.218.60.56/~jnz1568/getInfo.php?workbook=12_04.xlsx&amp;sheet=U0&amp;row=5823&amp;col=7&amp;number=0.85&amp;sourceID=14","0.85")</f>
        <v>0.85</v>
      </c>
    </row>
    <row r="5824" spans="1:7">
      <c r="A5824" s="3">
        <v>12</v>
      </c>
      <c r="B5824" s="3">
        <v>4</v>
      </c>
      <c r="C5824" s="3">
        <v>4</v>
      </c>
      <c r="D5824" s="3">
        <v>8</v>
      </c>
      <c r="E5824" s="3">
        <v>1</v>
      </c>
      <c r="F5824" s="4" t="str">
        <f>HYPERLINK("http://141.218.60.56/~jnz1568/getInfo.php?workbook=12_04.xlsx&amp;sheet=U0&amp;row=5824&amp;col=6&amp;number=3&amp;sourceID=14","3")</f>
        <v>3</v>
      </c>
      <c r="G5824" s="4" t="str">
        <f>HYPERLINK("http://141.218.60.56/~jnz1568/getInfo.php?workbook=12_04.xlsx&amp;sheet=U0&amp;row=5824&amp;col=7&amp;number=2.46&amp;sourceID=14","2.46")</f>
        <v>2.46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HYPERLINK("http://141.218.60.56/~jnz1568/getInfo.php?workbook=12_04.xlsx&amp;sheet=U0&amp;row=5825&amp;col=6&amp;number=3.1&amp;sourceID=14","3.1")</f>
        <v>3.1</v>
      </c>
      <c r="G5825" s="4" t="str">
        <f>HYPERLINK("http://141.218.60.56/~jnz1568/getInfo.php?workbook=12_04.xlsx&amp;sheet=U0&amp;row=5825&amp;col=7&amp;number=2.46&amp;sourceID=14","2.46")</f>
        <v>2.46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HYPERLINK("http://141.218.60.56/~jnz1568/getInfo.php?workbook=12_04.xlsx&amp;sheet=U0&amp;row=5826&amp;col=6&amp;number=3.2&amp;sourceID=14","3.2")</f>
        <v>3.2</v>
      </c>
      <c r="G5826" s="4" t="str">
        <f>HYPERLINK("http://141.218.60.56/~jnz1568/getInfo.php?workbook=12_04.xlsx&amp;sheet=U0&amp;row=5826&amp;col=7&amp;number=2.46&amp;sourceID=14","2.46")</f>
        <v>2.46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HYPERLINK("http://141.218.60.56/~jnz1568/getInfo.php?workbook=12_04.xlsx&amp;sheet=U0&amp;row=5827&amp;col=6&amp;number=3.3&amp;sourceID=14","3.3")</f>
        <v>3.3</v>
      </c>
      <c r="G5827" s="4" t="str">
        <f>HYPERLINK("http://141.218.60.56/~jnz1568/getInfo.php?workbook=12_04.xlsx&amp;sheet=U0&amp;row=5827&amp;col=7&amp;number=2.46&amp;sourceID=14","2.46")</f>
        <v>2.46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HYPERLINK("http://141.218.60.56/~jnz1568/getInfo.php?workbook=12_04.xlsx&amp;sheet=U0&amp;row=5828&amp;col=6&amp;number=3.4&amp;sourceID=14","3.4")</f>
        <v>3.4</v>
      </c>
      <c r="G5828" s="4" t="str">
        <f>HYPERLINK("http://141.218.60.56/~jnz1568/getInfo.php?workbook=12_04.xlsx&amp;sheet=U0&amp;row=5828&amp;col=7&amp;number=2.46&amp;sourceID=14","2.46")</f>
        <v>2.46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HYPERLINK("http://141.218.60.56/~jnz1568/getInfo.php?workbook=12_04.xlsx&amp;sheet=U0&amp;row=5829&amp;col=6&amp;number=3.5&amp;sourceID=14","3.5")</f>
        <v>3.5</v>
      </c>
      <c r="G5829" s="4" t="str">
        <f>HYPERLINK("http://141.218.60.56/~jnz1568/getInfo.php?workbook=12_04.xlsx&amp;sheet=U0&amp;row=5829&amp;col=7&amp;number=2.46&amp;sourceID=14","2.46")</f>
        <v>2.46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HYPERLINK("http://141.218.60.56/~jnz1568/getInfo.php?workbook=12_04.xlsx&amp;sheet=U0&amp;row=5830&amp;col=6&amp;number=3.6&amp;sourceID=14","3.6")</f>
        <v>3.6</v>
      </c>
      <c r="G5830" s="4" t="str">
        <f>HYPERLINK("http://141.218.60.56/~jnz1568/getInfo.php?workbook=12_04.xlsx&amp;sheet=U0&amp;row=5830&amp;col=7&amp;number=2.46&amp;sourceID=14","2.46")</f>
        <v>2.46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HYPERLINK("http://141.218.60.56/~jnz1568/getInfo.php?workbook=12_04.xlsx&amp;sheet=U0&amp;row=5831&amp;col=6&amp;number=3.7&amp;sourceID=14","3.7")</f>
        <v>3.7</v>
      </c>
      <c r="G5831" s="4" t="str">
        <f>HYPERLINK("http://141.218.60.56/~jnz1568/getInfo.php?workbook=12_04.xlsx&amp;sheet=U0&amp;row=5831&amp;col=7&amp;number=2.46&amp;sourceID=14","2.46")</f>
        <v>2.46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HYPERLINK("http://141.218.60.56/~jnz1568/getInfo.php?workbook=12_04.xlsx&amp;sheet=U0&amp;row=5832&amp;col=6&amp;number=3.8&amp;sourceID=14","3.8")</f>
        <v>3.8</v>
      </c>
      <c r="G5832" s="4" t="str">
        <f>HYPERLINK("http://141.218.60.56/~jnz1568/getInfo.php?workbook=12_04.xlsx&amp;sheet=U0&amp;row=5832&amp;col=7&amp;number=2.46&amp;sourceID=14","2.46")</f>
        <v>2.46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HYPERLINK("http://141.218.60.56/~jnz1568/getInfo.php?workbook=12_04.xlsx&amp;sheet=U0&amp;row=5833&amp;col=6&amp;number=3.9&amp;sourceID=14","3.9")</f>
        <v>3.9</v>
      </c>
      <c r="G5833" s="4" t="str">
        <f>HYPERLINK("http://141.218.60.56/~jnz1568/getInfo.php?workbook=12_04.xlsx&amp;sheet=U0&amp;row=5833&amp;col=7&amp;number=2.46&amp;sourceID=14","2.46")</f>
        <v>2.46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HYPERLINK("http://141.218.60.56/~jnz1568/getInfo.php?workbook=12_04.xlsx&amp;sheet=U0&amp;row=5834&amp;col=6&amp;number=4&amp;sourceID=14","4")</f>
        <v>4</v>
      </c>
      <c r="G5834" s="4" t="str">
        <f>HYPERLINK("http://141.218.60.56/~jnz1568/getInfo.php?workbook=12_04.xlsx&amp;sheet=U0&amp;row=5834&amp;col=7&amp;number=2.47&amp;sourceID=14","2.47")</f>
        <v>2.47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HYPERLINK("http://141.218.60.56/~jnz1568/getInfo.php?workbook=12_04.xlsx&amp;sheet=U0&amp;row=5835&amp;col=6&amp;number=4.1&amp;sourceID=14","4.1")</f>
        <v>4.1</v>
      </c>
      <c r="G5835" s="4" t="str">
        <f>HYPERLINK("http://141.218.60.56/~jnz1568/getInfo.php?workbook=12_04.xlsx&amp;sheet=U0&amp;row=5835&amp;col=7&amp;number=2.47&amp;sourceID=14","2.47")</f>
        <v>2.47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HYPERLINK("http://141.218.60.56/~jnz1568/getInfo.php?workbook=12_04.xlsx&amp;sheet=U0&amp;row=5836&amp;col=6&amp;number=4.2&amp;sourceID=14","4.2")</f>
        <v>4.2</v>
      </c>
      <c r="G5836" s="4" t="str">
        <f>HYPERLINK("http://141.218.60.56/~jnz1568/getInfo.php?workbook=12_04.xlsx&amp;sheet=U0&amp;row=5836&amp;col=7&amp;number=2.47&amp;sourceID=14","2.47")</f>
        <v>2.47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HYPERLINK("http://141.218.60.56/~jnz1568/getInfo.php?workbook=12_04.xlsx&amp;sheet=U0&amp;row=5837&amp;col=6&amp;number=4.3&amp;sourceID=14","4.3")</f>
        <v>4.3</v>
      </c>
      <c r="G5837" s="4" t="str">
        <f>HYPERLINK("http://141.218.60.56/~jnz1568/getInfo.php?workbook=12_04.xlsx&amp;sheet=U0&amp;row=5837&amp;col=7&amp;number=2.47&amp;sourceID=14","2.47")</f>
        <v>2.47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HYPERLINK("http://141.218.60.56/~jnz1568/getInfo.php?workbook=12_04.xlsx&amp;sheet=U0&amp;row=5838&amp;col=6&amp;number=4.4&amp;sourceID=14","4.4")</f>
        <v>4.4</v>
      </c>
      <c r="G5838" s="4" t="str">
        <f>HYPERLINK("http://141.218.60.56/~jnz1568/getInfo.php?workbook=12_04.xlsx&amp;sheet=U0&amp;row=5838&amp;col=7&amp;number=2.48&amp;sourceID=14","2.48")</f>
        <v>2.48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HYPERLINK("http://141.218.60.56/~jnz1568/getInfo.php?workbook=12_04.xlsx&amp;sheet=U0&amp;row=5839&amp;col=6&amp;number=4.5&amp;sourceID=14","4.5")</f>
        <v>4.5</v>
      </c>
      <c r="G5839" s="4" t="str">
        <f>HYPERLINK("http://141.218.60.56/~jnz1568/getInfo.php?workbook=12_04.xlsx&amp;sheet=U0&amp;row=5839&amp;col=7&amp;number=2.48&amp;sourceID=14","2.48")</f>
        <v>2.48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HYPERLINK("http://141.218.60.56/~jnz1568/getInfo.php?workbook=12_04.xlsx&amp;sheet=U0&amp;row=5840&amp;col=6&amp;number=4.6&amp;sourceID=14","4.6")</f>
        <v>4.6</v>
      </c>
      <c r="G5840" s="4" t="str">
        <f>HYPERLINK("http://141.218.60.56/~jnz1568/getInfo.php?workbook=12_04.xlsx&amp;sheet=U0&amp;row=5840&amp;col=7&amp;number=2.49&amp;sourceID=14","2.49")</f>
        <v>2.49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HYPERLINK("http://141.218.60.56/~jnz1568/getInfo.php?workbook=12_04.xlsx&amp;sheet=U0&amp;row=5841&amp;col=6&amp;number=4.7&amp;sourceID=14","4.7")</f>
        <v>4.7</v>
      </c>
      <c r="G5841" s="4" t="str">
        <f>HYPERLINK("http://141.218.60.56/~jnz1568/getInfo.php?workbook=12_04.xlsx&amp;sheet=U0&amp;row=5841&amp;col=7&amp;number=2.5&amp;sourceID=14","2.5")</f>
        <v>2.5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HYPERLINK("http://141.218.60.56/~jnz1568/getInfo.php?workbook=12_04.xlsx&amp;sheet=U0&amp;row=5842&amp;col=6&amp;number=4.8&amp;sourceID=14","4.8")</f>
        <v>4.8</v>
      </c>
      <c r="G5842" s="4" t="str">
        <f>HYPERLINK("http://141.218.60.56/~jnz1568/getInfo.php?workbook=12_04.xlsx&amp;sheet=U0&amp;row=5842&amp;col=7&amp;number=2.51&amp;sourceID=14","2.51")</f>
        <v>2.51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HYPERLINK("http://141.218.60.56/~jnz1568/getInfo.php?workbook=12_04.xlsx&amp;sheet=U0&amp;row=5843&amp;col=6&amp;number=4.9&amp;sourceID=14","4.9")</f>
        <v>4.9</v>
      </c>
      <c r="G5843" s="4" t="str">
        <f>HYPERLINK("http://141.218.60.56/~jnz1568/getInfo.php?workbook=12_04.xlsx&amp;sheet=U0&amp;row=5843&amp;col=7&amp;number=2.52&amp;sourceID=14","2.52")</f>
        <v>2.52</v>
      </c>
    </row>
    <row r="5844" spans="1:7">
      <c r="A5844" s="3">
        <v>12</v>
      </c>
      <c r="B5844" s="3">
        <v>4</v>
      </c>
      <c r="C5844" s="3">
        <v>4</v>
      </c>
      <c r="D5844" s="3">
        <v>9</v>
      </c>
      <c r="E5844" s="3">
        <v>1</v>
      </c>
      <c r="F5844" s="4" t="str">
        <f>HYPERLINK("http://141.218.60.56/~jnz1568/getInfo.php?workbook=12_04.xlsx&amp;sheet=U0&amp;row=5844&amp;col=6&amp;number=3&amp;sourceID=14","3")</f>
        <v>3</v>
      </c>
      <c r="G5844" s="4" t="str">
        <f>HYPERLINK("http://141.218.60.56/~jnz1568/getInfo.php?workbook=12_04.xlsx&amp;sheet=U0&amp;row=5844&amp;col=7&amp;number=0.0779&amp;sourceID=14","0.0779")</f>
        <v>0.0779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HYPERLINK("http://141.218.60.56/~jnz1568/getInfo.php?workbook=12_04.xlsx&amp;sheet=U0&amp;row=5845&amp;col=6&amp;number=3.1&amp;sourceID=14","3.1")</f>
        <v>3.1</v>
      </c>
      <c r="G5845" s="4" t="str">
        <f>HYPERLINK("http://141.218.60.56/~jnz1568/getInfo.php?workbook=12_04.xlsx&amp;sheet=U0&amp;row=5845&amp;col=7&amp;number=0.0779&amp;sourceID=14","0.0779")</f>
        <v>0.0779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HYPERLINK("http://141.218.60.56/~jnz1568/getInfo.php?workbook=12_04.xlsx&amp;sheet=U0&amp;row=5846&amp;col=6&amp;number=3.2&amp;sourceID=14","3.2")</f>
        <v>3.2</v>
      </c>
      <c r="G5846" s="4" t="str">
        <f>HYPERLINK("http://141.218.60.56/~jnz1568/getInfo.php?workbook=12_04.xlsx&amp;sheet=U0&amp;row=5846&amp;col=7&amp;number=0.0779&amp;sourceID=14","0.0779")</f>
        <v>0.0779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HYPERLINK("http://141.218.60.56/~jnz1568/getInfo.php?workbook=12_04.xlsx&amp;sheet=U0&amp;row=5847&amp;col=6&amp;number=3.3&amp;sourceID=14","3.3")</f>
        <v>3.3</v>
      </c>
      <c r="G5847" s="4" t="str">
        <f>HYPERLINK("http://141.218.60.56/~jnz1568/getInfo.php?workbook=12_04.xlsx&amp;sheet=U0&amp;row=5847&amp;col=7&amp;number=0.0779&amp;sourceID=14","0.0779")</f>
        <v>0.0779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HYPERLINK("http://141.218.60.56/~jnz1568/getInfo.php?workbook=12_04.xlsx&amp;sheet=U0&amp;row=5848&amp;col=6&amp;number=3.4&amp;sourceID=14","3.4")</f>
        <v>3.4</v>
      </c>
      <c r="G5848" s="4" t="str">
        <f>HYPERLINK("http://141.218.60.56/~jnz1568/getInfo.php?workbook=12_04.xlsx&amp;sheet=U0&amp;row=5848&amp;col=7&amp;number=0.0779&amp;sourceID=14","0.0779")</f>
        <v>0.0779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HYPERLINK("http://141.218.60.56/~jnz1568/getInfo.php?workbook=12_04.xlsx&amp;sheet=U0&amp;row=5849&amp;col=6&amp;number=3.5&amp;sourceID=14","3.5")</f>
        <v>3.5</v>
      </c>
      <c r="G5849" s="4" t="str">
        <f>HYPERLINK("http://141.218.60.56/~jnz1568/getInfo.php?workbook=12_04.xlsx&amp;sheet=U0&amp;row=5849&amp;col=7&amp;number=0.0778&amp;sourceID=14","0.0778")</f>
        <v>0.0778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HYPERLINK("http://141.218.60.56/~jnz1568/getInfo.php?workbook=12_04.xlsx&amp;sheet=U0&amp;row=5850&amp;col=6&amp;number=3.6&amp;sourceID=14","3.6")</f>
        <v>3.6</v>
      </c>
      <c r="G5850" s="4" t="str">
        <f>HYPERLINK("http://141.218.60.56/~jnz1568/getInfo.php?workbook=12_04.xlsx&amp;sheet=U0&amp;row=5850&amp;col=7&amp;number=0.0778&amp;sourceID=14","0.0778")</f>
        <v>0.0778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HYPERLINK("http://141.218.60.56/~jnz1568/getInfo.php?workbook=12_04.xlsx&amp;sheet=U0&amp;row=5851&amp;col=6&amp;number=3.7&amp;sourceID=14","3.7")</f>
        <v>3.7</v>
      </c>
      <c r="G5851" s="4" t="str">
        <f>HYPERLINK("http://141.218.60.56/~jnz1568/getInfo.php?workbook=12_04.xlsx&amp;sheet=U0&amp;row=5851&amp;col=7&amp;number=0.0778&amp;sourceID=14","0.0778")</f>
        <v>0.0778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HYPERLINK("http://141.218.60.56/~jnz1568/getInfo.php?workbook=12_04.xlsx&amp;sheet=U0&amp;row=5852&amp;col=6&amp;number=3.8&amp;sourceID=14","3.8")</f>
        <v>3.8</v>
      </c>
      <c r="G5852" s="4" t="str">
        <f>HYPERLINK("http://141.218.60.56/~jnz1568/getInfo.php?workbook=12_04.xlsx&amp;sheet=U0&amp;row=5852&amp;col=7&amp;number=0.0777&amp;sourceID=14","0.0777")</f>
        <v>0.0777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HYPERLINK("http://141.218.60.56/~jnz1568/getInfo.php?workbook=12_04.xlsx&amp;sheet=U0&amp;row=5853&amp;col=6&amp;number=3.9&amp;sourceID=14","3.9")</f>
        <v>3.9</v>
      </c>
      <c r="G5853" s="4" t="str">
        <f>HYPERLINK("http://141.218.60.56/~jnz1568/getInfo.php?workbook=12_04.xlsx&amp;sheet=U0&amp;row=5853&amp;col=7&amp;number=0.0777&amp;sourceID=14","0.0777")</f>
        <v>0.0777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HYPERLINK("http://141.218.60.56/~jnz1568/getInfo.php?workbook=12_04.xlsx&amp;sheet=U0&amp;row=5854&amp;col=6&amp;number=4&amp;sourceID=14","4")</f>
        <v>4</v>
      </c>
      <c r="G5854" s="4" t="str">
        <f>HYPERLINK("http://141.218.60.56/~jnz1568/getInfo.php?workbook=12_04.xlsx&amp;sheet=U0&amp;row=5854&amp;col=7&amp;number=0.0776&amp;sourceID=14","0.0776")</f>
        <v>0.0776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HYPERLINK("http://141.218.60.56/~jnz1568/getInfo.php?workbook=12_04.xlsx&amp;sheet=U0&amp;row=5855&amp;col=6&amp;number=4.1&amp;sourceID=14","4.1")</f>
        <v>4.1</v>
      </c>
      <c r="G5855" s="4" t="str">
        <f>HYPERLINK("http://141.218.60.56/~jnz1568/getInfo.php?workbook=12_04.xlsx&amp;sheet=U0&amp;row=5855&amp;col=7&amp;number=0.0775&amp;sourceID=14","0.0775")</f>
        <v>0.0775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HYPERLINK("http://141.218.60.56/~jnz1568/getInfo.php?workbook=12_04.xlsx&amp;sheet=U0&amp;row=5856&amp;col=6&amp;number=4.2&amp;sourceID=14","4.2")</f>
        <v>4.2</v>
      </c>
      <c r="G5856" s="4" t="str">
        <f>HYPERLINK("http://141.218.60.56/~jnz1568/getInfo.php?workbook=12_04.xlsx&amp;sheet=U0&amp;row=5856&amp;col=7&amp;number=0.0774&amp;sourceID=14","0.0774")</f>
        <v>0.0774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HYPERLINK("http://141.218.60.56/~jnz1568/getInfo.php?workbook=12_04.xlsx&amp;sheet=U0&amp;row=5857&amp;col=6&amp;number=4.3&amp;sourceID=14","4.3")</f>
        <v>4.3</v>
      </c>
      <c r="G5857" s="4" t="str">
        <f>HYPERLINK("http://141.218.60.56/~jnz1568/getInfo.php?workbook=12_04.xlsx&amp;sheet=U0&amp;row=5857&amp;col=7&amp;number=0.0772&amp;sourceID=14","0.0772")</f>
        <v>0.0772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HYPERLINK("http://141.218.60.56/~jnz1568/getInfo.php?workbook=12_04.xlsx&amp;sheet=U0&amp;row=5858&amp;col=6&amp;number=4.4&amp;sourceID=14","4.4")</f>
        <v>4.4</v>
      </c>
      <c r="G5858" s="4" t="str">
        <f>HYPERLINK("http://141.218.60.56/~jnz1568/getInfo.php?workbook=12_04.xlsx&amp;sheet=U0&amp;row=5858&amp;col=7&amp;number=0.0771&amp;sourceID=14","0.0771")</f>
        <v>0.0771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HYPERLINK("http://141.218.60.56/~jnz1568/getInfo.php?workbook=12_04.xlsx&amp;sheet=U0&amp;row=5859&amp;col=6&amp;number=4.5&amp;sourceID=14","4.5")</f>
        <v>4.5</v>
      </c>
      <c r="G5859" s="4" t="str">
        <f>HYPERLINK("http://141.218.60.56/~jnz1568/getInfo.php?workbook=12_04.xlsx&amp;sheet=U0&amp;row=5859&amp;col=7&amp;number=0.0769&amp;sourceID=14","0.0769")</f>
        <v>0.0769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HYPERLINK("http://141.218.60.56/~jnz1568/getInfo.php?workbook=12_04.xlsx&amp;sheet=U0&amp;row=5860&amp;col=6&amp;number=4.6&amp;sourceID=14","4.6")</f>
        <v>4.6</v>
      </c>
      <c r="G5860" s="4" t="str">
        <f>HYPERLINK("http://141.218.60.56/~jnz1568/getInfo.php?workbook=12_04.xlsx&amp;sheet=U0&amp;row=5860&amp;col=7&amp;number=0.0767&amp;sourceID=14","0.0767")</f>
        <v>0.0767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HYPERLINK("http://141.218.60.56/~jnz1568/getInfo.php?workbook=12_04.xlsx&amp;sheet=U0&amp;row=5861&amp;col=6&amp;number=4.7&amp;sourceID=14","4.7")</f>
        <v>4.7</v>
      </c>
      <c r="G5861" s="4" t="str">
        <f>HYPERLINK("http://141.218.60.56/~jnz1568/getInfo.php?workbook=12_04.xlsx&amp;sheet=U0&amp;row=5861&amp;col=7&amp;number=0.0766&amp;sourceID=14","0.0766")</f>
        <v>0.0766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HYPERLINK("http://141.218.60.56/~jnz1568/getInfo.php?workbook=12_04.xlsx&amp;sheet=U0&amp;row=5862&amp;col=6&amp;number=4.8&amp;sourceID=14","4.8")</f>
        <v>4.8</v>
      </c>
      <c r="G5862" s="4" t="str">
        <f>HYPERLINK("http://141.218.60.56/~jnz1568/getInfo.php?workbook=12_04.xlsx&amp;sheet=U0&amp;row=5862&amp;col=7&amp;number=0.0766&amp;sourceID=14","0.0766")</f>
        <v>0.0766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HYPERLINK("http://141.218.60.56/~jnz1568/getInfo.php?workbook=12_04.xlsx&amp;sheet=U0&amp;row=5863&amp;col=6&amp;number=4.9&amp;sourceID=14","4.9")</f>
        <v>4.9</v>
      </c>
      <c r="G5863" s="4" t="str">
        <f>HYPERLINK("http://141.218.60.56/~jnz1568/getInfo.php?workbook=12_04.xlsx&amp;sheet=U0&amp;row=5863&amp;col=7&amp;number=0.0768&amp;sourceID=14","0.0768")</f>
        <v>0.0768</v>
      </c>
    </row>
    <row r="5864" spans="1:7">
      <c r="A5864" s="3">
        <v>12</v>
      </c>
      <c r="B5864" s="3">
        <v>4</v>
      </c>
      <c r="C5864" s="3">
        <v>4</v>
      </c>
      <c r="D5864" s="3">
        <v>10</v>
      </c>
      <c r="E5864" s="3">
        <v>1</v>
      </c>
      <c r="F5864" s="4" t="str">
        <f>HYPERLINK("http://141.218.60.56/~jnz1568/getInfo.php?workbook=12_04.xlsx&amp;sheet=U0&amp;row=5864&amp;col=6&amp;number=3&amp;sourceID=14","3")</f>
        <v>3</v>
      </c>
      <c r="G5864" s="4" t="str">
        <f>HYPERLINK("http://141.218.60.56/~jnz1568/getInfo.php?workbook=12_04.xlsx&amp;sheet=U0&amp;row=5864&amp;col=7&amp;number=0.00877&amp;sourceID=14","0.00877")</f>
        <v>0.00877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HYPERLINK("http://141.218.60.56/~jnz1568/getInfo.php?workbook=12_04.xlsx&amp;sheet=U0&amp;row=5865&amp;col=6&amp;number=3.1&amp;sourceID=14","3.1")</f>
        <v>3.1</v>
      </c>
      <c r="G5865" s="4" t="str">
        <f>HYPERLINK("http://141.218.60.56/~jnz1568/getInfo.php?workbook=12_04.xlsx&amp;sheet=U0&amp;row=5865&amp;col=7&amp;number=0.00877&amp;sourceID=14","0.00877")</f>
        <v>0.00877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HYPERLINK("http://141.218.60.56/~jnz1568/getInfo.php?workbook=12_04.xlsx&amp;sheet=U0&amp;row=5866&amp;col=6&amp;number=3.2&amp;sourceID=14","3.2")</f>
        <v>3.2</v>
      </c>
      <c r="G5866" s="4" t="str">
        <f>HYPERLINK("http://141.218.60.56/~jnz1568/getInfo.php?workbook=12_04.xlsx&amp;sheet=U0&amp;row=5866&amp;col=7&amp;number=0.00878&amp;sourceID=14","0.00878")</f>
        <v>0.00878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HYPERLINK("http://141.218.60.56/~jnz1568/getInfo.php?workbook=12_04.xlsx&amp;sheet=U0&amp;row=5867&amp;col=6&amp;number=3.3&amp;sourceID=14","3.3")</f>
        <v>3.3</v>
      </c>
      <c r="G5867" s="4" t="str">
        <f>HYPERLINK("http://141.218.60.56/~jnz1568/getInfo.php?workbook=12_04.xlsx&amp;sheet=U0&amp;row=5867&amp;col=7&amp;number=0.00879&amp;sourceID=14","0.00879")</f>
        <v>0.00879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HYPERLINK("http://141.218.60.56/~jnz1568/getInfo.php?workbook=12_04.xlsx&amp;sheet=U0&amp;row=5868&amp;col=6&amp;number=3.4&amp;sourceID=14","3.4")</f>
        <v>3.4</v>
      </c>
      <c r="G5868" s="4" t="str">
        <f>HYPERLINK("http://141.218.60.56/~jnz1568/getInfo.php?workbook=12_04.xlsx&amp;sheet=U0&amp;row=5868&amp;col=7&amp;number=0.00879&amp;sourceID=14","0.00879")</f>
        <v>0.00879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HYPERLINK("http://141.218.60.56/~jnz1568/getInfo.php?workbook=12_04.xlsx&amp;sheet=U0&amp;row=5869&amp;col=6&amp;number=3.5&amp;sourceID=14","3.5")</f>
        <v>3.5</v>
      </c>
      <c r="G5869" s="4" t="str">
        <f>HYPERLINK("http://141.218.60.56/~jnz1568/getInfo.php?workbook=12_04.xlsx&amp;sheet=U0&amp;row=5869&amp;col=7&amp;number=0.0088&amp;sourceID=14","0.0088")</f>
        <v>0.0088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HYPERLINK("http://141.218.60.56/~jnz1568/getInfo.php?workbook=12_04.xlsx&amp;sheet=U0&amp;row=5870&amp;col=6&amp;number=3.6&amp;sourceID=14","3.6")</f>
        <v>3.6</v>
      </c>
      <c r="G5870" s="4" t="str">
        <f>HYPERLINK("http://141.218.60.56/~jnz1568/getInfo.php?workbook=12_04.xlsx&amp;sheet=U0&amp;row=5870&amp;col=7&amp;number=0.00881&amp;sourceID=14","0.00881")</f>
        <v>0.00881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HYPERLINK("http://141.218.60.56/~jnz1568/getInfo.php?workbook=12_04.xlsx&amp;sheet=U0&amp;row=5871&amp;col=6&amp;number=3.7&amp;sourceID=14","3.7")</f>
        <v>3.7</v>
      </c>
      <c r="G5871" s="4" t="str">
        <f>HYPERLINK("http://141.218.60.56/~jnz1568/getInfo.php?workbook=12_04.xlsx&amp;sheet=U0&amp;row=5871&amp;col=7&amp;number=0.00883&amp;sourceID=14","0.00883")</f>
        <v>0.00883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HYPERLINK("http://141.218.60.56/~jnz1568/getInfo.php?workbook=12_04.xlsx&amp;sheet=U0&amp;row=5872&amp;col=6&amp;number=3.8&amp;sourceID=14","3.8")</f>
        <v>3.8</v>
      </c>
      <c r="G5872" s="4" t="str">
        <f>HYPERLINK("http://141.218.60.56/~jnz1568/getInfo.php?workbook=12_04.xlsx&amp;sheet=U0&amp;row=5872&amp;col=7&amp;number=0.00885&amp;sourceID=14","0.00885")</f>
        <v>0.00885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HYPERLINK("http://141.218.60.56/~jnz1568/getInfo.php?workbook=12_04.xlsx&amp;sheet=U0&amp;row=5873&amp;col=6&amp;number=3.9&amp;sourceID=14","3.9")</f>
        <v>3.9</v>
      </c>
      <c r="G5873" s="4" t="str">
        <f>HYPERLINK("http://141.218.60.56/~jnz1568/getInfo.php?workbook=12_04.xlsx&amp;sheet=U0&amp;row=5873&amp;col=7&amp;number=0.00887&amp;sourceID=14","0.00887")</f>
        <v>0.00887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HYPERLINK("http://141.218.60.56/~jnz1568/getInfo.php?workbook=12_04.xlsx&amp;sheet=U0&amp;row=5874&amp;col=6&amp;number=4&amp;sourceID=14","4")</f>
        <v>4</v>
      </c>
      <c r="G5874" s="4" t="str">
        <f>HYPERLINK("http://141.218.60.56/~jnz1568/getInfo.php?workbook=12_04.xlsx&amp;sheet=U0&amp;row=5874&amp;col=7&amp;number=0.0089&amp;sourceID=14","0.0089")</f>
        <v>0.0089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HYPERLINK("http://141.218.60.56/~jnz1568/getInfo.php?workbook=12_04.xlsx&amp;sheet=U0&amp;row=5875&amp;col=6&amp;number=4.1&amp;sourceID=14","4.1")</f>
        <v>4.1</v>
      </c>
      <c r="G5875" s="4" t="str">
        <f>HYPERLINK("http://141.218.60.56/~jnz1568/getInfo.php?workbook=12_04.xlsx&amp;sheet=U0&amp;row=5875&amp;col=7&amp;number=0.00893&amp;sourceID=14","0.00893")</f>
        <v>0.00893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HYPERLINK("http://141.218.60.56/~jnz1568/getInfo.php?workbook=12_04.xlsx&amp;sheet=U0&amp;row=5876&amp;col=6&amp;number=4.2&amp;sourceID=14","4.2")</f>
        <v>4.2</v>
      </c>
      <c r="G5876" s="4" t="str">
        <f>HYPERLINK("http://141.218.60.56/~jnz1568/getInfo.php?workbook=12_04.xlsx&amp;sheet=U0&amp;row=5876&amp;col=7&amp;number=0.00898&amp;sourceID=14","0.00898")</f>
        <v>0.00898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HYPERLINK("http://141.218.60.56/~jnz1568/getInfo.php?workbook=12_04.xlsx&amp;sheet=U0&amp;row=5877&amp;col=6&amp;number=4.3&amp;sourceID=14","4.3")</f>
        <v>4.3</v>
      </c>
      <c r="G5877" s="4" t="str">
        <f>HYPERLINK("http://141.218.60.56/~jnz1568/getInfo.php?workbook=12_04.xlsx&amp;sheet=U0&amp;row=5877&amp;col=7&amp;number=0.00904&amp;sourceID=14","0.00904")</f>
        <v>0.00904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HYPERLINK("http://141.218.60.56/~jnz1568/getInfo.php?workbook=12_04.xlsx&amp;sheet=U0&amp;row=5878&amp;col=6&amp;number=4.4&amp;sourceID=14","4.4")</f>
        <v>4.4</v>
      </c>
      <c r="G5878" s="4" t="str">
        <f>HYPERLINK("http://141.218.60.56/~jnz1568/getInfo.php?workbook=12_04.xlsx&amp;sheet=U0&amp;row=5878&amp;col=7&amp;number=0.00911&amp;sourceID=14","0.00911")</f>
        <v>0.00911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HYPERLINK("http://141.218.60.56/~jnz1568/getInfo.php?workbook=12_04.xlsx&amp;sheet=U0&amp;row=5879&amp;col=6&amp;number=4.5&amp;sourceID=14","4.5")</f>
        <v>4.5</v>
      </c>
      <c r="G5879" s="4" t="str">
        <f>HYPERLINK("http://141.218.60.56/~jnz1568/getInfo.php?workbook=12_04.xlsx&amp;sheet=U0&amp;row=5879&amp;col=7&amp;number=0.0092&amp;sourceID=14","0.0092")</f>
        <v>0.0092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HYPERLINK("http://141.218.60.56/~jnz1568/getInfo.php?workbook=12_04.xlsx&amp;sheet=U0&amp;row=5880&amp;col=6&amp;number=4.6&amp;sourceID=14","4.6")</f>
        <v>4.6</v>
      </c>
      <c r="G5880" s="4" t="str">
        <f>HYPERLINK("http://141.218.60.56/~jnz1568/getInfo.php?workbook=12_04.xlsx&amp;sheet=U0&amp;row=5880&amp;col=7&amp;number=0.00932&amp;sourceID=14","0.00932")</f>
        <v>0.00932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HYPERLINK("http://141.218.60.56/~jnz1568/getInfo.php?workbook=12_04.xlsx&amp;sheet=U0&amp;row=5881&amp;col=6&amp;number=4.7&amp;sourceID=14","4.7")</f>
        <v>4.7</v>
      </c>
      <c r="G5881" s="4" t="str">
        <f>HYPERLINK("http://141.218.60.56/~jnz1568/getInfo.php?workbook=12_04.xlsx&amp;sheet=U0&amp;row=5881&amp;col=7&amp;number=0.00947&amp;sourceID=14","0.00947")</f>
        <v>0.00947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HYPERLINK("http://141.218.60.56/~jnz1568/getInfo.php?workbook=12_04.xlsx&amp;sheet=U0&amp;row=5882&amp;col=6&amp;number=4.8&amp;sourceID=14","4.8")</f>
        <v>4.8</v>
      </c>
      <c r="G5882" s="4" t="str">
        <f>HYPERLINK("http://141.218.60.56/~jnz1568/getInfo.php?workbook=12_04.xlsx&amp;sheet=U0&amp;row=5882&amp;col=7&amp;number=0.00966&amp;sourceID=14","0.00966")</f>
        <v>0.00966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HYPERLINK("http://141.218.60.56/~jnz1568/getInfo.php?workbook=12_04.xlsx&amp;sheet=U0&amp;row=5883&amp;col=6&amp;number=4.9&amp;sourceID=14","4.9")</f>
        <v>4.9</v>
      </c>
      <c r="G5883" s="4" t="str">
        <f>HYPERLINK("http://141.218.60.56/~jnz1568/getInfo.php?workbook=12_04.xlsx&amp;sheet=U0&amp;row=5883&amp;col=7&amp;number=0.0099&amp;sourceID=14","0.0099")</f>
        <v>0.0099</v>
      </c>
    </row>
    <row r="5884" spans="1:7">
      <c r="A5884" s="3">
        <v>12</v>
      </c>
      <c r="B5884" s="3">
        <v>4</v>
      </c>
      <c r="C5884" s="3">
        <v>4</v>
      </c>
      <c r="D5884" s="3">
        <v>11</v>
      </c>
      <c r="E5884" s="3">
        <v>1</v>
      </c>
      <c r="F5884" s="4" t="str">
        <f>HYPERLINK("http://141.218.60.56/~jnz1568/getInfo.php?workbook=12_04.xlsx&amp;sheet=U0&amp;row=5884&amp;col=6&amp;number=3&amp;sourceID=14","3")</f>
        <v>3</v>
      </c>
      <c r="G5884" s="4" t="str">
        <f>HYPERLINK("http://141.218.60.56/~jnz1568/getInfo.php?workbook=12_04.xlsx&amp;sheet=U0&amp;row=5884&amp;col=7&amp;number=0.339&amp;sourceID=14","0.339")</f>
        <v>0.339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HYPERLINK("http://141.218.60.56/~jnz1568/getInfo.php?workbook=12_04.xlsx&amp;sheet=U0&amp;row=5885&amp;col=6&amp;number=3.1&amp;sourceID=14","3.1")</f>
        <v>3.1</v>
      </c>
      <c r="G5885" s="4" t="str">
        <f>HYPERLINK("http://141.218.60.56/~jnz1568/getInfo.php?workbook=12_04.xlsx&amp;sheet=U0&amp;row=5885&amp;col=7&amp;number=0.339&amp;sourceID=14","0.339")</f>
        <v>0.339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HYPERLINK("http://141.218.60.56/~jnz1568/getInfo.php?workbook=12_04.xlsx&amp;sheet=U0&amp;row=5886&amp;col=6&amp;number=3.2&amp;sourceID=14","3.2")</f>
        <v>3.2</v>
      </c>
      <c r="G5886" s="4" t="str">
        <f>HYPERLINK("http://141.218.60.56/~jnz1568/getInfo.php?workbook=12_04.xlsx&amp;sheet=U0&amp;row=5886&amp;col=7&amp;number=0.339&amp;sourceID=14","0.339")</f>
        <v>0.339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HYPERLINK("http://141.218.60.56/~jnz1568/getInfo.php?workbook=12_04.xlsx&amp;sheet=U0&amp;row=5887&amp;col=6&amp;number=3.3&amp;sourceID=14","3.3")</f>
        <v>3.3</v>
      </c>
      <c r="G5887" s="4" t="str">
        <f>HYPERLINK("http://141.218.60.56/~jnz1568/getInfo.php?workbook=12_04.xlsx&amp;sheet=U0&amp;row=5887&amp;col=7&amp;number=0.339&amp;sourceID=14","0.339")</f>
        <v>0.339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HYPERLINK("http://141.218.60.56/~jnz1568/getInfo.php?workbook=12_04.xlsx&amp;sheet=U0&amp;row=5888&amp;col=6&amp;number=3.4&amp;sourceID=14","3.4")</f>
        <v>3.4</v>
      </c>
      <c r="G5888" s="4" t="str">
        <f>HYPERLINK("http://141.218.60.56/~jnz1568/getInfo.php?workbook=12_04.xlsx&amp;sheet=U0&amp;row=5888&amp;col=7&amp;number=0.339&amp;sourceID=14","0.339")</f>
        <v>0.339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HYPERLINK("http://141.218.60.56/~jnz1568/getInfo.php?workbook=12_04.xlsx&amp;sheet=U0&amp;row=5889&amp;col=6&amp;number=3.5&amp;sourceID=14","3.5")</f>
        <v>3.5</v>
      </c>
      <c r="G5889" s="4" t="str">
        <f>HYPERLINK("http://141.218.60.56/~jnz1568/getInfo.php?workbook=12_04.xlsx&amp;sheet=U0&amp;row=5889&amp;col=7&amp;number=0.339&amp;sourceID=14","0.339")</f>
        <v>0.339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HYPERLINK("http://141.218.60.56/~jnz1568/getInfo.php?workbook=12_04.xlsx&amp;sheet=U0&amp;row=5890&amp;col=6&amp;number=3.6&amp;sourceID=14","3.6")</f>
        <v>3.6</v>
      </c>
      <c r="G5890" s="4" t="str">
        <f>HYPERLINK("http://141.218.60.56/~jnz1568/getInfo.php?workbook=12_04.xlsx&amp;sheet=U0&amp;row=5890&amp;col=7&amp;number=0.339&amp;sourceID=14","0.339")</f>
        <v>0.339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HYPERLINK("http://141.218.60.56/~jnz1568/getInfo.php?workbook=12_04.xlsx&amp;sheet=U0&amp;row=5891&amp;col=6&amp;number=3.7&amp;sourceID=14","3.7")</f>
        <v>3.7</v>
      </c>
      <c r="G5891" s="4" t="str">
        <f>HYPERLINK("http://141.218.60.56/~jnz1568/getInfo.php?workbook=12_04.xlsx&amp;sheet=U0&amp;row=5891&amp;col=7&amp;number=0.339&amp;sourceID=14","0.339")</f>
        <v>0.339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HYPERLINK("http://141.218.60.56/~jnz1568/getInfo.php?workbook=12_04.xlsx&amp;sheet=U0&amp;row=5892&amp;col=6&amp;number=3.8&amp;sourceID=14","3.8")</f>
        <v>3.8</v>
      </c>
      <c r="G5892" s="4" t="str">
        <f>HYPERLINK("http://141.218.60.56/~jnz1568/getInfo.php?workbook=12_04.xlsx&amp;sheet=U0&amp;row=5892&amp;col=7&amp;number=0.339&amp;sourceID=14","0.339")</f>
        <v>0.339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HYPERLINK("http://141.218.60.56/~jnz1568/getInfo.php?workbook=12_04.xlsx&amp;sheet=U0&amp;row=5893&amp;col=6&amp;number=3.9&amp;sourceID=14","3.9")</f>
        <v>3.9</v>
      </c>
      <c r="G5893" s="4" t="str">
        <f>HYPERLINK("http://141.218.60.56/~jnz1568/getInfo.php?workbook=12_04.xlsx&amp;sheet=U0&amp;row=5893&amp;col=7&amp;number=0.338&amp;sourceID=14","0.338")</f>
        <v>0.338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HYPERLINK("http://141.218.60.56/~jnz1568/getInfo.php?workbook=12_04.xlsx&amp;sheet=U0&amp;row=5894&amp;col=6&amp;number=4&amp;sourceID=14","4")</f>
        <v>4</v>
      </c>
      <c r="G5894" s="4" t="str">
        <f>HYPERLINK("http://141.218.60.56/~jnz1568/getInfo.php?workbook=12_04.xlsx&amp;sheet=U0&amp;row=5894&amp;col=7&amp;number=0.338&amp;sourceID=14","0.338")</f>
        <v>0.338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HYPERLINK("http://141.218.60.56/~jnz1568/getInfo.php?workbook=12_04.xlsx&amp;sheet=U0&amp;row=5895&amp;col=6&amp;number=4.1&amp;sourceID=14","4.1")</f>
        <v>4.1</v>
      </c>
      <c r="G5895" s="4" t="str">
        <f>HYPERLINK("http://141.218.60.56/~jnz1568/getInfo.php?workbook=12_04.xlsx&amp;sheet=U0&amp;row=5895&amp;col=7&amp;number=0.338&amp;sourceID=14","0.338")</f>
        <v>0.338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HYPERLINK("http://141.218.60.56/~jnz1568/getInfo.php?workbook=12_04.xlsx&amp;sheet=U0&amp;row=5896&amp;col=6&amp;number=4.2&amp;sourceID=14","4.2")</f>
        <v>4.2</v>
      </c>
      <c r="G5896" s="4" t="str">
        <f>HYPERLINK("http://141.218.60.56/~jnz1568/getInfo.php?workbook=12_04.xlsx&amp;sheet=U0&amp;row=5896&amp;col=7&amp;number=0.337&amp;sourceID=14","0.337")</f>
        <v>0.337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HYPERLINK("http://141.218.60.56/~jnz1568/getInfo.php?workbook=12_04.xlsx&amp;sheet=U0&amp;row=5897&amp;col=6&amp;number=4.3&amp;sourceID=14","4.3")</f>
        <v>4.3</v>
      </c>
      <c r="G5897" s="4" t="str">
        <f>HYPERLINK("http://141.218.60.56/~jnz1568/getInfo.php?workbook=12_04.xlsx&amp;sheet=U0&amp;row=5897&amp;col=7&amp;number=0.337&amp;sourceID=14","0.337")</f>
        <v>0.337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HYPERLINK("http://141.218.60.56/~jnz1568/getInfo.php?workbook=12_04.xlsx&amp;sheet=U0&amp;row=5898&amp;col=6&amp;number=4.4&amp;sourceID=14","4.4")</f>
        <v>4.4</v>
      </c>
      <c r="G5898" s="4" t="str">
        <f>HYPERLINK("http://141.218.60.56/~jnz1568/getInfo.php?workbook=12_04.xlsx&amp;sheet=U0&amp;row=5898&amp;col=7&amp;number=0.336&amp;sourceID=14","0.336")</f>
        <v>0.336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HYPERLINK("http://141.218.60.56/~jnz1568/getInfo.php?workbook=12_04.xlsx&amp;sheet=U0&amp;row=5899&amp;col=6&amp;number=4.5&amp;sourceID=14","4.5")</f>
        <v>4.5</v>
      </c>
      <c r="G5899" s="4" t="str">
        <f>HYPERLINK("http://141.218.60.56/~jnz1568/getInfo.php?workbook=12_04.xlsx&amp;sheet=U0&amp;row=5899&amp;col=7&amp;number=0.335&amp;sourceID=14","0.335")</f>
        <v>0.335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HYPERLINK("http://141.218.60.56/~jnz1568/getInfo.php?workbook=12_04.xlsx&amp;sheet=U0&amp;row=5900&amp;col=6&amp;number=4.6&amp;sourceID=14","4.6")</f>
        <v>4.6</v>
      </c>
      <c r="G5900" s="4" t="str">
        <f>HYPERLINK("http://141.218.60.56/~jnz1568/getInfo.php?workbook=12_04.xlsx&amp;sheet=U0&amp;row=5900&amp;col=7&amp;number=0.334&amp;sourceID=14","0.334")</f>
        <v>0.334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HYPERLINK("http://141.218.60.56/~jnz1568/getInfo.php?workbook=12_04.xlsx&amp;sheet=U0&amp;row=5901&amp;col=6&amp;number=4.7&amp;sourceID=14","4.7")</f>
        <v>4.7</v>
      </c>
      <c r="G5901" s="4" t="str">
        <f>HYPERLINK("http://141.218.60.56/~jnz1568/getInfo.php?workbook=12_04.xlsx&amp;sheet=U0&amp;row=5901&amp;col=7&amp;number=0.332&amp;sourceID=14","0.332")</f>
        <v>0.332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HYPERLINK("http://141.218.60.56/~jnz1568/getInfo.php?workbook=12_04.xlsx&amp;sheet=U0&amp;row=5902&amp;col=6&amp;number=4.8&amp;sourceID=14","4.8")</f>
        <v>4.8</v>
      </c>
      <c r="G5902" s="4" t="str">
        <f>HYPERLINK("http://141.218.60.56/~jnz1568/getInfo.php?workbook=12_04.xlsx&amp;sheet=U0&amp;row=5902&amp;col=7&amp;number=0.33&amp;sourceID=14","0.33")</f>
        <v>0.33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HYPERLINK("http://141.218.60.56/~jnz1568/getInfo.php?workbook=12_04.xlsx&amp;sheet=U0&amp;row=5903&amp;col=6&amp;number=4.9&amp;sourceID=14","4.9")</f>
        <v>4.9</v>
      </c>
      <c r="G5903" s="4" t="str">
        <f>HYPERLINK("http://141.218.60.56/~jnz1568/getInfo.php?workbook=12_04.xlsx&amp;sheet=U0&amp;row=5903&amp;col=7&amp;number=0.326&amp;sourceID=14","0.326")</f>
        <v>0.326</v>
      </c>
    </row>
    <row r="5904" spans="1:7">
      <c r="A5904" s="3">
        <v>12</v>
      </c>
      <c r="B5904" s="3">
        <v>4</v>
      </c>
      <c r="C5904" s="3">
        <v>4</v>
      </c>
      <c r="D5904" s="3">
        <v>12</v>
      </c>
      <c r="E5904" s="3">
        <v>1</v>
      </c>
      <c r="F5904" s="4" t="str">
        <f>HYPERLINK("http://141.218.60.56/~jnz1568/getInfo.php?workbook=12_04.xlsx&amp;sheet=U0&amp;row=5904&amp;col=6&amp;number=3&amp;sourceID=14","3")</f>
        <v>3</v>
      </c>
      <c r="G5904" s="4" t="str">
        <f>HYPERLINK("http://141.218.60.56/~jnz1568/getInfo.php?workbook=12_04.xlsx&amp;sheet=U0&amp;row=5904&amp;col=7&amp;number=0.126&amp;sourceID=14","0.126")</f>
        <v>0.126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HYPERLINK("http://141.218.60.56/~jnz1568/getInfo.php?workbook=12_04.xlsx&amp;sheet=U0&amp;row=5905&amp;col=6&amp;number=3.1&amp;sourceID=14","3.1")</f>
        <v>3.1</v>
      </c>
      <c r="G5905" s="4" t="str">
        <f>HYPERLINK("http://141.218.60.56/~jnz1568/getInfo.php?workbook=12_04.xlsx&amp;sheet=U0&amp;row=5905&amp;col=7&amp;number=0.125&amp;sourceID=14","0.125")</f>
        <v>0.125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HYPERLINK("http://141.218.60.56/~jnz1568/getInfo.php?workbook=12_04.xlsx&amp;sheet=U0&amp;row=5906&amp;col=6&amp;number=3.2&amp;sourceID=14","3.2")</f>
        <v>3.2</v>
      </c>
      <c r="G5906" s="4" t="str">
        <f>HYPERLINK("http://141.218.60.56/~jnz1568/getInfo.php?workbook=12_04.xlsx&amp;sheet=U0&amp;row=5906&amp;col=7&amp;number=0.125&amp;sourceID=14","0.125")</f>
        <v>0.125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HYPERLINK("http://141.218.60.56/~jnz1568/getInfo.php?workbook=12_04.xlsx&amp;sheet=U0&amp;row=5907&amp;col=6&amp;number=3.3&amp;sourceID=14","3.3")</f>
        <v>3.3</v>
      </c>
      <c r="G5907" s="4" t="str">
        <f>HYPERLINK("http://141.218.60.56/~jnz1568/getInfo.php?workbook=12_04.xlsx&amp;sheet=U0&amp;row=5907&amp;col=7&amp;number=0.125&amp;sourceID=14","0.125")</f>
        <v>0.125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HYPERLINK("http://141.218.60.56/~jnz1568/getInfo.php?workbook=12_04.xlsx&amp;sheet=U0&amp;row=5908&amp;col=6&amp;number=3.4&amp;sourceID=14","3.4")</f>
        <v>3.4</v>
      </c>
      <c r="G5908" s="4" t="str">
        <f>HYPERLINK("http://141.218.60.56/~jnz1568/getInfo.php?workbook=12_04.xlsx&amp;sheet=U0&amp;row=5908&amp;col=7&amp;number=0.125&amp;sourceID=14","0.125")</f>
        <v>0.125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HYPERLINK("http://141.218.60.56/~jnz1568/getInfo.php?workbook=12_04.xlsx&amp;sheet=U0&amp;row=5909&amp;col=6&amp;number=3.5&amp;sourceID=14","3.5")</f>
        <v>3.5</v>
      </c>
      <c r="G5909" s="4" t="str">
        <f>HYPERLINK("http://141.218.60.56/~jnz1568/getInfo.php?workbook=12_04.xlsx&amp;sheet=U0&amp;row=5909&amp;col=7&amp;number=0.124&amp;sourceID=14","0.124")</f>
        <v>0.124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HYPERLINK("http://141.218.60.56/~jnz1568/getInfo.php?workbook=12_04.xlsx&amp;sheet=U0&amp;row=5910&amp;col=6&amp;number=3.6&amp;sourceID=14","3.6")</f>
        <v>3.6</v>
      </c>
      <c r="G5910" s="4" t="str">
        <f>HYPERLINK("http://141.218.60.56/~jnz1568/getInfo.php?workbook=12_04.xlsx&amp;sheet=U0&amp;row=5910&amp;col=7&amp;number=0.124&amp;sourceID=14","0.124")</f>
        <v>0.124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HYPERLINK("http://141.218.60.56/~jnz1568/getInfo.php?workbook=12_04.xlsx&amp;sheet=U0&amp;row=5911&amp;col=6&amp;number=3.7&amp;sourceID=14","3.7")</f>
        <v>3.7</v>
      </c>
      <c r="G5911" s="4" t="str">
        <f>HYPERLINK("http://141.218.60.56/~jnz1568/getInfo.php?workbook=12_04.xlsx&amp;sheet=U0&amp;row=5911&amp;col=7&amp;number=0.123&amp;sourceID=14","0.123")</f>
        <v>0.123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HYPERLINK("http://141.218.60.56/~jnz1568/getInfo.php?workbook=12_04.xlsx&amp;sheet=U0&amp;row=5912&amp;col=6&amp;number=3.8&amp;sourceID=14","3.8")</f>
        <v>3.8</v>
      </c>
      <c r="G5912" s="4" t="str">
        <f>HYPERLINK("http://141.218.60.56/~jnz1568/getInfo.php?workbook=12_04.xlsx&amp;sheet=U0&amp;row=5912&amp;col=7&amp;number=0.122&amp;sourceID=14","0.122")</f>
        <v>0.122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HYPERLINK("http://141.218.60.56/~jnz1568/getInfo.php?workbook=12_04.xlsx&amp;sheet=U0&amp;row=5913&amp;col=6&amp;number=3.9&amp;sourceID=14","3.9")</f>
        <v>3.9</v>
      </c>
      <c r="G5913" s="4" t="str">
        <f>HYPERLINK("http://141.218.60.56/~jnz1568/getInfo.php?workbook=12_04.xlsx&amp;sheet=U0&amp;row=5913&amp;col=7&amp;number=0.122&amp;sourceID=14","0.122")</f>
        <v>0.122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HYPERLINK("http://141.218.60.56/~jnz1568/getInfo.php?workbook=12_04.xlsx&amp;sheet=U0&amp;row=5914&amp;col=6&amp;number=4&amp;sourceID=14","4")</f>
        <v>4</v>
      </c>
      <c r="G5914" s="4" t="str">
        <f>HYPERLINK("http://141.218.60.56/~jnz1568/getInfo.php?workbook=12_04.xlsx&amp;sheet=U0&amp;row=5914&amp;col=7&amp;number=0.12&amp;sourceID=14","0.12")</f>
        <v>0.12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HYPERLINK("http://141.218.60.56/~jnz1568/getInfo.php?workbook=12_04.xlsx&amp;sheet=U0&amp;row=5915&amp;col=6&amp;number=4.1&amp;sourceID=14","4.1")</f>
        <v>4.1</v>
      </c>
      <c r="G5915" s="4" t="str">
        <f>HYPERLINK("http://141.218.60.56/~jnz1568/getInfo.php?workbook=12_04.xlsx&amp;sheet=U0&amp;row=5915&amp;col=7&amp;number=0.119&amp;sourceID=14","0.119")</f>
        <v>0.119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HYPERLINK("http://141.218.60.56/~jnz1568/getInfo.php?workbook=12_04.xlsx&amp;sheet=U0&amp;row=5916&amp;col=6&amp;number=4.2&amp;sourceID=14","4.2")</f>
        <v>4.2</v>
      </c>
      <c r="G5916" s="4" t="str">
        <f>HYPERLINK("http://141.218.60.56/~jnz1568/getInfo.php?workbook=12_04.xlsx&amp;sheet=U0&amp;row=5916&amp;col=7&amp;number=0.117&amp;sourceID=14","0.117")</f>
        <v>0.117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HYPERLINK("http://141.218.60.56/~jnz1568/getInfo.php?workbook=12_04.xlsx&amp;sheet=U0&amp;row=5917&amp;col=6&amp;number=4.3&amp;sourceID=14","4.3")</f>
        <v>4.3</v>
      </c>
      <c r="G5917" s="4" t="str">
        <f>HYPERLINK("http://141.218.60.56/~jnz1568/getInfo.php?workbook=12_04.xlsx&amp;sheet=U0&amp;row=5917&amp;col=7&amp;number=0.115&amp;sourceID=14","0.115")</f>
        <v>0.115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HYPERLINK("http://141.218.60.56/~jnz1568/getInfo.php?workbook=12_04.xlsx&amp;sheet=U0&amp;row=5918&amp;col=6&amp;number=4.4&amp;sourceID=14","4.4")</f>
        <v>4.4</v>
      </c>
      <c r="G5918" s="4" t="str">
        <f>HYPERLINK("http://141.218.60.56/~jnz1568/getInfo.php?workbook=12_04.xlsx&amp;sheet=U0&amp;row=5918&amp;col=7&amp;number=0.112&amp;sourceID=14","0.112")</f>
        <v>0.112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HYPERLINK("http://141.218.60.56/~jnz1568/getInfo.php?workbook=12_04.xlsx&amp;sheet=U0&amp;row=5919&amp;col=6&amp;number=4.5&amp;sourceID=14","4.5")</f>
        <v>4.5</v>
      </c>
      <c r="G5919" s="4" t="str">
        <f>HYPERLINK("http://141.218.60.56/~jnz1568/getInfo.php?workbook=12_04.xlsx&amp;sheet=U0&amp;row=5919&amp;col=7&amp;number=0.108&amp;sourceID=14","0.108")</f>
        <v>0.108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HYPERLINK("http://141.218.60.56/~jnz1568/getInfo.php?workbook=12_04.xlsx&amp;sheet=U0&amp;row=5920&amp;col=6&amp;number=4.6&amp;sourceID=14","4.6")</f>
        <v>4.6</v>
      </c>
      <c r="G5920" s="4" t="str">
        <f>HYPERLINK("http://141.218.60.56/~jnz1568/getInfo.php?workbook=12_04.xlsx&amp;sheet=U0&amp;row=5920&amp;col=7&amp;number=0.104&amp;sourceID=14","0.104")</f>
        <v>0.104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HYPERLINK("http://141.218.60.56/~jnz1568/getInfo.php?workbook=12_04.xlsx&amp;sheet=U0&amp;row=5921&amp;col=6&amp;number=4.7&amp;sourceID=14","4.7")</f>
        <v>4.7</v>
      </c>
      <c r="G5921" s="4" t="str">
        <f>HYPERLINK("http://141.218.60.56/~jnz1568/getInfo.php?workbook=12_04.xlsx&amp;sheet=U0&amp;row=5921&amp;col=7&amp;number=0.0987&amp;sourceID=14","0.0987")</f>
        <v>0.0987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HYPERLINK("http://141.218.60.56/~jnz1568/getInfo.php?workbook=12_04.xlsx&amp;sheet=U0&amp;row=5922&amp;col=6&amp;number=4.8&amp;sourceID=14","4.8")</f>
        <v>4.8</v>
      </c>
      <c r="G5922" s="4" t="str">
        <f>HYPERLINK("http://141.218.60.56/~jnz1568/getInfo.php?workbook=12_04.xlsx&amp;sheet=U0&amp;row=5922&amp;col=7&amp;number=0.0921&amp;sourceID=14","0.0921")</f>
        <v>0.0921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HYPERLINK("http://141.218.60.56/~jnz1568/getInfo.php?workbook=12_04.xlsx&amp;sheet=U0&amp;row=5923&amp;col=6&amp;number=4.9&amp;sourceID=14","4.9")</f>
        <v>4.9</v>
      </c>
      <c r="G5923" s="4" t="str">
        <f>HYPERLINK("http://141.218.60.56/~jnz1568/getInfo.php?workbook=12_04.xlsx&amp;sheet=U0&amp;row=5923&amp;col=7&amp;number=0.0844&amp;sourceID=14","0.0844")</f>
        <v>0.0844</v>
      </c>
    </row>
    <row r="5924" spans="1:7">
      <c r="A5924" s="3">
        <v>12</v>
      </c>
      <c r="B5924" s="3">
        <v>4</v>
      </c>
      <c r="C5924" s="3">
        <v>4</v>
      </c>
      <c r="D5924" s="3">
        <v>13</v>
      </c>
      <c r="E5924" s="3">
        <v>1</v>
      </c>
      <c r="F5924" s="4" t="str">
        <f>HYPERLINK("http://141.218.60.56/~jnz1568/getInfo.php?workbook=12_04.xlsx&amp;sheet=U0&amp;row=5924&amp;col=6&amp;number=3&amp;sourceID=14","3")</f>
        <v>3</v>
      </c>
      <c r="G5924" s="4" t="str">
        <f>HYPERLINK("http://141.218.60.56/~jnz1568/getInfo.php?workbook=12_04.xlsx&amp;sheet=U0&amp;row=5924&amp;col=7&amp;number=0.275&amp;sourceID=14","0.275")</f>
        <v>0.275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HYPERLINK("http://141.218.60.56/~jnz1568/getInfo.php?workbook=12_04.xlsx&amp;sheet=U0&amp;row=5925&amp;col=6&amp;number=3.1&amp;sourceID=14","3.1")</f>
        <v>3.1</v>
      </c>
      <c r="G5925" s="4" t="str">
        <f>HYPERLINK("http://141.218.60.56/~jnz1568/getInfo.php?workbook=12_04.xlsx&amp;sheet=U0&amp;row=5925&amp;col=7&amp;number=0.274&amp;sourceID=14","0.274")</f>
        <v>0.274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HYPERLINK("http://141.218.60.56/~jnz1568/getInfo.php?workbook=12_04.xlsx&amp;sheet=U0&amp;row=5926&amp;col=6&amp;number=3.2&amp;sourceID=14","3.2")</f>
        <v>3.2</v>
      </c>
      <c r="G5926" s="4" t="str">
        <f>HYPERLINK("http://141.218.60.56/~jnz1568/getInfo.php?workbook=12_04.xlsx&amp;sheet=U0&amp;row=5926&amp;col=7&amp;number=0.273&amp;sourceID=14","0.273")</f>
        <v>0.273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HYPERLINK("http://141.218.60.56/~jnz1568/getInfo.php?workbook=12_04.xlsx&amp;sheet=U0&amp;row=5927&amp;col=6&amp;number=3.3&amp;sourceID=14","3.3")</f>
        <v>3.3</v>
      </c>
      <c r="G5927" s="4" t="str">
        <f>HYPERLINK("http://141.218.60.56/~jnz1568/getInfo.php?workbook=12_04.xlsx&amp;sheet=U0&amp;row=5927&amp;col=7&amp;number=0.272&amp;sourceID=14","0.272")</f>
        <v>0.272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HYPERLINK("http://141.218.60.56/~jnz1568/getInfo.php?workbook=12_04.xlsx&amp;sheet=U0&amp;row=5928&amp;col=6&amp;number=3.4&amp;sourceID=14","3.4")</f>
        <v>3.4</v>
      </c>
      <c r="G5928" s="4" t="str">
        <f>HYPERLINK("http://141.218.60.56/~jnz1568/getInfo.php?workbook=12_04.xlsx&amp;sheet=U0&amp;row=5928&amp;col=7&amp;number=0.27&amp;sourceID=14","0.27")</f>
        <v>0.27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HYPERLINK("http://141.218.60.56/~jnz1568/getInfo.php?workbook=12_04.xlsx&amp;sheet=U0&amp;row=5929&amp;col=6&amp;number=3.5&amp;sourceID=14","3.5")</f>
        <v>3.5</v>
      </c>
      <c r="G5929" s="4" t="str">
        <f>HYPERLINK("http://141.218.60.56/~jnz1568/getInfo.php?workbook=12_04.xlsx&amp;sheet=U0&amp;row=5929&amp;col=7&amp;number=0.268&amp;sourceID=14","0.268")</f>
        <v>0.268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HYPERLINK("http://141.218.60.56/~jnz1568/getInfo.php?workbook=12_04.xlsx&amp;sheet=U0&amp;row=5930&amp;col=6&amp;number=3.6&amp;sourceID=14","3.6")</f>
        <v>3.6</v>
      </c>
      <c r="G5930" s="4" t="str">
        <f>HYPERLINK("http://141.218.60.56/~jnz1568/getInfo.php?workbook=12_04.xlsx&amp;sheet=U0&amp;row=5930&amp;col=7&amp;number=0.265&amp;sourceID=14","0.265")</f>
        <v>0.265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HYPERLINK("http://141.218.60.56/~jnz1568/getInfo.php?workbook=12_04.xlsx&amp;sheet=U0&amp;row=5931&amp;col=6&amp;number=3.7&amp;sourceID=14","3.7")</f>
        <v>3.7</v>
      </c>
      <c r="G5931" s="4" t="str">
        <f>HYPERLINK("http://141.218.60.56/~jnz1568/getInfo.php?workbook=12_04.xlsx&amp;sheet=U0&amp;row=5931&amp;col=7&amp;number=0.262&amp;sourceID=14","0.262")</f>
        <v>0.262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HYPERLINK("http://141.218.60.56/~jnz1568/getInfo.php?workbook=12_04.xlsx&amp;sheet=U0&amp;row=5932&amp;col=6&amp;number=3.8&amp;sourceID=14","3.8")</f>
        <v>3.8</v>
      </c>
      <c r="G5932" s="4" t="str">
        <f>HYPERLINK("http://141.218.60.56/~jnz1568/getInfo.php?workbook=12_04.xlsx&amp;sheet=U0&amp;row=5932&amp;col=7&amp;number=0.258&amp;sourceID=14","0.258")</f>
        <v>0.258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HYPERLINK("http://141.218.60.56/~jnz1568/getInfo.php?workbook=12_04.xlsx&amp;sheet=U0&amp;row=5933&amp;col=6&amp;number=3.9&amp;sourceID=14","3.9")</f>
        <v>3.9</v>
      </c>
      <c r="G5933" s="4" t="str">
        <f>HYPERLINK("http://141.218.60.56/~jnz1568/getInfo.php?workbook=12_04.xlsx&amp;sheet=U0&amp;row=5933&amp;col=7&amp;number=0.253&amp;sourceID=14","0.253")</f>
        <v>0.253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HYPERLINK("http://141.218.60.56/~jnz1568/getInfo.php?workbook=12_04.xlsx&amp;sheet=U0&amp;row=5934&amp;col=6&amp;number=4&amp;sourceID=14","4")</f>
        <v>4</v>
      </c>
      <c r="G5934" s="4" t="str">
        <f>HYPERLINK("http://141.218.60.56/~jnz1568/getInfo.php?workbook=12_04.xlsx&amp;sheet=U0&amp;row=5934&amp;col=7&amp;number=0.247&amp;sourceID=14","0.247")</f>
        <v>0.247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HYPERLINK("http://141.218.60.56/~jnz1568/getInfo.php?workbook=12_04.xlsx&amp;sheet=U0&amp;row=5935&amp;col=6&amp;number=4.1&amp;sourceID=14","4.1")</f>
        <v>4.1</v>
      </c>
      <c r="G5935" s="4" t="str">
        <f>HYPERLINK("http://141.218.60.56/~jnz1568/getInfo.php?workbook=12_04.xlsx&amp;sheet=U0&amp;row=5935&amp;col=7&amp;number=0.24&amp;sourceID=14","0.24")</f>
        <v>0.24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HYPERLINK("http://141.218.60.56/~jnz1568/getInfo.php?workbook=12_04.xlsx&amp;sheet=U0&amp;row=5936&amp;col=6&amp;number=4.2&amp;sourceID=14","4.2")</f>
        <v>4.2</v>
      </c>
      <c r="G5936" s="4" t="str">
        <f>HYPERLINK("http://141.218.60.56/~jnz1568/getInfo.php?workbook=12_04.xlsx&amp;sheet=U0&amp;row=5936&amp;col=7&amp;number=0.23&amp;sourceID=14","0.23")</f>
        <v>0.23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HYPERLINK("http://141.218.60.56/~jnz1568/getInfo.php?workbook=12_04.xlsx&amp;sheet=U0&amp;row=5937&amp;col=6&amp;number=4.3&amp;sourceID=14","4.3")</f>
        <v>4.3</v>
      </c>
      <c r="G5937" s="4" t="str">
        <f>HYPERLINK("http://141.218.60.56/~jnz1568/getInfo.php?workbook=12_04.xlsx&amp;sheet=U0&amp;row=5937&amp;col=7&amp;number=0.219&amp;sourceID=14","0.219")</f>
        <v>0.219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HYPERLINK("http://141.218.60.56/~jnz1568/getInfo.php?workbook=12_04.xlsx&amp;sheet=U0&amp;row=5938&amp;col=6&amp;number=4.4&amp;sourceID=14","4.4")</f>
        <v>4.4</v>
      </c>
      <c r="G5938" s="4" t="str">
        <f>HYPERLINK("http://141.218.60.56/~jnz1568/getInfo.php?workbook=12_04.xlsx&amp;sheet=U0&amp;row=5938&amp;col=7&amp;number=0.205&amp;sourceID=14","0.205")</f>
        <v>0.205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HYPERLINK("http://141.218.60.56/~jnz1568/getInfo.php?workbook=12_04.xlsx&amp;sheet=U0&amp;row=5939&amp;col=6&amp;number=4.5&amp;sourceID=14","4.5")</f>
        <v>4.5</v>
      </c>
      <c r="G5939" s="4" t="str">
        <f>HYPERLINK("http://141.218.60.56/~jnz1568/getInfo.php?workbook=12_04.xlsx&amp;sheet=U0&amp;row=5939&amp;col=7&amp;number=0.189&amp;sourceID=14","0.189")</f>
        <v>0.189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HYPERLINK("http://141.218.60.56/~jnz1568/getInfo.php?workbook=12_04.xlsx&amp;sheet=U0&amp;row=5940&amp;col=6&amp;number=4.6&amp;sourceID=14","4.6")</f>
        <v>4.6</v>
      </c>
      <c r="G5940" s="4" t="str">
        <f>HYPERLINK("http://141.218.60.56/~jnz1568/getInfo.php?workbook=12_04.xlsx&amp;sheet=U0&amp;row=5940&amp;col=7&amp;number=0.171&amp;sourceID=14","0.171")</f>
        <v>0.171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HYPERLINK("http://141.218.60.56/~jnz1568/getInfo.php?workbook=12_04.xlsx&amp;sheet=U0&amp;row=5941&amp;col=6&amp;number=4.7&amp;sourceID=14","4.7")</f>
        <v>4.7</v>
      </c>
      <c r="G5941" s="4" t="str">
        <f>HYPERLINK("http://141.218.60.56/~jnz1568/getInfo.php?workbook=12_04.xlsx&amp;sheet=U0&amp;row=5941&amp;col=7&amp;number=0.152&amp;sourceID=14","0.152")</f>
        <v>0.152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HYPERLINK("http://141.218.60.56/~jnz1568/getInfo.php?workbook=12_04.xlsx&amp;sheet=U0&amp;row=5942&amp;col=6&amp;number=4.8&amp;sourceID=14","4.8")</f>
        <v>4.8</v>
      </c>
      <c r="G5942" s="4" t="str">
        <f>HYPERLINK("http://141.218.60.56/~jnz1568/getInfo.php?workbook=12_04.xlsx&amp;sheet=U0&amp;row=5942&amp;col=7&amp;number=0.133&amp;sourceID=14","0.133")</f>
        <v>0.133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HYPERLINK("http://141.218.60.56/~jnz1568/getInfo.php?workbook=12_04.xlsx&amp;sheet=U0&amp;row=5943&amp;col=6&amp;number=4.9&amp;sourceID=14","4.9")</f>
        <v>4.9</v>
      </c>
      <c r="G5943" s="4" t="str">
        <f>HYPERLINK("http://141.218.60.56/~jnz1568/getInfo.php?workbook=12_04.xlsx&amp;sheet=U0&amp;row=5943&amp;col=7&amp;number=0.117&amp;sourceID=14","0.117")</f>
        <v>0.117</v>
      </c>
    </row>
    <row r="5944" spans="1:7">
      <c r="A5944" s="3">
        <v>12</v>
      </c>
      <c r="B5944" s="3">
        <v>4</v>
      </c>
      <c r="C5944" s="3">
        <v>4</v>
      </c>
      <c r="D5944" s="3">
        <v>14</v>
      </c>
      <c r="E5944" s="3">
        <v>1</v>
      </c>
      <c r="F5944" s="4" t="str">
        <f>HYPERLINK("http://141.218.60.56/~jnz1568/getInfo.php?workbook=12_04.xlsx&amp;sheet=U0&amp;row=5944&amp;col=6&amp;number=3&amp;sourceID=14","3")</f>
        <v>3</v>
      </c>
      <c r="G5944" s="4" t="str">
        <f>HYPERLINK("http://141.218.60.56/~jnz1568/getInfo.php?workbook=12_04.xlsx&amp;sheet=U0&amp;row=5944&amp;col=7&amp;number=0.0638&amp;sourceID=14","0.0638")</f>
        <v>0.0638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HYPERLINK("http://141.218.60.56/~jnz1568/getInfo.php?workbook=12_04.xlsx&amp;sheet=U0&amp;row=5945&amp;col=6&amp;number=3.1&amp;sourceID=14","3.1")</f>
        <v>3.1</v>
      </c>
      <c r="G5945" s="4" t="str">
        <f>HYPERLINK("http://141.218.60.56/~jnz1568/getInfo.php?workbook=12_04.xlsx&amp;sheet=U0&amp;row=5945&amp;col=7&amp;number=0.0636&amp;sourceID=14","0.0636")</f>
        <v>0.0636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HYPERLINK("http://141.218.60.56/~jnz1568/getInfo.php?workbook=12_04.xlsx&amp;sheet=U0&amp;row=5946&amp;col=6&amp;number=3.2&amp;sourceID=14","3.2")</f>
        <v>3.2</v>
      </c>
      <c r="G5946" s="4" t="str">
        <f>HYPERLINK("http://141.218.60.56/~jnz1568/getInfo.php?workbook=12_04.xlsx&amp;sheet=U0&amp;row=5946&amp;col=7&amp;number=0.0635&amp;sourceID=14","0.0635")</f>
        <v>0.0635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HYPERLINK("http://141.218.60.56/~jnz1568/getInfo.php?workbook=12_04.xlsx&amp;sheet=U0&amp;row=5947&amp;col=6&amp;number=3.3&amp;sourceID=14","3.3")</f>
        <v>3.3</v>
      </c>
      <c r="G5947" s="4" t="str">
        <f>HYPERLINK("http://141.218.60.56/~jnz1568/getInfo.php?workbook=12_04.xlsx&amp;sheet=U0&amp;row=5947&amp;col=7&amp;number=0.0632&amp;sourceID=14","0.0632")</f>
        <v>0.0632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HYPERLINK("http://141.218.60.56/~jnz1568/getInfo.php?workbook=12_04.xlsx&amp;sheet=U0&amp;row=5948&amp;col=6&amp;number=3.4&amp;sourceID=14","3.4")</f>
        <v>3.4</v>
      </c>
      <c r="G5948" s="4" t="str">
        <f>HYPERLINK("http://141.218.60.56/~jnz1568/getInfo.php?workbook=12_04.xlsx&amp;sheet=U0&amp;row=5948&amp;col=7&amp;number=0.063&amp;sourceID=14","0.063")</f>
        <v>0.063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HYPERLINK("http://141.218.60.56/~jnz1568/getInfo.php?workbook=12_04.xlsx&amp;sheet=U0&amp;row=5949&amp;col=6&amp;number=3.5&amp;sourceID=14","3.5")</f>
        <v>3.5</v>
      </c>
      <c r="G5949" s="4" t="str">
        <f>HYPERLINK("http://141.218.60.56/~jnz1568/getInfo.php?workbook=12_04.xlsx&amp;sheet=U0&amp;row=5949&amp;col=7&amp;number=0.0626&amp;sourceID=14","0.0626")</f>
        <v>0.0626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HYPERLINK("http://141.218.60.56/~jnz1568/getInfo.php?workbook=12_04.xlsx&amp;sheet=U0&amp;row=5950&amp;col=6&amp;number=3.6&amp;sourceID=14","3.6")</f>
        <v>3.6</v>
      </c>
      <c r="G5950" s="4" t="str">
        <f>HYPERLINK("http://141.218.60.56/~jnz1568/getInfo.php?workbook=12_04.xlsx&amp;sheet=U0&amp;row=5950&amp;col=7&amp;number=0.0622&amp;sourceID=14","0.0622")</f>
        <v>0.0622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HYPERLINK("http://141.218.60.56/~jnz1568/getInfo.php?workbook=12_04.xlsx&amp;sheet=U0&amp;row=5951&amp;col=6&amp;number=3.7&amp;sourceID=14","3.7")</f>
        <v>3.7</v>
      </c>
      <c r="G5951" s="4" t="str">
        <f>HYPERLINK("http://141.218.60.56/~jnz1568/getInfo.php?workbook=12_04.xlsx&amp;sheet=U0&amp;row=5951&amp;col=7&amp;number=0.0617&amp;sourceID=14","0.0617")</f>
        <v>0.0617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HYPERLINK("http://141.218.60.56/~jnz1568/getInfo.php?workbook=12_04.xlsx&amp;sheet=U0&amp;row=5952&amp;col=6&amp;number=3.8&amp;sourceID=14","3.8")</f>
        <v>3.8</v>
      </c>
      <c r="G5952" s="4" t="str">
        <f>HYPERLINK("http://141.218.60.56/~jnz1568/getInfo.php?workbook=12_04.xlsx&amp;sheet=U0&amp;row=5952&amp;col=7&amp;number=0.061&amp;sourceID=14","0.061")</f>
        <v>0.061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HYPERLINK("http://141.218.60.56/~jnz1568/getInfo.php?workbook=12_04.xlsx&amp;sheet=U0&amp;row=5953&amp;col=6&amp;number=3.9&amp;sourceID=14","3.9")</f>
        <v>3.9</v>
      </c>
      <c r="G5953" s="4" t="str">
        <f>HYPERLINK("http://141.218.60.56/~jnz1568/getInfo.php?workbook=12_04.xlsx&amp;sheet=U0&amp;row=5953&amp;col=7&amp;number=0.0602&amp;sourceID=14","0.0602")</f>
        <v>0.0602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HYPERLINK("http://141.218.60.56/~jnz1568/getInfo.php?workbook=12_04.xlsx&amp;sheet=U0&amp;row=5954&amp;col=6&amp;number=4&amp;sourceID=14","4")</f>
        <v>4</v>
      </c>
      <c r="G5954" s="4" t="str">
        <f>HYPERLINK("http://141.218.60.56/~jnz1568/getInfo.php?workbook=12_04.xlsx&amp;sheet=U0&amp;row=5954&amp;col=7&amp;number=0.0591&amp;sourceID=14","0.0591")</f>
        <v>0.0591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HYPERLINK("http://141.218.60.56/~jnz1568/getInfo.php?workbook=12_04.xlsx&amp;sheet=U0&amp;row=5955&amp;col=6&amp;number=4.1&amp;sourceID=14","4.1")</f>
        <v>4.1</v>
      </c>
      <c r="G5955" s="4" t="str">
        <f>HYPERLINK("http://141.218.60.56/~jnz1568/getInfo.php?workbook=12_04.xlsx&amp;sheet=U0&amp;row=5955&amp;col=7&amp;number=0.0579&amp;sourceID=14","0.0579")</f>
        <v>0.0579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HYPERLINK("http://141.218.60.56/~jnz1568/getInfo.php?workbook=12_04.xlsx&amp;sheet=U0&amp;row=5956&amp;col=6&amp;number=4.2&amp;sourceID=14","4.2")</f>
        <v>4.2</v>
      </c>
      <c r="G5956" s="4" t="str">
        <f>HYPERLINK("http://141.218.60.56/~jnz1568/getInfo.php?workbook=12_04.xlsx&amp;sheet=U0&amp;row=5956&amp;col=7&amp;number=0.0563&amp;sourceID=14","0.0563")</f>
        <v>0.0563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HYPERLINK("http://141.218.60.56/~jnz1568/getInfo.php?workbook=12_04.xlsx&amp;sheet=U0&amp;row=5957&amp;col=6&amp;number=4.3&amp;sourceID=14","4.3")</f>
        <v>4.3</v>
      </c>
      <c r="G5957" s="4" t="str">
        <f>HYPERLINK("http://141.218.60.56/~jnz1568/getInfo.php?workbook=12_04.xlsx&amp;sheet=U0&amp;row=5957&amp;col=7&amp;number=0.0544&amp;sourceID=14","0.0544")</f>
        <v>0.0544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HYPERLINK("http://141.218.60.56/~jnz1568/getInfo.php?workbook=12_04.xlsx&amp;sheet=U0&amp;row=5958&amp;col=6&amp;number=4.4&amp;sourceID=14","4.4")</f>
        <v>4.4</v>
      </c>
      <c r="G5958" s="4" t="str">
        <f>HYPERLINK("http://141.218.60.56/~jnz1568/getInfo.php?workbook=12_04.xlsx&amp;sheet=U0&amp;row=5958&amp;col=7&amp;number=0.052&amp;sourceID=14","0.052")</f>
        <v>0.052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HYPERLINK("http://141.218.60.56/~jnz1568/getInfo.php?workbook=12_04.xlsx&amp;sheet=U0&amp;row=5959&amp;col=6&amp;number=4.5&amp;sourceID=14","4.5")</f>
        <v>4.5</v>
      </c>
      <c r="G5959" s="4" t="str">
        <f>HYPERLINK("http://141.218.60.56/~jnz1568/getInfo.php?workbook=12_04.xlsx&amp;sheet=U0&amp;row=5959&amp;col=7&amp;number=0.0493&amp;sourceID=14","0.0493")</f>
        <v>0.0493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HYPERLINK("http://141.218.60.56/~jnz1568/getInfo.php?workbook=12_04.xlsx&amp;sheet=U0&amp;row=5960&amp;col=6&amp;number=4.6&amp;sourceID=14","4.6")</f>
        <v>4.6</v>
      </c>
      <c r="G5960" s="4" t="str">
        <f>HYPERLINK("http://141.218.60.56/~jnz1568/getInfo.php?workbook=12_04.xlsx&amp;sheet=U0&amp;row=5960&amp;col=7&amp;number=0.0461&amp;sourceID=14","0.0461")</f>
        <v>0.0461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HYPERLINK("http://141.218.60.56/~jnz1568/getInfo.php?workbook=12_04.xlsx&amp;sheet=U0&amp;row=5961&amp;col=6&amp;number=4.7&amp;sourceID=14","4.7")</f>
        <v>4.7</v>
      </c>
      <c r="G5961" s="4" t="str">
        <f>HYPERLINK("http://141.218.60.56/~jnz1568/getInfo.php?workbook=12_04.xlsx&amp;sheet=U0&amp;row=5961&amp;col=7&amp;number=0.0426&amp;sourceID=14","0.0426")</f>
        <v>0.0426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HYPERLINK("http://141.218.60.56/~jnz1568/getInfo.php?workbook=12_04.xlsx&amp;sheet=U0&amp;row=5962&amp;col=6&amp;number=4.8&amp;sourceID=14","4.8")</f>
        <v>4.8</v>
      </c>
      <c r="G5962" s="4" t="str">
        <f>HYPERLINK("http://141.218.60.56/~jnz1568/getInfo.php?workbook=12_04.xlsx&amp;sheet=U0&amp;row=5962&amp;col=7&amp;number=0.0389&amp;sourceID=14","0.0389")</f>
        <v>0.0389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HYPERLINK("http://141.218.60.56/~jnz1568/getInfo.php?workbook=12_04.xlsx&amp;sheet=U0&amp;row=5963&amp;col=6&amp;number=4.9&amp;sourceID=14","4.9")</f>
        <v>4.9</v>
      </c>
      <c r="G5963" s="4" t="str">
        <f>HYPERLINK("http://141.218.60.56/~jnz1568/getInfo.php?workbook=12_04.xlsx&amp;sheet=U0&amp;row=5963&amp;col=7&amp;number=0.0353&amp;sourceID=14","0.0353")</f>
        <v>0.0353</v>
      </c>
    </row>
    <row r="5964" spans="1:7">
      <c r="A5964" s="3">
        <v>12</v>
      </c>
      <c r="B5964" s="3">
        <v>4</v>
      </c>
      <c r="C5964" s="3">
        <v>4</v>
      </c>
      <c r="D5964" s="3">
        <v>15</v>
      </c>
      <c r="E5964" s="3">
        <v>1</v>
      </c>
      <c r="F5964" s="4" t="str">
        <f>HYPERLINK("http://141.218.60.56/~jnz1568/getInfo.php?workbook=12_04.xlsx&amp;sheet=U0&amp;row=5964&amp;col=6&amp;number=3&amp;sourceID=14","3")</f>
        <v>3</v>
      </c>
      <c r="G5964" s="4" t="str">
        <f>HYPERLINK("http://141.218.60.56/~jnz1568/getInfo.php?workbook=12_04.xlsx&amp;sheet=U0&amp;row=5964&amp;col=7&amp;number=0.244&amp;sourceID=14","0.244")</f>
        <v>0.244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HYPERLINK("http://141.218.60.56/~jnz1568/getInfo.php?workbook=12_04.xlsx&amp;sheet=U0&amp;row=5965&amp;col=6&amp;number=3.1&amp;sourceID=14","3.1")</f>
        <v>3.1</v>
      </c>
      <c r="G5965" s="4" t="str">
        <f>HYPERLINK("http://141.218.60.56/~jnz1568/getInfo.php?workbook=12_04.xlsx&amp;sheet=U0&amp;row=5965&amp;col=7&amp;number=0.243&amp;sourceID=14","0.243")</f>
        <v>0.243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HYPERLINK("http://141.218.60.56/~jnz1568/getInfo.php?workbook=12_04.xlsx&amp;sheet=U0&amp;row=5966&amp;col=6&amp;number=3.2&amp;sourceID=14","3.2")</f>
        <v>3.2</v>
      </c>
      <c r="G5966" s="4" t="str">
        <f>HYPERLINK("http://141.218.60.56/~jnz1568/getInfo.php?workbook=12_04.xlsx&amp;sheet=U0&amp;row=5966&amp;col=7&amp;number=0.243&amp;sourceID=14","0.243")</f>
        <v>0.243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HYPERLINK("http://141.218.60.56/~jnz1568/getInfo.php?workbook=12_04.xlsx&amp;sheet=U0&amp;row=5967&amp;col=6&amp;number=3.3&amp;sourceID=14","3.3")</f>
        <v>3.3</v>
      </c>
      <c r="G5967" s="4" t="str">
        <f>HYPERLINK("http://141.218.60.56/~jnz1568/getInfo.php?workbook=12_04.xlsx&amp;sheet=U0&amp;row=5967&amp;col=7&amp;number=0.242&amp;sourceID=14","0.242")</f>
        <v>0.242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HYPERLINK("http://141.218.60.56/~jnz1568/getInfo.php?workbook=12_04.xlsx&amp;sheet=U0&amp;row=5968&amp;col=6&amp;number=3.4&amp;sourceID=14","3.4")</f>
        <v>3.4</v>
      </c>
      <c r="G5968" s="4" t="str">
        <f>HYPERLINK("http://141.218.60.56/~jnz1568/getInfo.php?workbook=12_04.xlsx&amp;sheet=U0&amp;row=5968&amp;col=7&amp;number=0.241&amp;sourceID=14","0.241")</f>
        <v>0.241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HYPERLINK("http://141.218.60.56/~jnz1568/getInfo.php?workbook=12_04.xlsx&amp;sheet=U0&amp;row=5969&amp;col=6&amp;number=3.5&amp;sourceID=14","3.5")</f>
        <v>3.5</v>
      </c>
      <c r="G5969" s="4" t="str">
        <f>HYPERLINK("http://141.218.60.56/~jnz1568/getInfo.php?workbook=12_04.xlsx&amp;sheet=U0&amp;row=5969&amp;col=7&amp;number=0.239&amp;sourceID=14","0.239")</f>
        <v>0.239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HYPERLINK("http://141.218.60.56/~jnz1568/getInfo.php?workbook=12_04.xlsx&amp;sheet=U0&amp;row=5970&amp;col=6&amp;number=3.6&amp;sourceID=14","3.6")</f>
        <v>3.6</v>
      </c>
      <c r="G5970" s="4" t="str">
        <f>HYPERLINK("http://141.218.60.56/~jnz1568/getInfo.php?workbook=12_04.xlsx&amp;sheet=U0&amp;row=5970&amp;col=7&amp;number=0.238&amp;sourceID=14","0.238")</f>
        <v>0.238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HYPERLINK("http://141.218.60.56/~jnz1568/getInfo.php?workbook=12_04.xlsx&amp;sheet=U0&amp;row=5971&amp;col=6&amp;number=3.7&amp;sourceID=14","3.7")</f>
        <v>3.7</v>
      </c>
      <c r="G5971" s="4" t="str">
        <f>HYPERLINK("http://141.218.60.56/~jnz1568/getInfo.php?workbook=12_04.xlsx&amp;sheet=U0&amp;row=5971&amp;col=7&amp;number=0.235&amp;sourceID=14","0.235")</f>
        <v>0.235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HYPERLINK("http://141.218.60.56/~jnz1568/getInfo.php?workbook=12_04.xlsx&amp;sheet=U0&amp;row=5972&amp;col=6&amp;number=3.8&amp;sourceID=14","3.8")</f>
        <v>3.8</v>
      </c>
      <c r="G5972" s="4" t="str">
        <f>HYPERLINK("http://141.218.60.56/~jnz1568/getInfo.php?workbook=12_04.xlsx&amp;sheet=U0&amp;row=5972&amp;col=7&amp;number=0.233&amp;sourceID=14","0.233")</f>
        <v>0.233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HYPERLINK("http://141.218.60.56/~jnz1568/getInfo.php?workbook=12_04.xlsx&amp;sheet=U0&amp;row=5973&amp;col=6&amp;number=3.9&amp;sourceID=14","3.9")</f>
        <v>3.9</v>
      </c>
      <c r="G5973" s="4" t="str">
        <f>HYPERLINK("http://141.218.60.56/~jnz1568/getInfo.php?workbook=12_04.xlsx&amp;sheet=U0&amp;row=5973&amp;col=7&amp;number=0.229&amp;sourceID=14","0.229")</f>
        <v>0.229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HYPERLINK("http://141.218.60.56/~jnz1568/getInfo.php?workbook=12_04.xlsx&amp;sheet=U0&amp;row=5974&amp;col=6&amp;number=4&amp;sourceID=14","4")</f>
        <v>4</v>
      </c>
      <c r="G5974" s="4" t="str">
        <f>HYPERLINK("http://141.218.60.56/~jnz1568/getInfo.php?workbook=12_04.xlsx&amp;sheet=U0&amp;row=5974&amp;col=7&amp;number=0.225&amp;sourceID=14","0.225")</f>
        <v>0.225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HYPERLINK("http://141.218.60.56/~jnz1568/getInfo.php?workbook=12_04.xlsx&amp;sheet=U0&amp;row=5975&amp;col=6&amp;number=4.1&amp;sourceID=14","4.1")</f>
        <v>4.1</v>
      </c>
      <c r="G5975" s="4" t="str">
        <f>HYPERLINK("http://141.218.60.56/~jnz1568/getInfo.php?workbook=12_04.xlsx&amp;sheet=U0&amp;row=5975&amp;col=7&amp;number=0.219&amp;sourceID=14","0.219")</f>
        <v>0.219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HYPERLINK("http://141.218.60.56/~jnz1568/getInfo.php?workbook=12_04.xlsx&amp;sheet=U0&amp;row=5976&amp;col=6&amp;number=4.2&amp;sourceID=14","4.2")</f>
        <v>4.2</v>
      </c>
      <c r="G5976" s="4" t="str">
        <f>HYPERLINK("http://141.218.60.56/~jnz1568/getInfo.php?workbook=12_04.xlsx&amp;sheet=U0&amp;row=5976&amp;col=7&amp;number=0.213&amp;sourceID=14","0.213")</f>
        <v>0.213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HYPERLINK("http://141.218.60.56/~jnz1568/getInfo.php?workbook=12_04.xlsx&amp;sheet=U0&amp;row=5977&amp;col=6&amp;number=4.3&amp;sourceID=14","4.3")</f>
        <v>4.3</v>
      </c>
      <c r="G5977" s="4" t="str">
        <f>HYPERLINK("http://141.218.60.56/~jnz1568/getInfo.php?workbook=12_04.xlsx&amp;sheet=U0&amp;row=5977&amp;col=7&amp;number=0.205&amp;sourceID=14","0.205")</f>
        <v>0.205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HYPERLINK("http://141.218.60.56/~jnz1568/getInfo.php?workbook=12_04.xlsx&amp;sheet=U0&amp;row=5978&amp;col=6&amp;number=4.4&amp;sourceID=14","4.4")</f>
        <v>4.4</v>
      </c>
      <c r="G5978" s="4" t="str">
        <f>HYPERLINK("http://141.218.60.56/~jnz1568/getInfo.php?workbook=12_04.xlsx&amp;sheet=U0&amp;row=5978&amp;col=7&amp;number=0.195&amp;sourceID=14","0.195")</f>
        <v>0.195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HYPERLINK("http://141.218.60.56/~jnz1568/getInfo.php?workbook=12_04.xlsx&amp;sheet=U0&amp;row=5979&amp;col=6&amp;number=4.5&amp;sourceID=14","4.5")</f>
        <v>4.5</v>
      </c>
      <c r="G5979" s="4" t="str">
        <f>HYPERLINK("http://141.218.60.56/~jnz1568/getInfo.php?workbook=12_04.xlsx&amp;sheet=U0&amp;row=5979&amp;col=7&amp;number=0.184&amp;sourceID=14","0.184")</f>
        <v>0.184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HYPERLINK("http://141.218.60.56/~jnz1568/getInfo.php?workbook=12_04.xlsx&amp;sheet=U0&amp;row=5980&amp;col=6&amp;number=4.6&amp;sourceID=14","4.6")</f>
        <v>4.6</v>
      </c>
      <c r="G5980" s="4" t="str">
        <f>HYPERLINK("http://141.218.60.56/~jnz1568/getInfo.php?workbook=12_04.xlsx&amp;sheet=U0&amp;row=5980&amp;col=7&amp;number=0.171&amp;sourceID=14","0.171")</f>
        <v>0.171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HYPERLINK("http://141.218.60.56/~jnz1568/getInfo.php?workbook=12_04.xlsx&amp;sheet=U0&amp;row=5981&amp;col=6&amp;number=4.7&amp;sourceID=14","4.7")</f>
        <v>4.7</v>
      </c>
      <c r="G5981" s="4" t="str">
        <f>HYPERLINK("http://141.218.60.56/~jnz1568/getInfo.php?workbook=12_04.xlsx&amp;sheet=U0&amp;row=5981&amp;col=7&amp;number=0.156&amp;sourceID=14","0.156")</f>
        <v>0.156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HYPERLINK("http://141.218.60.56/~jnz1568/getInfo.php?workbook=12_04.xlsx&amp;sheet=U0&amp;row=5982&amp;col=6&amp;number=4.8&amp;sourceID=14","4.8")</f>
        <v>4.8</v>
      </c>
      <c r="G5982" s="4" t="str">
        <f>HYPERLINK("http://141.218.60.56/~jnz1568/getInfo.php?workbook=12_04.xlsx&amp;sheet=U0&amp;row=5982&amp;col=7&amp;number=0.141&amp;sourceID=14","0.141")</f>
        <v>0.141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HYPERLINK("http://141.218.60.56/~jnz1568/getInfo.php?workbook=12_04.xlsx&amp;sheet=U0&amp;row=5983&amp;col=6&amp;number=4.9&amp;sourceID=14","4.9")</f>
        <v>4.9</v>
      </c>
      <c r="G5983" s="4" t="str">
        <f>HYPERLINK("http://141.218.60.56/~jnz1568/getInfo.php?workbook=12_04.xlsx&amp;sheet=U0&amp;row=5983&amp;col=7&amp;number=0.127&amp;sourceID=14","0.127")</f>
        <v>0.127</v>
      </c>
    </row>
    <row r="5984" spans="1:7">
      <c r="A5984" s="3">
        <v>12</v>
      </c>
      <c r="B5984" s="3">
        <v>4</v>
      </c>
      <c r="C5984" s="3">
        <v>4</v>
      </c>
      <c r="D5984" s="3">
        <v>16</v>
      </c>
      <c r="E5984" s="3">
        <v>1</v>
      </c>
      <c r="F5984" s="4" t="str">
        <f>HYPERLINK("http://141.218.60.56/~jnz1568/getInfo.php?workbook=12_04.xlsx&amp;sheet=U0&amp;row=5984&amp;col=6&amp;number=3&amp;sourceID=14","3")</f>
        <v>3</v>
      </c>
      <c r="G5984" s="4" t="str">
        <f>HYPERLINK("http://141.218.60.56/~jnz1568/getInfo.php?workbook=12_04.xlsx&amp;sheet=U0&amp;row=5984&amp;col=7&amp;number=0.856&amp;sourceID=14","0.856")</f>
        <v>0.856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HYPERLINK("http://141.218.60.56/~jnz1568/getInfo.php?workbook=12_04.xlsx&amp;sheet=U0&amp;row=5985&amp;col=6&amp;number=3.1&amp;sourceID=14","3.1")</f>
        <v>3.1</v>
      </c>
      <c r="G5985" s="4" t="str">
        <f>HYPERLINK("http://141.218.60.56/~jnz1568/getInfo.php?workbook=12_04.xlsx&amp;sheet=U0&amp;row=5985&amp;col=7&amp;number=0.854&amp;sourceID=14","0.854")</f>
        <v>0.854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HYPERLINK("http://141.218.60.56/~jnz1568/getInfo.php?workbook=12_04.xlsx&amp;sheet=U0&amp;row=5986&amp;col=6&amp;number=3.2&amp;sourceID=14","3.2")</f>
        <v>3.2</v>
      </c>
      <c r="G5986" s="4" t="str">
        <f>HYPERLINK("http://141.218.60.56/~jnz1568/getInfo.php?workbook=12_04.xlsx&amp;sheet=U0&amp;row=5986&amp;col=7&amp;number=0.852&amp;sourceID=14","0.852")</f>
        <v>0.852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HYPERLINK("http://141.218.60.56/~jnz1568/getInfo.php?workbook=12_04.xlsx&amp;sheet=U0&amp;row=5987&amp;col=6&amp;number=3.3&amp;sourceID=14","3.3")</f>
        <v>3.3</v>
      </c>
      <c r="G5987" s="4" t="str">
        <f>HYPERLINK("http://141.218.60.56/~jnz1568/getInfo.php?workbook=12_04.xlsx&amp;sheet=U0&amp;row=5987&amp;col=7&amp;number=0.85&amp;sourceID=14","0.85")</f>
        <v>0.85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HYPERLINK("http://141.218.60.56/~jnz1568/getInfo.php?workbook=12_04.xlsx&amp;sheet=U0&amp;row=5988&amp;col=6&amp;number=3.4&amp;sourceID=14","3.4")</f>
        <v>3.4</v>
      </c>
      <c r="G5988" s="4" t="str">
        <f>HYPERLINK("http://141.218.60.56/~jnz1568/getInfo.php?workbook=12_04.xlsx&amp;sheet=U0&amp;row=5988&amp;col=7&amp;number=0.847&amp;sourceID=14","0.847")</f>
        <v>0.847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HYPERLINK("http://141.218.60.56/~jnz1568/getInfo.php?workbook=12_04.xlsx&amp;sheet=U0&amp;row=5989&amp;col=6&amp;number=3.5&amp;sourceID=14","3.5")</f>
        <v>3.5</v>
      </c>
      <c r="G5989" s="4" t="str">
        <f>HYPERLINK("http://141.218.60.56/~jnz1568/getInfo.php?workbook=12_04.xlsx&amp;sheet=U0&amp;row=5989&amp;col=7&amp;number=0.843&amp;sourceID=14","0.843")</f>
        <v>0.843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HYPERLINK("http://141.218.60.56/~jnz1568/getInfo.php?workbook=12_04.xlsx&amp;sheet=U0&amp;row=5990&amp;col=6&amp;number=3.6&amp;sourceID=14","3.6")</f>
        <v>3.6</v>
      </c>
      <c r="G5990" s="4" t="str">
        <f>HYPERLINK("http://141.218.60.56/~jnz1568/getInfo.php?workbook=12_04.xlsx&amp;sheet=U0&amp;row=5990&amp;col=7&amp;number=0.838&amp;sourceID=14","0.838")</f>
        <v>0.838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HYPERLINK("http://141.218.60.56/~jnz1568/getInfo.php?workbook=12_04.xlsx&amp;sheet=U0&amp;row=5991&amp;col=6&amp;number=3.7&amp;sourceID=14","3.7")</f>
        <v>3.7</v>
      </c>
      <c r="G5991" s="4" t="str">
        <f>HYPERLINK("http://141.218.60.56/~jnz1568/getInfo.php?workbook=12_04.xlsx&amp;sheet=U0&amp;row=5991&amp;col=7&amp;number=0.831&amp;sourceID=14","0.831")</f>
        <v>0.831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HYPERLINK("http://141.218.60.56/~jnz1568/getInfo.php?workbook=12_04.xlsx&amp;sheet=U0&amp;row=5992&amp;col=6&amp;number=3.8&amp;sourceID=14","3.8")</f>
        <v>3.8</v>
      </c>
      <c r="G5992" s="4" t="str">
        <f>HYPERLINK("http://141.218.60.56/~jnz1568/getInfo.php?workbook=12_04.xlsx&amp;sheet=U0&amp;row=5992&amp;col=7&amp;number=0.824&amp;sourceID=14","0.824")</f>
        <v>0.824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HYPERLINK("http://141.218.60.56/~jnz1568/getInfo.php?workbook=12_04.xlsx&amp;sheet=U0&amp;row=5993&amp;col=6&amp;number=3.9&amp;sourceID=14","3.9")</f>
        <v>3.9</v>
      </c>
      <c r="G5993" s="4" t="str">
        <f>HYPERLINK("http://141.218.60.56/~jnz1568/getInfo.php?workbook=12_04.xlsx&amp;sheet=U0&amp;row=5993&amp;col=7&amp;number=0.814&amp;sourceID=14","0.814")</f>
        <v>0.814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HYPERLINK("http://141.218.60.56/~jnz1568/getInfo.php?workbook=12_04.xlsx&amp;sheet=U0&amp;row=5994&amp;col=6&amp;number=4&amp;sourceID=14","4")</f>
        <v>4</v>
      </c>
      <c r="G5994" s="4" t="str">
        <f>HYPERLINK("http://141.218.60.56/~jnz1568/getInfo.php?workbook=12_04.xlsx&amp;sheet=U0&amp;row=5994&amp;col=7&amp;number=0.802&amp;sourceID=14","0.802")</f>
        <v>0.802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HYPERLINK("http://141.218.60.56/~jnz1568/getInfo.php?workbook=12_04.xlsx&amp;sheet=U0&amp;row=5995&amp;col=6&amp;number=4.1&amp;sourceID=14","4.1")</f>
        <v>4.1</v>
      </c>
      <c r="G5995" s="4" t="str">
        <f>HYPERLINK("http://141.218.60.56/~jnz1568/getInfo.php?workbook=12_04.xlsx&amp;sheet=U0&amp;row=5995&amp;col=7&amp;number=0.786&amp;sourceID=14","0.786")</f>
        <v>0.786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HYPERLINK("http://141.218.60.56/~jnz1568/getInfo.php?workbook=12_04.xlsx&amp;sheet=U0&amp;row=5996&amp;col=6&amp;number=4.2&amp;sourceID=14","4.2")</f>
        <v>4.2</v>
      </c>
      <c r="G5996" s="4" t="str">
        <f>HYPERLINK("http://141.218.60.56/~jnz1568/getInfo.php?workbook=12_04.xlsx&amp;sheet=U0&amp;row=5996&amp;col=7&amp;number=0.767&amp;sourceID=14","0.767")</f>
        <v>0.767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HYPERLINK("http://141.218.60.56/~jnz1568/getInfo.php?workbook=12_04.xlsx&amp;sheet=U0&amp;row=5997&amp;col=6&amp;number=4.3&amp;sourceID=14","4.3")</f>
        <v>4.3</v>
      </c>
      <c r="G5997" s="4" t="str">
        <f>HYPERLINK("http://141.218.60.56/~jnz1568/getInfo.php?workbook=12_04.xlsx&amp;sheet=U0&amp;row=5997&amp;col=7&amp;number=0.744&amp;sourceID=14","0.744")</f>
        <v>0.744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HYPERLINK("http://141.218.60.56/~jnz1568/getInfo.php?workbook=12_04.xlsx&amp;sheet=U0&amp;row=5998&amp;col=6&amp;number=4.4&amp;sourceID=14","4.4")</f>
        <v>4.4</v>
      </c>
      <c r="G5998" s="4" t="str">
        <f>HYPERLINK("http://141.218.60.56/~jnz1568/getInfo.php?workbook=12_04.xlsx&amp;sheet=U0&amp;row=5998&amp;col=7&amp;number=0.716&amp;sourceID=14","0.716")</f>
        <v>0.716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HYPERLINK("http://141.218.60.56/~jnz1568/getInfo.php?workbook=12_04.xlsx&amp;sheet=U0&amp;row=5999&amp;col=6&amp;number=4.5&amp;sourceID=14","4.5")</f>
        <v>4.5</v>
      </c>
      <c r="G5999" s="4" t="str">
        <f>HYPERLINK("http://141.218.60.56/~jnz1568/getInfo.php?workbook=12_04.xlsx&amp;sheet=U0&amp;row=5999&amp;col=7&amp;number=0.682&amp;sourceID=14","0.682")</f>
        <v>0.682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HYPERLINK("http://141.218.60.56/~jnz1568/getInfo.php?workbook=12_04.xlsx&amp;sheet=U0&amp;row=6000&amp;col=6&amp;number=4.6&amp;sourceID=14","4.6")</f>
        <v>4.6</v>
      </c>
      <c r="G6000" s="4" t="str">
        <f>HYPERLINK("http://141.218.60.56/~jnz1568/getInfo.php?workbook=12_04.xlsx&amp;sheet=U0&amp;row=6000&amp;col=7&amp;number=0.641&amp;sourceID=14","0.641")</f>
        <v>0.641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HYPERLINK("http://141.218.60.56/~jnz1568/getInfo.php?workbook=12_04.xlsx&amp;sheet=U0&amp;row=6001&amp;col=6&amp;number=4.7&amp;sourceID=14","4.7")</f>
        <v>4.7</v>
      </c>
      <c r="G6001" s="4" t="str">
        <f>HYPERLINK("http://141.218.60.56/~jnz1568/getInfo.php?workbook=12_04.xlsx&amp;sheet=U0&amp;row=6001&amp;col=7&amp;number=0.595&amp;sourceID=14","0.595")</f>
        <v>0.595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HYPERLINK("http://141.218.60.56/~jnz1568/getInfo.php?workbook=12_04.xlsx&amp;sheet=U0&amp;row=6002&amp;col=6&amp;number=4.8&amp;sourceID=14","4.8")</f>
        <v>4.8</v>
      </c>
      <c r="G6002" s="4" t="str">
        <f>HYPERLINK("http://141.218.60.56/~jnz1568/getInfo.php?workbook=12_04.xlsx&amp;sheet=U0&amp;row=6002&amp;col=7&amp;number=0.544&amp;sourceID=14","0.544")</f>
        <v>0.544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HYPERLINK("http://141.218.60.56/~jnz1568/getInfo.php?workbook=12_04.xlsx&amp;sheet=U0&amp;row=6003&amp;col=6&amp;number=4.9&amp;sourceID=14","4.9")</f>
        <v>4.9</v>
      </c>
      <c r="G6003" s="4" t="str">
        <f>HYPERLINK("http://141.218.60.56/~jnz1568/getInfo.php?workbook=12_04.xlsx&amp;sheet=U0&amp;row=6003&amp;col=7&amp;number=0.492&amp;sourceID=14","0.492")</f>
        <v>0.492</v>
      </c>
    </row>
    <row r="6004" spans="1:7">
      <c r="A6004" s="3">
        <v>12</v>
      </c>
      <c r="B6004" s="3">
        <v>4</v>
      </c>
      <c r="C6004" s="3">
        <v>4</v>
      </c>
      <c r="D6004" s="3">
        <v>17</v>
      </c>
      <c r="E6004" s="3">
        <v>1</v>
      </c>
      <c r="F6004" s="4" t="str">
        <f>HYPERLINK("http://141.218.60.56/~jnz1568/getInfo.php?workbook=12_04.xlsx&amp;sheet=U0&amp;row=6004&amp;col=6&amp;number=3&amp;sourceID=14","3")</f>
        <v>3</v>
      </c>
      <c r="G6004" s="4" t="str">
        <f>HYPERLINK("http://141.218.60.56/~jnz1568/getInfo.php?workbook=12_04.xlsx&amp;sheet=U0&amp;row=6004&amp;col=7&amp;number=0.0621&amp;sourceID=14","0.0621")</f>
        <v>0.0621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HYPERLINK("http://141.218.60.56/~jnz1568/getInfo.php?workbook=12_04.xlsx&amp;sheet=U0&amp;row=6005&amp;col=6&amp;number=3.1&amp;sourceID=14","3.1")</f>
        <v>3.1</v>
      </c>
      <c r="G6005" s="4" t="str">
        <f>HYPERLINK("http://141.218.60.56/~jnz1568/getInfo.php?workbook=12_04.xlsx&amp;sheet=U0&amp;row=6005&amp;col=7&amp;number=0.0621&amp;sourceID=14","0.0621")</f>
        <v>0.0621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HYPERLINK("http://141.218.60.56/~jnz1568/getInfo.php?workbook=12_04.xlsx&amp;sheet=U0&amp;row=6006&amp;col=6&amp;number=3.2&amp;sourceID=14","3.2")</f>
        <v>3.2</v>
      </c>
      <c r="G6006" s="4" t="str">
        <f>HYPERLINK("http://141.218.60.56/~jnz1568/getInfo.php?workbook=12_04.xlsx&amp;sheet=U0&amp;row=6006&amp;col=7&amp;number=0.0621&amp;sourceID=14","0.0621")</f>
        <v>0.0621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HYPERLINK("http://141.218.60.56/~jnz1568/getInfo.php?workbook=12_04.xlsx&amp;sheet=U0&amp;row=6007&amp;col=6&amp;number=3.3&amp;sourceID=14","3.3")</f>
        <v>3.3</v>
      </c>
      <c r="G6007" s="4" t="str">
        <f>HYPERLINK("http://141.218.60.56/~jnz1568/getInfo.php?workbook=12_04.xlsx&amp;sheet=U0&amp;row=6007&amp;col=7&amp;number=0.062&amp;sourceID=14","0.062")</f>
        <v>0.062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HYPERLINK("http://141.218.60.56/~jnz1568/getInfo.php?workbook=12_04.xlsx&amp;sheet=U0&amp;row=6008&amp;col=6&amp;number=3.4&amp;sourceID=14","3.4")</f>
        <v>3.4</v>
      </c>
      <c r="G6008" s="4" t="str">
        <f>HYPERLINK("http://141.218.60.56/~jnz1568/getInfo.php?workbook=12_04.xlsx&amp;sheet=U0&amp;row=6008&amp;col=7&amp;number=0.062&amp;sourceID=14","0.062")</f>
        <v>0.062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HYPERLINK("http://141.218.60.56/~jnz1568/getInfo.php?workbook=12_04.xlsx&amp;sheet=U0&amp;row=6009&amp;col=6&amp;number=3.5&amp;sourceID=14","3.5")</f>
        <v>3.5</v>
      </c>
      <c r="G6009" s="4" t="str">
        <f>HYPERLINK("http://141.218.60.56/~jnz1568/getInfo.php?workbook=12_04.xlsx&amp;sheet=U0&amp;row=6009&amp;col=7&amp;number=0.0619&amp;sourceID=14","0.0619")</f>
        <v>0.0619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HYPERLINK("http://141.218.60.56/~jnz1568/getInfo.php?workbook=12_04.xlsx&amp;sheet=U0&amp;row=6010&amp;col=6&amp;number=3.6&amp;sourceID=14","3.6")</f>
        <v>3.6</v>
      </c>
      <c r="G6010" s="4" t="str">
        <f>HYPERLINK("http://141.218.60.56/~jnz1568/getInfo.php?workbook=12_04.xlsx&amp;sheet=U0&amp;row=6010&amp;col=7&amp;number=0.0619&amp;sourceID=14","0.0619")</f>
        <v>0.0619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HYPERLINK("http://141.218.60.56/~jnz1568/getInfo.php?workbook=12_04.xlsx&amp;sheet=U0&amp;row=6011&amp;col=6&amp;number=3.7&amp;sourceID=14","3.7")</f>
        <v>3.7</v>
      </c>
      <c r="G6011" s="4" t="str">
        <f>HYPERLINK("http://141.218.60.56/~jnz1568/getInfo.php?workbook=12_04.xlsx&amp;sheet=U0&amp;row=6011&amp;col=7&amp;number=0.0618&amp;sourceID=14","0.0618")</f>
        <v>0.0618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HYPERLINK("http://141.218.60.56/~jnz1568/getInfo.php?workbook=12_04.xlsx&amp;sheet=U0&amp;row=6012&amp;col=6&amp;number=3.8&amp;sourceID=14","3.8")</f>
        <v>3.8</v>
      </c>
      <c r="G6012" s="4" t="str">
        <f>HYPERLINK("http://141.218.60.56/~jnz1568/getInfo.php?workbook=12_04.xlsx&amp;sheet=U0&amp;row=6012&amp;col=7&amp;number=0.0617&amp;sourceID=14","0.0617")</f>
        <v>0.0617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HYPERLINK("http://141.218.60.56/~jnz1568/getInfo.php?workbook=12_04.xlsx&amp;sheet=U0&amp;row=6013&amp;col=6&amp;number=3.9&amp;sourceID=14","3.9")</f>
        <v>3.9</v>
      </c>
      <c r="G6013" s="4" t="str">
        <f>HYPERLINK("http://141.218.60.56/~jnz1568/getInfo.php?workbook=12_04.xlsx&amp;sheet=U0&amp;row=6013&amp;col=7&amp;number=0.0615&amp;sourceID=14","0.0615")</f>
        <v>0.0615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HYPERLINK("http://141.218.60.56/~jnz1568/getInfo.php?workbook=12_04.xlsx&amp;sheet=U0&amp;row=6014&amp;col=6&amp;number=4&amp;sourceID=14","4")</f>
        <v>4</v>
      </c>
      <c r="G6014" s="4" t="str">
        <f>HYPERLINK("http://141.218.60.56/~jnz1568/getInfo.php?workbook=12_04.xlsx&amp;sheet=U0&amp;row=6014&amp;col=7&amp;number=0.0613&amp;sourceID=14","0.0613")</f>
        <v>0.0613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HYPERLINK("http://141.218.60.56/~jnz1568/getInfo.php?workbook=12_04.xlsx&amp;sheet=U0&amp;row=6015&amp;col=6&amp;number=4.1&amp;sourceID=14","4.1")</f>
        <v>4.1</v>
      </c>
      <c r="G6015" s="4" t="str">
        <f>HYPERLINK("http://141.218.60.56/~jnz1568/getInfo.php?workbook=12_04.xlsx&amp;sheet=U0&amp;row=6015&amp;col=7&amp;number=0.0611&amp;sourceID=14","0.0611")</f>
        <v>0.0611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HYPERLINK("http://141.218.60.56/~jnz1568/getInfo.php?workbook=12_04.xlsx&amp;sheet=U0&amp;row=6016&amp;col=6&amp;number=4.2&amp;sourceID=14","4.2")</f>
        <v>4.2</v>
      </c>
      <c r="G6016" s="4" t="str">
        <f>HYPERLINK("http://141.218.60.56/~jnz1568/getInfo.php?workbook=12_04.xlsx&amp;sheet=U0&amp;row=6016&amp;col=7&amp;number=0.0608&amp;sourceID=14","0.0608")</f>
        <v>0.0608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HYPERLINK("http://141.218.60.56/~jnz1568/getInfo.php?workbook=12_04.xlsx&amp;sheet=U0&amp;row=6017&amp;col=6&amp;number=4.3&amp;sourceID=14","4.3")</f>
        <v>4.3</v>
      </c>
      <c r="G6017" s="4" t="str">
        <f>HYPERLINK("http://141.218.60.56/~jnz1568/getInfo.php?workbook=12_04.xlsx&amp;sheet=U0&amp;row=6017&amp;col=7&amp;number=0.0604&amp;sourceID=14","0.0604")</f>
        <v>0.0604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HYPERLINK("http://141.218.60.56/~jnz1568/getInfo.php?workbook=12_04.xlsx&amp;sheet=U0&amp;row=6018&amp;col=6&amp;number=4.4&amp;sourceID=14","4.4")</f>
        <v>4.4</v>
      </c>
      <c r="G6018" s="4" t="str">
        <f>HYPERLINK("http://141.218.60.56/~jnz1568/getInfo.php?workbook=12_04.xlsx&amp;sheet=U0&amp;row=6018&amp;col=7&amp;number=0.06&amp;sourceID=14","0.06")</f>
        <v>0.06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HYPERLINK("http://141.218.60.56/~jnz1568/getInfo.php?workbook=12_04.xlsx&amp;sheet=U0&amp;row=6019&amp;col=6&amp;number=4.5&amp;sourceID=14","4.5")</f>
        <v>4.5</v>
      </c>
      <c r="G6019" s="4" t="str">
        <f>HYPERLINK("http://141.218.60.56/~jnz1568/getInfo.php?workbook=12_04.xlsx&amp;sheet=U0&amp;row=6019&amp;col=7&amp;number=0.0594&amp;sourceID=14","0.0594")</f>
        <v>0.0594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HYPERLINK("http://141.218.60.56/~jnz1568/getInfo.php?workbook=12_04.xlsx&amp;sheet=U0&amp;row=6020&amp;col=6&amp;number=4.6&amp;sourceID=14","4.6")</f>
        <v>4.6</v>
      </c>
      <c r="G6020" s="4" t="str">
        <f>HYPERLINK("http://141.218.60.56/~jnz1568/getInfo.php?workbook=12_04.xlsx&amp;sheet=U0&amp;row=6020&amp;col=7&amp;number=0.0587&amp;sourceID=14","0.0587")</f>
        <v>0.0587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HYPERLINK("http://141.218.60.56/~jnz1568/getInfo.php?workbook=12_04.xlsx&amp;sheet=U0&amp;row=6021&amp;col=6&amp;number=4.7&amp;sourceID=14","4.7")</f>
        <v>4.7</v>
      </c>
      <c r="G6021" s="4" t="str">
        <f>HYPERLINK("http://141.218.60.56/~jnz1568/getInfo.php?workbook=12_04.xlsx&amp;sheet=U0&amp;row=6021&amp;col=7&amp;number=0.0579&amp;sourceID=14","0.0579")</f>
        <v>0.0579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HYPERLINK("http://141.218.60.56/~jnz1568/getInfo.php?workbook=12_04.xlsx&amp;sheet=U0&amp;row=6022&amp;col=6&amp;number=4.8&amp;sourceID=14","4.8")</f>
        <v>4.8</v>
      </c>
      <c r="G6022" s="4" t="str">
        <f>HYPERLINK("http://141.218.60.56/~jnz1568/getInfo.php?workbook=12_04.xlsx&amp;sheet=U0&amp;row=6022&amp;col=7&amp;number=0.0569&amp;sourceID=14","0.0569")</f>
        <v>0.0569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HYPERLINK("http://141.218.60.56/~jnz1568/getInfo.php?workbook=12_04.xlsx&amp;sheet=U0&amp;row=6023&amp;col=6&amp;number=4.9&amp;sourceID=14","4.9")</f>
        <v>4.9</v>
      </c>
      <c r="G6023" s="4" t="str">
        <f>HYPERLINK("http://141.218.60.56/~jnz1568/getInfo.php?workbook=12_04.xlsx&amp;sheet=U0&amp;row=6023&amp;col=7&amp;number=0.0557&amp;sourceID=14","0.0557")</f>
        <v>0.0557</v>
      </c>
    </row>
    <row r="6024" spans="1:7">
      <c r="A6024" s="3">
        <v>12</v>
      </c>
      <c r="B6024" s="3">
        <v>4</v>
      </c>
      <c r="C6024" s="3">
        <v>4</v>
      </c>
      <c r="D6024" s="3">
        <v>18</v>
      </c>
      <c r="E6024" s="3">
        <v>1</v>
      </c>
      <c r="F6024" s="4" t="str">
        <f>HYPERLINK("http://141.218.60.56/~jnz1568/getInfo.php?workbook=12_04.xlsx&amp;sheet=U0&amp;row=6024&amp;col=6&amp;number=3&amp;sourceID=14","3")</f>
        <v>3</v>
      </c>
      <c r="G6024" s="4" t="str">
        <f>HYPERLINK("http://141.218.60.56/~jnz1568/getInfo.php?workbook=12_04.xlsx&amp;sheet=U0&amp;row=6024&amp;col=7&amp;number=0.207&amp;sourceID=14","0.207")</f>
        <v>0.207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HYPERLINK("http://141.218.60.56/~jnz1568/getInfo.php?workbook=12_04.xlsx&amp;sheet=U0&amp;row=6025&amp;col=6&amp;number=3.1&amp;sourceID=14","3.1")</f>
        <v>3.1</v>
      </c>
      <c r="G6025" s="4" t="str">
        <f>HYPERLINK("http://141.218.60.56/~jnz1568/getInfo.php?workbook=12_04.xlsx&amp;sheet=U0&amp;row=6025&amp;col=7&amp;number=0.207&amp;sourceID=14","0.207")</f>
        <v>0.207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HYPERLINK("http://141.218.60.56/~jnz1568/getInfo.php?workbook=12_04.xlsx&amp;sheet=U0&amp;row=6026&amp;col=6&amp;number=3.2&amp;sourceID=14","3.2")</f>
        <v>3.2</v>
      </c>
      <c r="G6026" s="4" t="str">
        <f>HYPERLINK("http://141.218.60.56/~jnz1568/getInfo.php?workbook=12_04.xlsx&amp;sheet=U0&amp;row=6026&amp;col=7&amp;number=0.207&amp;sourceID=14","0.207")</f>
        <v>0.207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HYPERLINK("http://141.218.60.56/~jnz1568/getInfo.php?workbook=12_04.xlsx&amp;sheet=U0&amp;row=6027&amp;col=6&amp;number=3.3&amp;sourceID=14","3.3")</f>
        <v>3.3</v>
      </c>
      <c r="G6027" s="4" t="str">
        <f>HYPERLINK("http://141.218.60.56/~jnz1568/getInfo.php?workbook=12_04.xlsx&amp;sheet=U0&amp;row=6027&amp;col=7&amp;number=0.206&amp;sourceID=14","0.206")</f>
        <v>0.206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HYPERLINK("http://141.218.60.56/~jnz1568/getInfo.php?workbook=12_04.xlsx&amp;sheet=U0&amp;row=6028&amp;col=6&amp;number=3.4&amp;sourceID=14","3.4")</f>
        <v>3.4</v>
      </c>
      <c r="G6028" s="4" t="str">
        <f>HYPERLINK("http://141.218.60.56/~jnz1568/getInfo.php?workbook=12_04.xlsx&amp;sheet=U0&amp;row=6028&amp;col=7&amp;number=0.206&amp;sourceID=14","0.206")</f>
        <v>0.206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HYPERLINK("http://141.218.60.56/~jnz1568/getInfo.php?workbook=12_04.xlsx&amp;sheet=U0&amp;row=6029&amp;col=6&amp;number=3.5&amp;sourceID=14","3.5")</f>
        <v>3.5</v>
      </c>
      <c r="G6029" s="4" t="str">
        <f>HYPERLINK("http://141.218.60.56/~jnz1568/getInfo.php?workbook=12_04.xlsx&amp;sheet=U0&amp;row=6029&amp;col=7&amp;number=0.206&amp;sourceID=14","0.206")</f>
        <v>0.206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HYPERLINK("http://141.218.60.56/~jnz1568/getInfo.php?workbook=12_04.xlsx&amp;sheet=U0&amp;row=6030&amp;col=6&amp;number=3.6&amp;sourceID=14","3.6")</f>
        <v>3.6</v>
      </c>
      <c r="G6030" s="4" t="str">
        <f>HYPERLINK("http://141.218.60.56/~jnz1568/getInfo.php?workbook=12_04.xlsx&amp;sheet=U0&amp;row=6030&amp;col=7&amp;number=0.206&amp;sourceID=14","0.206")</f>
        <v>0.206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HYPERLINK("http://141.218.60.56/~jnz1568/getInfo.php?workbook=12_04.xlsx&amp;sheet=U0&amp;row=6031&amp;col=6&amp;number=3.7&amp;sourceID=14","3.7")</f>
        <v>3.7</v>
      </c>
      <c r="G6031" s="4" t="str">
        <f>HYPERLINK("http://141.218.60.56/~jnz1568/getInfo.php?workbook=12_04.xlsx&amp;sheet=U0&amp;row=6031&amp;col=7&amp;number=0.206&amp;sourceID=14","0.206")</f>
        <v>0.206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HYPERLINK("http://141.218.60.56/~jnz1568/getInfo.php?workbook=12_04.xlsx&amp;sheet=U0&amp;row=6032&amp;col=6&amp;number=3.8&amp;sourceID=14","3.8")</f>
        <v>3.8</v>
      </c>
      <c r="G6032" s="4" t="str">
        <f>HYPERLINK("http://141.218.60.56/~jnz1568/getInfo.php?workbook=12_04.xlsx&amp;sheet=U0&amp;row=6032&amp;col=7&amp;number=0.205&amp;sourceID=14","0.205")</f>
        <v>0.205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HYPERLINK("http://141.218.60.56/~jnz1568/getInfo.php?workbook=12_04.xlsx&amp;sheet=U0&amp;row=6033&amp;col=6&amp;number=3.9&amp;sourceID=14","3.9")</f>
        <v>3.9</v>
      </c>
      <c r="G6033" s="4" t="str">
        <f>HYPERLINK("http://141.218.60.56/~jnz1568/getInfo.php?workbook=12_04.xlsx&amp;sheet=U0&amp;row=6033&amp;col=7&amp;number=0.205&amp;sourceID=14","0.205")</f>
        <v>0.205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HYPERLINK("http://141.218.60.56/~jnz1568/getInfo.php?workbook=12_04.xlsx&amp;sheet=U0&amp;row=6034&amp;col=6&amp;number=4&amp;sourceID=14","4")</f>
        <v>4</v>
      </c>
      <c r="G6034" s="4" t="str">
        <f>HYPERLINK("http://141.218.60.56/~jnz1568/getInfo.php?workbook=12_04.xlsx&amp;sheet=U0&amp;row=6034&amp;col=7&amp;number=0.204&amp;sourceID=14","0.204")</f>
        <v>0.204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HYPERLINK("http://141.218.60.56/~jnz1568/getInfo.php?workbook=12_04.xlsx&amp;sheet=U0&amp;row=6035&amp;col=6&amp;number=4.1&amp;sourceID=14","4.1")</f>
        <v>4.1</v>
      </c>
      <c r="G6035" s="4" t="str">
        <f>HYPERLINK("http://141.218.60.56/~jnz1568/getInfo.php?workbook=12_04.xlsx&amp;sheet=U0&amp;row=6035&amp;col=7&amp;number=0.203&amp;sourceID=14","0.203")</f>
        <v>0.203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HYPERLINK("http://141.218.60.56/~jnz1568/getInfo.php?workbook=12_04.xlsx&amp;sheet=U0&amp;row=6036&amp;col=6&amp;number=4.2&amp;sourceID=14","4.2")</f>
        <v>4.2</v>
      </c>
      <c r="G6036" s="4" t="str">
        <f>HYPERLINK("http://141.218.60.56/~jnz1568/getInfo.php?workbook=12_04.xlsx&amp;sheet=U0&amp;row=6036&amp;col=7&amp;number=0.202&amp;sourceID=14","0.202")</f>
        <v>0.202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HYPERLINK("http://141.218.60.56/~jnz1568/getInfo.php?workbook=12_04.xlsx&amp;sheet=U0&amp;row=6037&amp;col=6&amp;number=4.3&amp;sourceID=14","4.3")</f>
        <v>4.3</v>
      </c>
      <c r="G6037" s="4" t="str">
        <f>HYPERLINK("http://141.218.60.56/~jnz1568/getInfo.php?workbook=12_04.xlsx&amp;sheet=U0&amp;row=6037&amp;col=7&amp;number=0.201&amp;sourceID=14","0.201")</f>
        <v>0.201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HYPERLINK("http://141.218.60.56/~jnz1568/getInfo.php?workbook=12_04.xlsx&amp;sheet=U0&amp;row=6038&amp;col=6&amp;number=4.4&amp;sourceID=14","4.4")</f>
        <v>4.4</v>
      </c>
      <c r="G6038" s="4" t="str">
        <f>HYPERLINK("http://141.218.60.56/~jnz1568/getInfo.php?workbook=12_04.xlsx&amp;sheet=U0&amp;row=6038&amp;col=7&amp;number=0.2&amp;sourceID=14","0.2")</f>
        <v>0.2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HYPERLINK("http://141.218.60.56/~jnz1568/getInfo.php?workbook=12_04.xlsx&amp;sheet=U0&amp;row=6039&amp;col=6&amp;number=4.5&amp;sourceID=14","4.5")</f>
        <v>4.5</v>
      </c>
      <c r="G6039" s="4" t="str">
        <f>HYPERLINK("http://141.218.60.56/~jnz1568/getInfo.php?workbook=12_04.xlsx&amp;sheet=U0&amp;row=6039&amp;col=7&amp;number=0.198&amp;sourceID=14","0.198")</f>
        <v>0.198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HYPERLINK("http://141.218.60.56/~jnz1568/getInfo.php?workbook=12_04.xlsx&amp;sheet=U0&amp;row=6040&amp;col=6&amp;number=4.6&amp;sourceID=14","4.6")</f>
        <v>4.6</v>
      </c>
      <c r="G6040" s="4" t="str">
        <f>HYPERLINK("http://141.218.60.56/~jnz1568/getInfo.php?workbook=12_04.xlsx&amp;sheet=U0&amp;row=6040&amp;col=7&amp;number=0.196&amp;sourceID=14","0.196")</f>
        <v>0.196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HYPERLINK("http://141.218.60.56/~jnz1568/getInfo.php?workbook=12_04.xlsx&amp;sheet=U0&amp;row=6041&amp;col=6&amp;number=4.7&amp;sourceID=14","4.7")</f>
        <v>4.7</v>
      </c>
      <c r="G6041" s="4" t="str">
        <f>HYPERLINK("http://141.218.60.56/~jnz1568/getInfo.php?workbook=12_04.xlsx&amp;sheet=U0&amp;row=6041&amp;col=7&amp;number=0.193&amp;sourceID=14","0.193")</f>
        <v>0.193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HYPERLINK("http://141.218.60.56/~jnz1568/getInfo.php?workbook=12_04.xlsx&amp;sheet=U0&amp;row=6042&amp;col=6&amp;number=4.8&amp;sourceID=14","4.8")</f>
        <v>4.8</v>
      </c>
      <c r="G6042" s="4" t="str">
        <f>HYPERLINK("http://141.218.60.56/~jnz1568/getInfo.php?workbook=12_04.xlsx&amp;sheet=U0&amp;row=6042&amp;col=7&amp;number=0.19&amp;sourceID=14","0.19")</f>
        <v>0.19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HYPERLINK("http://141.218.60.56/~jnz1568/getInfo.php?workbook=12_04.xlsx&amp;sheet=U0&amp;row=6043&amp;col=6&amp;number=4.9&amp;sourceID=14","4.9")</f>
        <v>4.9</v>
      </c>
      <c r="G6043" s="4" t="str">
        <f>HYPERLINK("http://141.218.60.56/~jnz1568/getInfo.php?workbook=12_04.xlsx&amp;sheet=U0&amp;row=6043&amp;col=7&amp;number=0.187&amp;sourceID=14","0.187")</f>
        <v>0.187</v>
      </c>
    </row>
    <row r="6044" spans="1:7">
      <c r="A6044" s="3">
        <v>12</v>
      </c>
      <c r="B6044" s="3">
        <v>4</v>
      </c>
      <c r="C6044" s="3">
        <v>4</v>
      </c>
      <c r="D6044" s="3">
        <v>19</v>
      </c>
      <c r="E6044" s="3">
        <v>1</v>
      </c>
      <c r="F6044" s="4" t="str">
        <f>HYPERLINK("http://141.218.60.56/~jnz1568/getInfo.php?workbook=12_04.xlsx&amp;sheet=U0&amp;row=6044&amp;col=6&amp;number=3&amp;sourceID=14","3")</f>
        <v>3</v>
      </c>
      <c r="G6044" s="4" t="str">
        <f>HYPERLINK("http://141.218.60.56/~jnz1568/getInfo.php?workbook=12_04.xlsx&amp;sheet=U0&amp;row=6044&amp;col=7&amp;number=0.693&amp;sourceID=14","0.693")</f>
        <v>0.693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HYPERLINK("http://141.218.60.56/~jnz1568/getInfo.php?workbook=12_04.xlsx&amp;sheet=U0&amp;row=6045&amp;col=6&amp;number=3.1&amp;sourceID=14","3.1")</f>
        <v>3.1</v>
      </c>
      <c r="G6045" s="4" t="str">
        <f>HYPERLINK("http://141.218.60.56/~jnz1568/getInfo.php?workbook=12_04.xlsx&amp;sheet=U0&amp;row=6045&amp;col=7&amp;number=0.693&amp;sourceID=14","0.693")</f>
        <v>0.693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HYPERLINK("http://141.218.60.56/~jnz1568/getInfo.php?workbook=12_04.xlsx&amp;sheet=U0&amp;row=6046&amp;col=6&amp;number=3.2&amp;sourceID=14","3.2")</f>
        <v>3.2</v>
      </c>
      <c r="G6046" s="4" t="str">
        <f>HYPERLINK("http://141.218.60.56/~jnz1568/getInfo.php?workbook=12_04.xlsx&amp;sheet=U0&amp;row=6046&amp;col=7&amp;number=0.693&amp;sourceID=14","0.693")</f>
        <v>0.693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HYPERLINK("http://141.218.60.56/~jnz1568/getInfo.php?workbook=12_04.xlsx&amp;sheet=U0&amp;row=6047&amp;col=6&amp;number=3.3&amp;sourceID=14","3.3")</f>
        <v>3.3</v>
      </c>
      <c r="G6047" s="4" t="str">
        <f>HYPERLINK("http://141.218.60.56/~jnz1568/getInfo.php?workbook=12_04.xlsx&amp;sheet=U0&amp;row=6047&amp;col=7&amp;number=0.692&amp;sourceID=14","0.692")</f>
        <v>0.692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HYPERLINK("http://141.218.60.56/~jnz1568/getInfo.php?workbook=12_04.xlsx&amp;sheet=U0&amp;row=6048&amp;col=6&amp;number=3.4&amp;sourceID=14","3.4")</f>
        <v>3.4</v>
      </c>
      <c r="G6048" s="4" t="str">
        <f>HYPERLINK("http://141.218.60.56/~jnz1568/getInfo.php?workbook=12_04.xlsx&amp;sheet=U0&amp;row=6048&amp;col=7&amp;number=0.692&amp;sourceID=14","0.692")</f>
        <v>0.692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HYPERLINK("http://141.218.60.56/~jnz1568/getInfo.php?workbook=12_04.xlsx&amp;sheet=U0&amp;row=6049&amp;col=6&amp;number=3.5&amp;sourceID=14","3.5")</f>
        <v>3.5</v>
      </c>
      <c r="G6049" s="4" t="str">
        <f>HYPERLINK("http://141.218.60.56/~jnz1568/getInfo.php?workbook=12_04.xlsx&amp;sheet=U0&amp;row=6049&amp;col=7&amp;number=0.691&amp;sourceID=14","0.691")</f>
        <v>0.691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HYPERLINK("http://141.218.60.56/~jnz1568/getInfo.php?workbook=12_04.xlsx&amp;sheet=U0&amp;row=6050&amp;col=6&amp;number=3.6&amp;sourceID=14","3.6")</f>
        <v>3.6</v>
      </c>
      <c r="G6050" s="4" t="str">
        <f>HYPERLINK("http://141.218.60.56/~jnz1568/getInfo.php?workbook=12_04.xlsx&amp;sheet=U0&amp;row=6050&amp;col=7&amp;number=0.691&amp;sourceID=14","0.691")</f>
        <v>0.691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HYPERLINK("http://141.218.60.56/~jnz1568/getInfo.php?workbook=12_04.xlsx&amp;sheet=U0&amp;row=6051&amp;col=6&amp;number=3.7&amp;sourceID=14","3.7")</f>
        <v>3.7</v>
      </c>
      <c r="G6051" s="4" t="str">
        <f>HYPERLINK("http://141.218.60.56/~jnz1568/getInfo.php?workbook=12_04.xlsx&amp;sheet=U0&amp;row=6051&amp;col=7&amp;number=0.69&amp;sourceID=14","0.69")</f>
        <v>0.69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HYPERLINK("http://141.218.60.56/~jnz1568/getInfo.php?workbook=12_04.xlsx&amp;sheet=U0&amp;row=6052&amp;col=6&amp;number=3.8&amp;sourceID=14","3.8")</f>
        <v>3.8</v>
      </c>
      <c r="G6052" s="4" t="str">
        <f>HYPERLINK("http://141.218.60.56/~jnz1568/getInfo.php?workbook=12_04.xlsx&amp;sheet=U0&amp;row=6052&amp;col=7&amp;number=0.689&amp;sourceID=14","0.689")</f>
        <v>0.689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HYPERLINK("http://141.218.60.56/~jnz1568/getInfo.php?workbook=12_04.xlsx&amp;sheet=U0&amp;row=6053&amp;col=6&amp;number=3.9&amp;sourceID=14","3.9")</f>
        <v>3.9</v>
      </c>
      <c r="G6053" s="4" t="str">
        <f>HYPERLINK("http://141.218.60.56/~jnz1568/getInfo.php?workbook=12_04.xlsx&amp;sheet=U0&amp;row=6053&amp;col=7&amp;number=0.688&amp;sourceID=14","0.688")</f>
        <v>0.688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HYPERLINK("http://141.218.60.56/~jnz1568/getInfo.php?workbook=12_04.xlsx&amp;sheet=U0&amp;row=6054&amp;col=6&amp;number=4&amp;sourceID=14","4")</f>
        <v>4</v>
      </c>
      <c r="G6054" s="4" t="str">
        <f>HYPERLINK("http://141.218.60.56/~jnz1568/getInfo.php?workbook=12_04.xlsx&amp;sheet=U0&amp;row=6054&amp;col=7&amp;number=0.686&amp;sourceID=14","0.686")</f>
        <v>0.686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HYPERLINK("http://141.218.60.56/~jnz1568/getInfo.php?workbook=12_04.xlsx&amp;sheet=U0&amp;row=6055&amp;col=6&amp;number=4.1&amp;sourceID=14","4.1")</f>
        <v>4.1</v>
      </c>
      <c r="G6055" s="4" t="str">
        <f>HYPERLINK("http://141.218.60.56/~jnz1568/getInfo.php?workbook=12_04.xlsx&amp;sheet=U0&amp;row=6055&amp;col=7&amp;number=0.684&amp;sourceID=14","0.684")</f>
        <v>0.684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HYPERLINK("http://141.218.60.56/~jnz1568/getInfo.php?workbook=12_04.xlsx&amp;sheet=U0&amp;row=6056&amp;col=6&amp;number=4.2&amp;sourceID=14","4.2")</f>
        <v>4.2</v>
      </c>
      <c r="G6056" s="4" t="str">
        <f>HYPERLINK("http://141.218.60.56/~jnz1568/getInfo.php?workbook=12_04.xlsx&amp;sheet=U0&amp;row=6056&amp;col=7&amp;number=0.682&amp;sourceID=14","0.682")</f>
        <v>0.682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HYPERLINK("http://141.218.60.56/~jnz1568/getInfo.php?workbook=12_04.xlsx&amp;sheet=U0&amp;row=6057&amp;col=6&amp;number=4.3&amp;sourceID=14","4.3")</f>
        <v>4.3</v>
      </c>
      <c r="G6057" s="4" t="str">
        <f>HYPERLINK("http://141.218.60.56/~jnz1568/getInfo.php?workbook=12_04.xlsx&amp;sheet=U0&amp;row=6057&amp;col=7&amp;number=0.679&amp;sourceID=14","0.679")</f>
        <v>0.679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HYPERLINK("http://141.218.60.56/~jnz1568/getInfo.php?workbook=12_04.xlsx&amp;sheet=U0&amp;row=6058&amp;col=6&amp;number=4.4&amp;sourceID=14","4.4")</f>
        <v>4.4</v>
      </c>
      <c r="G6058" s="4" t="str">
        <f>HYPERLINK("http://141.218.60.56/~jnz1568/getInfo.php?workbook=12_04.xlsx&amp;sheet=U0&amp;row=6058&amp;col=7&amp;number=0.675&amp;sourceID=14","0.675")</f>
        <v>0.675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HYPERLINK("http://141.218.60.56/~jnz1568/getInfo.php?workbook=12_04.xlsx&amp;sheet=U0&amp;row=6059&amp;col=6&amp;number=4.5&amp;sourceID=14","4.5")</f>
        <v>4.5</v>
      </c>
      <c r="G6059" s="4" t="str">
        <f>HYPERLINK("http://141.218.60.56/~jnz1568/getInfo.php?workbook=12_04.xlsx&amp;sheet=U0&amp;row=6059&amp;col=7&amp;number=0.671&amp;sourceID=14","0.671")</f>
        <v>0.671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HYPERLINK("http://141.218.60.56/~jnz1568/getInfo.php?workbook=12_04.xlsx&amp;sheet=U0&amp;row=6060&amp;col=6&amp;number=4.6&amp;sourceID=14","4.6")</f>
        <v>4.6</v>
      </c>
      <c r="G6060" s="4" t="str">
        <f>HYPERLINK("http://141.218.60.56/~jnz1568/getInfo.php?workbook=12_04.xlsx&amp;sheet=U0&amp;row=6060&amp;col=7&amp;number=0.665&amp;sourceID=14","0.665")</f>
        <v>0.665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HYPERLINK("http://141.218.60.56/~jnz1568/getInfo.php?workbook=12_04.xlsx&amp;sheet=U0&amp;row=6061&amp;col=6&amp;number=4.7&amp;sourceID=14","4.7")</f>
        <v>4.7</v>
      </c>
      <c r="G6061" s="4" t="str">
        <f>HYPERLINK("http://141.218.60.56/~jnz1568/getInfo.php?workbook=12_04.xlsx&amp;sheet=U0&amp;row=6061&amp;col=7&amp;number=0.658&amp;sourceID=14","0.658")</f>
        <v>0.658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HYPERLINK("http://141.218.60.56/~jnz1568/getInfo.php?workbook=12_04.xlsx&amp;sheet=U0&amp;row=6062&amp;col=6&amp;number=4.8&amp;sourceID=14","4.8")</f>
        <v>4.8</v>
      </c>
      <c r="G6062" s="4" t="str">
        <f>HYPERLINK("http://141.218.60.56/~jnz1568/getInfo.php?workbook=12_04.xlsx&amp;sheet=U0&amp;row=6062&amp;col=7&amp;number=0.65&amp;sourceID=14","0.65")</f>
        <v>0.65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HYPERLINK("http://141.218.60.56/~jnz1568/getInfo.php?workbook=12_04.xlsx&amp;sheet=U0&amp;row=6063&amp;col=6&amp;number=4.9&amp;sourceID=14","4.9")</f>
        <v>4.9</v>
      </c>
      <c r="G6063" s="4" t="str">
        <f>HYPERLINK("http://141.218.60.56/~jnz1568/getInfo.php?workbook=12_04.xlsx&amp;sheet=U0&amp;row=6063&amp;col=7&amp;number=0.641&amp;sourceID=14","0.641")</f>
        <v>0.641</v>
      </c>
    </row>
    <row r="6064" spans="1:7">
      <c r="A6064" s="3">
        <v>12</v>
      </c>
      <c r="B6064" s="3">
        <v>4</v>
      </c>
      <c r="C6064" s="3">
        <v>4</v>
      </c>
      <c r="D6064" s="3">
        <v>20</v>
      </c>
      <c r="E6064" s="3">
        <v>1</v>
      </c>
      <c r="F6064" s="4" t="str">
        <f>HYPERLINK("http://141.218.60.56/~jnz1568/getInfo.php?workbook=12_04.xlsx&amp;sheet=U0&amp;row=6064&amp;col=6&amp;number=3&amp;sourceID=14","3")</f>
        <v>3</v>
      </c>
      <c r="G6064" s="4" t="str">
        <f>HYPERLINK("http://141.218.60.56/~jnz1568/getInfo.php?workbook=12_04.xlsx&amp;sheet=U0&amp;row=6064&amp;col=7&amp;number=0.0697&amp;sourceID=14","0.0697")</f>
        <v>0.0697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HYPERLINK("http://141.218.60.56/~jnz1568/getInfo.php?workbook=12_04.xlsx&amp;sheet=U0&amp;row=6065&amp;col=6&amp;number=3.1&amp;sourceID=14","3.1")</f>
        <v>3.1</v>
      </c>
      <c r="G6065" s="4" t="str">
        <f>HYPERLINK("http://141.218.60.56/~jnz1568/getInfo.php?workbook=12_04.xlsx&amp;sheet=U0&amp;row=6065&amp;col=7&amp;number=0.0697&amp;sourceID=14","0.0697")</f>
        <v>0.0697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HYPERLINK("http://141.218.60.56/~jnz1568/getInfo.php?workbook=12_04.xlsx&amp;sheet=U0&amp;row=6066&amp;col=6&amp;number=3.2&amp;sourceID=14","3.2")</f>
        <v>3.2</v>
      </c>
      <c r="G6066" s="4" t="str">
        <f>HYPERLINK("http://141.218.60.56/~jnz1568/getInfo.php?workbook=12_04.xlsx&amp;sheet=U0&amp;row=6066&amp;col=7&amp;number=0.0697&amp;sourceID=14","0.0697")</f>
        <v>0.0697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HYPERLINK("http://141.218.60.56/~jnz1568/getInfo.php?workbook=12_04.xlsx&amp;sheet=U0&amp;row=6067&amp;col=6&amp;number=3.3&amp;sourceID=14","3.3")</f>
        <v>3.3</v>
      </c>
      <c r="G6067" s="4" t="str">
        <f>HYPERLINK("http://141.218.60.56/~jnz1568/getInfo.php?workbook=12_04.xlsx&amp;sheet=U0&amp;row=6067&amp;col=7&amp;number=0.0698&amp;sourceID=14","0.0698")</f>
        <v>0.0698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HYPERLINK("http://141.218.60.56/~jnz1568/getInfo.php?workbook=12_04.xlsx&amp;sheet=U0&amp;row=6068&amp;col=6&amp;number=3.4&amp;sourceID=14","3.4")</f>
        <v>3.4</v>
      </c>
      <c r="G6068" s="4" t="str">
        <f>HYPERLINK("http://141.218.60.56/~jnz1568/getInfo.php?workbook=12_04.xlsx&amp;sheet=U0&amp;row=6068&amp;col=7&amp;number=0.0698&amp;sourceID=14","0.0698")</f>
        <v>0.0698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HYPERLINK("http://141.218.60.56/~jnz1568/getInfo.php?workbook=12_04.xlsx&amp;sheet=U0&amp;row=6069&amp;col=6&amp;number=3.5&amp;sourceID=14","3.5")</f>
        <v>3.5</v>
      </c>
      <c r="G6069" s="4" t="str">
        <f>HYPERLINK("http://141.218.60.56/~jnz1568/getInfo.php?workbook=12_04.xlsx&amp;sheet=U0&amp;row=6069&amp;col=7&amp;number=0.0699&amp;sourceID=14","0.0699")</f>
        <v>0.0699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HYPERLINK("http://141.218.60.56/~jnz1568/getInfo.php?workbook=12_04.xlsx&amp;sheet=U0&amp;row=6070&amp;col=6&amp;number=3.6&amp;sourceID=14","3.6")</f>
        <v>3.6</v>
      </c>
      <c r="G6070" s="4" t="str">
        <f>HYPERLINK("http://141.218.60.56/~jnz1568/getInfo.php?workbook=12_04.xlsx&amp;sheet=U0&amp;row=6070&amp;col=7&amp;number=0.0699&amp;sourceID=14","0.0699")</f>
        <v>0.0699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HYPERLINK("http://141.218.60.56/~jnz1568/getInfo.php?workbook=12_04.xlsx&amp;sheet=U0&amp;row=6071&amp;col=6&amp;number=3.7&amp;sourceID=14","3.7")</f>
        <v>3.7</v>
      </c>
      <c r="G6071" s="4" t="str">
        <f>HYPERLINK("http://141.218.60.56/~jnz1568/getInfo.php?workbook=12_04.xlsx&amp;sheet=U0&amp;row=6071&amp;col=7&amp;number=0.07&amp;sourceID=14","0.07")</f>
        <v>0.07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HYPERLINK("http://141.218.60.56/~jnz1568/getInfo.php?workbook=12_04.xlsx&amp;sheet=U0&amp;row=6072&amp;col=6&amp;number=3.8&amp;sourceID=14","3.8")</f>
        <v>3.8</v>
      </c>
      <c r="G6072" s="4" t="str">
        <f>HYPERLINK("http://141.218.60.56/~jnz1568/getInfo.php?workbook=12_04.xlsx&amp;sheet=U0&amp;row=6072&amp;col=7&amp;number=0.0702&amp;sourceID=14","0.0702")</f>
        <v>0.0702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HYPERLINK("http://141.218.60.56/~jnz1568/getInfo.php?workbook=12_04.xlsx&amp;sheet=U0&amp;row=6073&amp;col=6&amp;number=3.9&amp;sourceID=14","3.9")</f>
        <v>3.9</v>
      </c>
      <c r="G6073" s="4" t="str">
        <f>HYPERLINK("http://141.218.60.56/~jnz1568/getInfo.php?workbook=12_04.xlsx&amp;sheet=U0&amp;row=6073&amp;col=7&amp;number=0.0703&amp;sourceID=14","0.0703")</f>
        <v>0.0703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HYPERLINK("http://141.218.60.56/~jnz1568/getInfo.php?workbook=12_04.xlsx&amp;sheet=U0&amp;row=6074&amp;col=6&amp;number=4&amp;sourceID=14","4")</f>
        <v>4</v>
      </c>
      <c r="G6074" s="4" t="str">
        <f>HYPERLINK("http://141.218.60.56/~jnz1568/getInfo.php?workbook=12_04.xlsx&amp;sheet=U0&amp;row=6074&amp;col=7&amp;number=0.0705&amp;sourceID=14","0.0705")</f>
        <v>0.0705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HYPERLINK("http://141.218.60.56/~jnz1568/getInfo.php?workbook=12_04.xlsx&amp;sheet=U0&amp;row=6075&amp;col=6&amp;number=4.1&amp;sourceID=14","4.1")</f>
        <v>4.1</v>
      </c>
      <c r="G6075" s="4" t="str">
        <f>HYPERLINK("http://141.218.60.56/~jnz1568/getInfo.php?workbook=12_04.xlsx&amp;sheet=U0&amp;row=6075&amp;col=7&amp;number=0.0708&amp;sourceID=14","0.0708")</f>
        <v>0.0708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HYPERLINK("http://141.218.60.56/~jnz1568/getInfo.php?workbook=12_04.xlsx&amp;sheet=U0&amp;row=6076&amp;col=6&amp;number=4.2&amp;sourceID=14","4.2")</f>
        <v>4.2</v>
      </c>
      <c r="G6076" s="4" t="str">
        <f>HYPERLINK("http://141.218.60.56/~jnz1568/getInfo.php?workbook=12_04.xlsx&amp;sheet=U0&amp;row=6076&amp;col=7&amp;number=0.0711&amp;sourceID=14","0.0711")</f>
        <v>0.0711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HYPERLINK("http://141.218.60.56/~jnz1568/getInfo.php?workbook=12_04.xlsx&amp;sheet=U0&amp;row=6077&amp;col=6&amp;number=4.3&amp;sourceID=14","4.3")</f>
        <v>4.3</v>
      </c>
      <c r="G6077" s="4" t="str">
        <f>HYPERLINK("http://141.218.60.56/~jnz1568/getInfo.php?workbook=12_04.xlsx&amp;sheet=U0&amp;row=6077&amp;col=7&amp;number=0.0714&amp;sourceID=14","0.0714")</f>
        <v>0.0714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HYPERLINK("http://141.218.60.56/~jnz1568/getInfo.php?workbook=12_04.xlsx&amp;sheet=U0&amp;row=6078&amp;col=6&amp;number=4.4&amp;sourceID=14","4.4")</f>
        <v>4.4</v>
      </c>
      <c r="G6078" s="4" t="str">
        <f>HYPERLINK("http://141.218.60.56/~jnz1568/getInfo.php?workbook=12_04.xlsx&amp;sheet=U0&amp;row=6078&amp;col=7&amp;number=0.0719&amp;sourceID=14","0.0719")</f>
        <v>0.0719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HYPERLINK("http://141.218.60.56/~jnz1568/getInfo.php?workbook=12_04.xlsx&amp;sheet=U0&amp;row=6079&amp;col=6&amp;number=4.5&amp;sourceID=14","4.5")</f>
        <v>4.5</v>
      </c>
      <c r="G6079" s="4" t="str">
        <f>HYPERLINK("http://141.218.60.56/~jnz1568/getInfo.php?workbook=12_04.xlsx&amp;sheet=U0&amp;row=6079&amp;col=7&amp;number=0.0725&amp;sourceID=14","0.0725")</f>
        <v>0.0725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HYPERLINK("http://141.218.60.56/~jnz1568/getInfo.php?workbook=12_04.xlsx&amp;sheet=U0&amp;row=6080&amp;col=6&amp;number=4.6&amp;sourceID=14","4.6")</f>
        <v>4.6</v>
      </c>
      <c r="G6080" s="4" t="str">
        <f>HYPERLINK("http://141.218.60.56/~jnz1568/getInfo.php?workbook=12_04.xlsx&amp;sheet=U0&amp;row=6080&amp;col=7&amp;number=0.0732&amp;sourceID=14","0.0732")</f>
        <v>0.0732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HYPERLINK("http://141.218.60.56/~jnz1568/getInfo.php?workbook=12_04.xlsx&amp;sheet=U0&amp;row=6081&amp;col=6&amp;number=4.7&amp;sourceID=14","4.7")</f>
        <v>4.7</v>
      </c>
      <c r="G6081" s="4" t="str">
        <f>HYPERLINK("http://141.218.60.56/~jnz1568/getInfo.php?workbook=12_04.xlsx&amp;sheet=U0&amp;row=6081&amp;col=7&amp;number=0.0741&amp;sourceID=14","0.0741")</f>
        <v>0.0741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HYPERLINK("http://141.218.60.56/~jnz1568/getInfo.php?workbook=12_04.xlsx&amp;sheet=U0&amp;row=6082&amp;col=6&amp;number=4.8&amp;sourceID=14","4.8")</f>
        <v>4.8</v>
      </c>
      <c r="G6082" s="4" t="str">
        <f>HYPERLINK("http://141.218.60.56/~jnz1568/getInfo.php?workbook=12_04.xlsx&amp;sheet=U0&amp;row=6082&amp;col=7&amp;number=0.0751&amp;sourceID=14","0.0751")</f>
        <v>0.0751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HYPERLINK("http://141.218.60.56/~jnz1568/getInfo.php?workbook=12_04.xlsx&amp;sheet=U0&amp;row=6083&amp;col=6&amp;number=4.9&amp;sourceID=14","4.9")</f>
        <v>4.9</v>
      </c>
      <c r="G6083" s="4" t="str">
        <f>HYPERLINK("http://141.218.60.56/~jnz1568/getInfo.php?workbook=12_04.xlsx&amp;sheet=U0&amp;row=6083&amp;col=7&amp;number=0.0763&amp;sourceID=14","0.0763")</f>
        <v>0.0763</v>
      </c>
    </row>
    <row r="6084" spans="1:7">
      <c r="A6084" s="3">
        <v>12</v>
      </c>
      <c r="B6084" s="3">
        <v>4</v>
      </c>
      <c r="C6084" s="3">
        <v>4</v>
      </c>
      <c r="D6084" s="3">
        <v>21</v>
      </c>
      <c r="E6084" s="3">
        <v>1</v>
      </c>
      <c r="F6084" s="4" t="str">
        <f>HYPERLINK("http://141.218.60.56/~jnz1568/getInfo.php?workbook=12_04.xlsx&amp;sheet=U0&amp;row=6084&amp;col=6&amp;number=3&amp;sourceID=14","3")</f>
        <v>3</v>
      </c>
      <c r="G6084" s="4" t="str">
        <f>HYPERLINK("http://141.218.60.56/~jnz1568/getInfo.php?workbook=12_04.xlsx&amp;sheet=U0&amp;row=6084&amp;col=7&amp;number=0.021&amp;sourceID=14","0.021")</f>
        <v>0.021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HYPERLINK("http://141.218.60.56/~jnz1568/getInfo.php?workbook=12_04.xlsx&amp;sheet=U0&amp;row=6085&amp;col=6&amp;number=3.1&amp;sourceID=14","3.1")</f>
        <v>3.1</v>
      </c>
      <c r="G6085" s="4" t="str">
        <f>HYPERLINK("http://141.218.60.56/~jnz1568/getInfo.php?workbook=12_04.xlsx&amp;sheet=U0&amp;row=6085&amp;col=7&amp;number=0.021&amp;sourceID=14","0.021")</f>
        <v>0.021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HYPERLINK("http://141.218.60.56/~jnz1568/getInfo.php?workbook=12_04.xlsx&amp;sheet=U0&amp;row=6086&amp;col=6&amp;number=3.2&amp;sourceID=14","3.2")</f>
        <v>3.2</v>
      </c>
      <c r="G6086" s="4" t="str">
        <f>HYPERLINK("http://141.218.60.56/~jnz1568/getInfo.php?workbook=12_04.xlsx&amp;sheet=U0&amp;row=6086&amp;col=7&amp;number=0.0209&amp;sourceID=14","0.0209")</f>
        <v>0.0209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HYPERLINK("http://141.218.60.56/~jnz1568/getInfo.php?workbook=12_04.xlsx&amp;sheet=U0&amp;row=6087&amp;col=6&amp;number=3.3&amp;sourceID=14","3.3")</f>
        <v>3.3</v>
      </c>
      <c r="G6087" s="4" t="str">
        <f>HYPERLINK("http://141.218.60.56/~jnz1568/getInfo.php?workbook=12_04.xlsx&amp;sheet=U0&amp;row=6087&amp;col=7&amp;number=0.0209&amp;sourceID=14","0.0209")</f>
        <v>0.0209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HYPERLINK("http://141.218.60.56/~jnz1568/getInfo.php?workbook=12_04.xlsx&amp;sheet=U0&amp;row=6088&amp;col=6&amp;number=3.4&amp;sourceID=14","3.4")</f>
        <v>3.4</v>
      </c>
      <c r="G6088" s="4" t="str">
        <f>HYPERLINK("http://141.218.60.56/~jnz1568/getInfo.php?workbook=12_04.xlsx&amp;sheet=U0&amp;row=6088&amp;col=7&amp;number=0.0208&amp;sourceID=14","0.0208")</f>
        <v>0.0208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HYPERLINK("http://141.218.60.56/~jnz1568/getInfo.php?workbook=12_04.xlsx&amp;sheet=U0&amp;row=6089&amp;col=6&amp;number=3.5&amp;sourceID=14","3.5")</f>
        <v>3.5</v>
      </c>
      <c r="G6089" s="4" t="str">
        <f>HYPERLINK("http://141.218.60.56/~jnz1568/getInfo.php?workbook=12_04.xlsx&amp;sheet=U0&amp;row=6089&amp;col=7&amp;number=0.0207&amp;sourceID=14","0.0207")</f>
        <v>0.0207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HYPERLINK("http://141.218.60.56/~jnz1568/getInfo.php?workbook=12_04.xlsx&amp;sheet=U0&amp;row=6090&amp;col=6&amp;number=3.6&amp;sourceID=14","3.6")</f>
        <v>3.6</v>
      </c>
      <c r="G6090" s="4" t="str">
        <f>HYPERLINK("http://141.218.60.56/~jnz1568/getInfo.php?workbook=12_04.xlsx&amp;sheet=U0&amp;row=6090&amp;col=7&amp;number=0.0206&amp;sourceID=14","0.0206")</f>
        <v>0.0206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HYPERLINK("http://141.218.60.56/~jnz1568/getInfo.php?workbook=12_04.xlsx&amp;sheet=U0&amp;row=6091&amp;col=6&amp;number=3.7&amp;sourceID=14","3.7")</f>
        <v>3.7</v>
      </c>
      <c r="G6091" s="4" t="str">
        <f>HYPERLINK("http://141.218.60.56/~jnz1568/getInfo.php?workbook=12_04.xlsx&amp;sheet=U0&amp;row=6091&amp;col=7&amp;number=0.0204&amp;sourceID=14","0.0204")</f>
        <v>0.0204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HYPERLINK("http://141.218.60.56/~jnz1568/getInfo.php?workbook=12_04.xlsx&amp;sheet=U0&amp;row=6092&amp;col=6&amp;number=3.8&amp;sourceID=14","3.8")</f>
        <v>3.8</v>
      </c>
      <c r="G6092" s="4" t="str">
        <f>HYPERLINK("http://141.218.60.56/~jnz1568/getInfo.php?workbook=12_04.xlsx&amp;sheet=U0&amp;row=6092&amp;col=7&amp;number=0.0202&amp;sourceID=14","0.0202")</f>
        <v>0.0202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HYPERLINK("http://141.218.60.56/~jnz1568/getInfo.php?workbook=12_04.xlsx&amp;sheet=U0&amp;row=6093&amp;col=6&amp;number=3.9&amp;sourceID=14","3.9")</f>
        <v>3.9</v>
      </c>
      <c r="G6093" s="4" t="str">
        <f>HYPERLINK("http://141.218.60.56/~jnz1568/getInfo.php?workbook=12_04.xlsx&amp;sheet=U0&amp;row=6093&amp;col=7&amp;number=0.02&amp;sourceID=14","0.02")</f>
        <v>0.02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HYPERLINK("http://141.218.60.56/~jnz1568/getInfo.php?workbook=12_04.xlsx&amp;sheet=U0&amp;row=6094&amp;col=6&amp;number=4&amp;sourceID=14","4")</f>
        <v>4</v>
      </c>
      <c r="G6094" s="4" t="str">
        <f>HYPERLINK("http://141.218.60.56/~jnz1568/getInfo.php?workbook=12_04.xlsx&amp;sheet=U0&amp;row=6094&amp;col=7&amp;number=0.0197&amp;sourceID=14","0.0197")</f>
        <v>0.0197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HYPERLINK("http://141.218.60.56/~jnz1568/getInfo.php?workbook=12_04.xlsx&amp;sheet=U0&amp;row=6095&amp;col=6&amp;number=4.1&amp;sourceID=14","4.1")</f>
        <v>4.1</v>
      </c>
      <c r="G6095" s="4" t="str">
        <f>HYPERLINK("http://141.218.60.56/~jnz1568/getInfo.php?workbook=12_04.xlsx&amp;sheet=U0&amp;row=6095&amp;col=7&amp;number=0.0193&amp;sourceID=14","0.0193")</f>
        <v>0.0193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HYPERLINK("http://141.218.60.56/~jnz1568/getInfo.php?workbook=12_04.xlsx&amp;sheet=U0&amp;row=6096&amp;col=6&amp;number=4.2&amp;sourceID=14","4.2")</f>
        <v>4.2</v>
      </c>
      <c r="G6096" s="4" t="str">
        <f>HYPERLINK("http://141.218.60.56/~jnz1568/getInfo.php?workbook=12_04.xlsx&amp;sheet=U0&amp;row=6096&amp;col=7&amp;number=0.0188&amp;sourceID=14","0.0188")</f>
        <v>0.0188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HYPERLINK("http://141.218.60.56/~jnz1568/getInfo.php?workbook=12_04.xlsx&amp;sheet=U0&amp;row=6097&amp;col=6&amp;number=4.3&amp;sourceID=14","4.3")</f>
        <v>4.3</v>
      </c>
      <c r="G6097" s="4" t="str">
        <f>HYPERLINK("http://141.218.60.56/~jnz1568/getInfo.php?workbook=12_04.xlsx&amp;sheet=U0&amp;row=6097&amp;col=7&amp;number=0.0182&amp;sourceID=14","0.0182")</f>
        <v>0.0182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HYPERLINK("http://141.218.60.56/~jnz1568/getInfo.php?workbook=12_04.xlsx&amp;sheet=U0&amp;row=6098&amp;col=6&amp;number=4.4&amp;sourceID=14","4.4")</f>
        <v>4.4</v>
      </c>
      <c r="G6098" s="4" t="str">
        <f>HYPERLINK("http://141.218.60.56/~jnz1568/getInfo.php?workbook=12_04.xlsx&amp;sheet=U0&amp;row=6098&amp;col=7&amp;number=0.0175&amp;sourceID=14","0.0175")</f>
        <v>0.0175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HYPERLINK("http://141.218.60.56/~jnz1568/getInfo.php?workbook=12_04.xlsx&amp;sheet=U0&amp;row=6099&amp;col=6&amp;number=4.5&amp;sourceID=14","4.5")</f>
        <v>4.5</v>
      </c>
      <c r="G6099" s="4" t="str">
        <f>HYPERLINK("http://141.218.60.56/~jnz1568/getInfo.php?workbook=12_04.xlsx&amp;sheet=U0&amp;row=6099&amp;col=7&amp;number=0.0166&amp;sourceID=14","0.0166")</f>
        <v>0.0166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HYPERLINK("http://141.218.60.56/~jnz1568/getInfo.php?workbook=12_04.xlsx&amp;sheet=U0&amp;row=6100&amp;col=6&amp;number=4.6&amp;sourceID=14","4.6")</f>
        <v>4.6</v>
      </c>
      <c r="G6100" s="4" t="str">
        <f>HYPERLINK("http://141.218.60.56/~jnz1568/getInfo.php?workbook=12_04.xlsx&amp;sheet=U0&amp;row=6100&amp;col=7&amp;number=0.0155&amp;sourceID=14","0.0155")</f>
        <v>0.0155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HYPERLINK("http://141.218.60.56/~jnz1568/getInfo.php?workbook=12_04.xlsx&amp;sheet=U0&amp;row=6101&amp;col=6&amp;number=4.7&amp;sourceID=14","4.7")</f>
        <v>4.7</v>
      </c>
      <c r="G6101" s="4" t="str">
        <f>HYPERLINK("http://141.218.60.56/~jnz1568/getInfo.php?workbook=12_04.xlsx&amp;sheet=U0&amp;row=6101&amp;col=7&amp;number=0.0143&amp;sourceID=14","0.0143")</f>
        <v>0.0143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HYPERLINK("http://141.218.60.56/~jnz1568/getInfo.php?workbook=12_04.xlsx&amp;sheet=U0&amp;row=6102&amp;col=6&amp;number=4.8&amp;sourceID=14","4.8")</f>
        <v>4.8</v>
      </c>
      <c r="G6102" s="4" t="str">
        <f>HYPERLINK("http://141.218.60.56/~jnz1568/getInfo.php?workbook=12_04.xlsx&amp;sheet=U0&amp;row=6102&amp;col=7&amp;number=0.0129&amp;sourceID=14","0.0129")</f>
        <v>0.0129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HYPERLINK("http://141.218.60.56/~jnz1568/getInfo.php?workbook=12_04.xlsx&amp;sheet=U0&amp;row=6103&amp;col=6&amp;number=4.9&amp;sourceID=14","4.9")</f>
        <v>4.9</v>
      </c>
      <c r="G6103" s="4" t="str">
        <f>HYPERLINK("http://141.218.60.56/~jnz1568/getInfo.php?workbook=12_04.xlsx&amp;sheet=U0&amp;row=6103&amp;col=7&amp;number=0.0114&amp;sourceID=14","0.0114")</f>
        <v>0.0114</v>
      </c>
    </row>
    <row r="6104" spans="1:7">
      <c r="A6104" s="3">
        <v>12</v>
      </c>
      <c r="B6104" s="3">
        <v>4</v>
      </c>
      <c r="C6104" s="3">
        <v>4</v>
      </c>
      <c r="D6104" s="3">
        <v>22</v>
      </c>
      <c r="E6104" s="3">
        <v>1</v>
      </c>
      <c r="F6104" s="4" t="str">
        <f>HYPERLINK("http://141.218.60.56/~jnz1568/getInfo.php?workbook=12_04.xlsx&amp;sheet=U0&amp;row=6104&amp;col=6&amp;number=3&amp;sourceID=14","3")</f>
        <v>3</v>
      </c>
      <c r="G6104" s="4" t="str">
        <f>HYPERLINK("http://141.218.60.56/~jnz1568/getInfo.php?workbook=12_04.xlsx&amp;sheet=U0&amp;row=6104&amp;col=7&amp;number=0.0629&amp;sourceID=14","0.0629")</f>
        <v>0.0629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HYPERLINK("http://141.218.60.56/~jnz1568/getInfo.php?workbook=12_04.xlsx&amp;sheet=U0&amp;row=6105&amp;col=6&amp;number=3.1&amp;sourceID=14","3.1")</f>
        <v>3.1</v>
      </c>
      <c r="G6105" s="4" t="str">
        <f>HYPERLINK("http://141.218.60.56/~jnz1568/getInfo.php?workbook=12_04.xlsx&amp;sheet=U0&amp;row=6105&amp;col=7&amp;number=0.0628&amp;sourceID=14","0.0628")</f>
        <v>0.0628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HYPERLINK("http://141.218.60.56/~jnz1568/getInfo.php?workbook=12_04.xlsx&amp;sheet=U0&amp;row=6106&amp;col=6&amp;number=3.2&amp;sourceID=14","3.2")</f>
        <v>3.2</v>
      </c>
      <c r="G6106" s="4" t="str">
        <f>HYPERLINK("http://141.218.60.56/~jnz1568/getInfo.php?workbook=12_04.xlsx&amp;sheet=U0&amp;row=6106&amp;col=7&amp;number=0.0627&amp;sourceID=14","0.0627")</f>
        <v>0.0627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HYPERLINK("http://141.218.60.56/~jnz1568/getInfo.php?workbook=12_04.xlsx&amp;sheet=U0&amp;row=6107&amp;col=6&amp;number=3.3&amp;sourceID=14","3.3")</f>
        <v>3.3</v>
      </c>
      <c r="G6107" s="4" t="str">
        <f>HYPERLINK("http://141.218.60.56/~jnz1568/getInfo.php?workbook=12_04.xlsx&amp;sheet=U0&amp;row=6107&amp;col=7&amp;number=0.0626&amp;sourceID=14","0.0626")</f>
        <v>0.0626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HYPERLINK("http://141.218.60.56/~jnz1568/getInfo.php?workbook=12_04.xlsx&amp;sheet=U0&amp;row=6108&amp;col=6&amp;number=3.4&amp;sourceID=14","3.4")</f>
        <v>3.4</v>
      </c>
      <c r="G6108" s="4" t="str">
        <f>HYPERLINK("http://141.218.60.56/~jnz1568/getInfo.php?workbook=12_04.xlsx&amp;sheet=U0&amp;row=6108&amp;col=7&amp;number=0.0624&amp;sourceID=14","0.0624")</f>
        <v>0.0624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HYPERLINK("http://141.218.60.56/~jnz1568/getInfo.php?workbook=12_04.xlsx&amp;sheet=U0&amp;row=6109&amp;col=6&amp;number=3.5&amp;sourceID=14","3.5")</f>
        <v>3.5</v>
      </c>
      <c r="G6109" s="4" t="str">
        <f>HYPERLINK("http://141.218.60.56/~jnz1568/getInfo.php?workbook=12_04.xlsx&amp;sheet=U0&amp;row=6109&amp;col=7&amp;number=0.0622&amp;sourceID=14","0.0622")</f>
        <v>0.0622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HYPERLINK("http://141.218.60.56/~jnz1568/getInfo.php?workbook=12_04.xlsx&amp;sheet=U0&amp;row=6110&amp;col=6&amp;number=3.6&amp;sourceID=14","3.6")</f>
        <v>3.6</v>
      </c>
      <c r="G6110" s="4" t="str">
        <f>HYPERLINK("http://141.218.60.56/~jnz1568/getInfo.php?workbook=12_04.xlsx&amp;sheet=U0&amp;row=6110&amp;col=7&amp;number=0.062&amp;sourceID=14","0.062")</f>
        <v>0.062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HYPERLINK("http://141.218.60.56/~jnz1568/getInfo.php?workbook=12_04.xlsx&amp;sheet=U0&amp;row=6111&amp;col=6&amp;number=3.7&amp;sourceID=14","3.7")</f>
        <v>3.7</v>
      </c>
      <c r="G6111" s="4" t="str">
        <f>HYPERLINK("http://141.218.60.56/~jnz1568/getInfo.php?workbook=12_04.xlsx&amp;sheet=U0&amp;row=6111&amp;col=7&amp;number=0.0617&amp;sourceID=14","0.0617")</f>
        <v>0.0617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HYPERLINK("http://141.218.60.56/~jnz1568/getInfo.php?workbook=12_04.xlsx&amp;sheet=U0&amp;row=6112&amp;col=6&amp;number=3.8&amp;sourceID=14","3.8")</f>
        <v>3.8</v>
      </c>
      <c r="G6112" s="4" t="str">
        <f>HYPERLINK("http://141.218.60.56/~jnz1568/getInfo.php?workbook=12_04.xlsx&amp;sheet=U0&amp;row=6112&amp;col=7&amp;number=0.0613&amp;sourceID=14","0.0613")</f>
        <v>0.0613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HYPERLINK("http://141.218.60.56/~jnz1568/getInfo.php?workbook=12_04.xlsx&amp;sheet=U0&amp;row=6113&amp;col=6&amp;number=3.9&amp;sourceID=14","3.9")</f>
        <v>3.9</v>
      </c>
      <c r="G6113" s="4" t="str">
        <f>HYPERLINK("http://141.218.60.56/~jnz1568/getInfo.php?workbook=12_04.xlsx&amp;sheet=U0&amp;row=6113&amp;col=7&amp;number=0.0609&amp;sourceID=14","0.0609")</f>
        <v>0.0609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HYPERLINK("http://141.218.60.56/~jnz1568/getInfo.php?workbook=12_04.xlsx&amp;sheet=U0&amp;row=6114&amp;col=6&amp;number=4&amp;sourceID=14","4")</f>
        <v>4</v>
      </c>
      <c r="G6114" s="4" t="str">
        <f>HYPERLINK("http://141.218.60.56/~jnz1568/getInfo.php?workbook=12_04.xlsx&amp;sheet=U0&amp;row=6114&amp;col=7&amp;number=0.0603&amp;sourceID=14","0.0603")</f>
        <v>0.0603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HYPERLINK("http://141.218.60.56/~jnz1568/getInfo.php?workbook=12_04.xlsx&amp;sheet=U0&amp;row=6115&amp;col=6&amp;number=4.1&amp;sourceID=14","4.1")</f>
        <v>4.1</v>
      </c>
      <c r="G6115" s="4" t="str">
        <f>HYPERLINK("http://141.218.60.56/~jnz1568/getInfo.php?workbook=12_04.xlsx&amp;sheet=U0&amp;row=6115&amp;col=7&amp;number=0.0595&amp;sourceID=14","0.0595")</f>
        <v>0.0595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HYPERLINK("http://141.218.60.56/~jnz1568/getInfo.php?workbook=12_04.xlsx&amp;sheet=U0&amp;row=6116&amp;col=6&amp;number=4.2&amp;sourceID=14","4.2")</f>
        <v>4.2</v>
      </c>
      <c r="G6116" s="4" t="str">
        <f>HYPERLINK("http://141.218.60.56/~jnz1568/getInfo.php?workbook=12_04.xlsx&amp;sheet=U0&amp;row=6116&amp;col=7&amp;number=0.0586&amp;sourceID=14","0.0586")</f>
        <v>0.0586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HYPERLINK("http://141.218.60.56/~jnz1568/getInfo.php?workbook=12_04.xlsx&amp;sheet=U0&amp;row=6117&amp;col=6&amp;number=4.3&amp;sourceID=14","4.3")</f>
        <v>4.3</v>
      </c>
      <c r="G6117" s="4" t="str">
        <f>HYPERLINK("http://141.218.60.56/~jnz1568/getInfo.php?workbook=12_04.xlsx&amp;sheet=U0&amp;row=6117&amp;col=7&amp;number=0.0575&amp;sourceID=14","0.0575")</f>
        <v>0.0575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HYPERLINK("http://141.218.60.56/~jnz1568/getInfo.php?workbook=12_04.xlsx&amp;sheet=U0&amp;row=6118&amp;col=6&amp;number=4.4&amp;sourceID=14","4.4")</f>
        <v>4.4</v>
      </c>
      <c r="G6118" s="4" t="str">
        <f>HYPERLINK("http://141.218.60.56/~jnz1568/getInfo.php?workbook=12_04.xlsx&amp;sheet=U0&amp;row=6118&amp;col=7&amp;number=0.0561&amp;sourceID=14","0.0561")</f>
        <v>0.0561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HYPERLINK("http://141.218.60.56/~jnz1568/getInfo.php?workbook=12_04.xlsx&amp;sheet=U0&amp;row=6119&amp;col=6&amp;number=4.5&amp;sourceID=14","4.5")</f>
        <v>4.5</v>
      </c>
      <c r="G6119" s="4" t="str">
        <f>HYPERLINK("http://141.218.60.56/~jnz1568/getInfo.php?workbook=12_04.xlsx&amp;sheet=U0&amp;row=6119&amp;col=7&amp;number=0.0543&amp;sourceID=14","0.0543")</f>
        <v>0.0543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HYPERLINK("http://141.218.60.56/~jnz1568/getInfo.php?workbook=12_04.xlsx&amp;sheet=U0&amp;row=6120&amp;col=6&amp;number=4.6&amp;sourceID=14","4.6")</f>
        <v>4.6</v>
      </c>
      <c r="G6120" s="4" t="str">
        <f>HYPERLINK("http://141.218.60.56/~jnz1568/getInfo.php?workbook=12_04.xlsx&amp;sheet=U0&amp;row=6120&amp;col=7&amp;number=0.0521&amp;sourceID=14","0.0521")</f>
        <v>0.0521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HYPERLINK("http://141.218.60.56/~jnz1568/getInfo.php?workbook=12_04.xlsx&amp;sheet=U0&amp;row=6121&amp;col=6&amp;number=4.7&amp;sourceID=14","4.7")</f>
        <v>4.7</v>
      </c>
      <c r="G6121" s="4" t="str">
        <f>HYPERLINK("http://141.218.60.56/~jnz1568/getInfo.php?workbook=12_04.xlsx&amp;sheet=U0&amp;row=6121&amp;col=7&amp;number=0.0494&amp;sourceID=14","0.0494")</f>
        <v>0.0494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HYPERLINK("http://141.218.60.56/~jnz1568/getInfo.php?workbook=12_04.xlsx&amp;sheet=U0&amp;row=6122&amp;col=6&amp;number=4.8&amp;sourceID=14","4.8")</f>
        <v>4.8</v>
      </c>
      <c r="G6122" s="4" t="str">
        <f>HYPERLINK("http://141.218.60.56/~jnz1568/getInfo.php?workbook=12_04.xlsx&amp;sheet=U0&amp;row=6122&amp;col=7&amp;number=0.0462&amp;sourceID=14","0.0462")</f>
        <v>0.0462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HYPERLINK("http://141.218.60.56/~jnz1568/getInfo.php?workbook=12_04.xlsx&amp;sheet=U0&amp;row=6123&amp;col=6&amp;number=4.9&amp;sourceID=14","4.9")</f>
        <v>4.9</v>
      </c>
      <c r="G6123" s="4" t="str">
        <f>HYPERLINK("http://141.218.60.56/~jnz1568/getInfo.php?workbook=12_04.xlsx&amp;sheet=U0&amp;row=6123&amp;col=7&amp;number=0.0424&amp;sourceID=14","0.0424")</f>
        <v>0.0424</v>
      </c>
    </row>
    <row r="6124" spans="1:7">
      <c r="A6124" s="3">
        <v>12</v>
      </c>
      <c r="B6124" s="3">
        <v>4</v>
      </c>
      <c r="C6124" s="3">
        <v>4</v>
      </c>
      <c r="D6124" s="3">
        <v>23</v>
      </c>
      <c r="E6124" s="3">
        <v>1</v>
      </c>
      <c r="F6124" s="4" t="str">
        <f>HYPERLINK("http://141.218.60.56/~jnz1568/getInfo.php?workbook=12_04.xlsx&amp;sheet=U0&amp;row=6124&amp;col=6&amp;number=3&amp;sourceID=14","3")</f>
        <v>3</v>
      </c>
      <c r="G6124" s="4" t="str">
        <f>HYPERLINK("http://141.218.60.56/~jnz1568/getInfo.php?workbook=12_04.xlsx&amp;sheet=U0&amp;row=6124&amp;col=7&amp;number=0.265&amp;sourceID=14","0.265")</f>
        <v>0.265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HYPERLINK("http://141.218.60.56/~jnz1568/getInfo.php?workbook=12_04.xlsx&amp;sheet=U0&amp;row=6125&amp;col=6&amp;number=3.1&amp;sourceID=14","3.1")</f>
        <v>3.1</v>
      </c>
      <c r="G6125" s="4" t="str">
        <f>HYPERLINK("http://141.218.60.56/~jnz1568/getInfo.php?workbook=12_04.xlsx&amp;sheet=U0&amp;row=6125&amp;col=7&amp;number=0.265&amp;sourceID=14","0.265")</f>
        <v>0.265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HYPERLINK("http://141.218.60.56/~jnz1568/getInfo.php?workbook=12_04.xlsx&amp;sheet=U0&amp;row=6126&amp;col=6&amp;number=3.2&amp;sourceID=14","3.2")</f>
        <v>3.2</v>
      </c>
      <c r="G6126" s="4" t="str">
        <f>HYPERLINK("http://141.218.60.56/~jnz1568/getInfo.php?workbook=12_04.xlsx&amp;sheet=U0&amp;row=6126&amp;col=7&amp;number=0.265&amp;sourceID=14","0.265")</f>
        <v>0.265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HYPERLINK("http://141.218.60.56/~jnz1568/getInfo.php?workbook=12_04.xlsx&amp;sheet=U0&amp;row=6127&amp;col=6&amp;number=3.3&amp;sourceID=14","3.3")</f>
        <v>3.3</v>
      </c>
      <c r="G6127" s="4" t="str">
        <f>HYPERLINK("http://141.218.60.56/~jnz1568/getInfo.php?workbook=12_04.xlsx&amp;sheet=U0&amp;row=6127&amp;col=7&amp;number=0.265&amp;sourceID=14","0.265")</f>
        <v>0.265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HYPERLINK("http://141.218.60.56/~jnz1568/getInfo.php?workbook=12_04.xlsx&amp;sheet=U0&amp;row=6128&amp;col=6&amp;number=3.4&amp;sourceID=14","3.4")</f>
        <v>3.4</v>
      </c>
      <c r="G6128" s="4" t="str">
        <f>HYPERLINK("http://141.218.60.56/~jnz1568/getInfo.php?workbook=12_04.xlsx&amp;sheet=U0&amp;row=6128&amp;col=7&amp;number=0.264&amp;sourceID=14","0.264")</f>
        <v>0.264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HYPERLINK("http://141.218.60.56/~jnz1568/getInfo.php?workbook=12_04.xlsx&amp;sheet=U0&amp;row=6129&amp;col=6&amp;number=3.5&amp;sourceID=14","3.5")</f>
        <v>3.5</v>
      </c>
      <c r="G6129" s="4" t="str">
        <f>HYPERLINK("http://141.218.60.56/~jnz1568/getInfo.php?workbook=12_04.xlsx&amp;sheet=U0&amp;row=6129&amp;col=7&amp;number=0.264&amp;sourceID=14","0.264")</f>
        <v>0.264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HYPERLINK("http://141.218.60.56/~jnz1568/getInfo.php?workbook=12_04.xlsx&amp;sheet=U0&amp;row=6130&amp;col=6&amp;number=3.6&amp;sourceID=14","3.6")</f>
        <v>3.6</v>
      </c>
      <c r="G6130" s="4" t="str">
        <f>HYPERLINK("http://141.218.60.56/~jnz1568/getInfo.php?workbook=12_04.xlsx&amp;sheet=U0&amp;row=6130&amp;col=7&amp;number=0.264&amp;sourceID=14","0.264")</f>
        <v>0.264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HYPERLINK("http://141.218.60.56/~jnz1568/getInfo.php?workbook=12_04.xlsx&amp;sheet=U0&amp;row=6131&amp;col=6&amp;number=3.7&amp;sourceID=14","3.7")</f>
        <v>3.7</v>
      </c>
      <c r="G6131" s="4" t="str">
        <f>HYPERLINK("http://141.218.60.56/~jnz1568/getInfo.php?workbook=12_04.xlsx&amp;sheet=U0&amp;row=6131&amp;col=7&amp;number=0.263&amp;sourceID=14","0.263")</f>
        <v>0.263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HYPERLINK("http://141.218.60.56/~jnz1568/getInfo.php?workbook=12_04.xlsx&amp;sheet=U0&amp;row=6132&amp;col=6&amp;number=3.8&amp;sourceID=14","3.8")</f>
        <v>3.8</v>
      </c>
      <c r="G6132" s="4" t="str">
        <f>HYPERLINK("http://141.218.60.56/~jnz1568/getInfo.php?workbook=12_04.xlsx&amp;sheet=U0&amp;row=6132&amp;col=7&amp;number=0.262&amp;sourceID=14","0.262")</f>
        <v>0.262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HYPERLINK("http://141.218.60.56/~jnz1568/getInfo.php?workbook=12_04.xlsx&amp;sheet=U0&amp;row=6133&amp;col=6&amp;number=3.9&amp;sourceID=14","3.9")</f>
        <v>3.9</v>
      </c>
      <c r="G6133" s="4" t="str">
        <f>HYPERLINK("http://141.218.60.56/~jnz1568/getInfo.php?workbook=12_04.xlsx&amp;sheet=U0&amp;row=6133&amp;col=7&amp;number=0.262&amp;sourceID=14","0.262")</f>
        <v>0.262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HYPERLINK("http://141.218.60.56/~jnz1568/getInfo.php?workbook=12_04.xlsx&amp;sheet=U0&amp;row=6134&amp;col=6&amp;number=4&amp;sourceID=14","4")</f>
        <v>4</v>
      </c>
      <c r="G6134" s="4" t="str">
        <f>HYPERLINK("http://141.218.60.56/~jnz1568/getInfo.php?workbook=12_04.xlsx&amp;sheet=U0&amp;row=6134&amp;col=7&amp;number=0.261&amp;sourceID=14","0.261")</f>
        <v>0.261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HYPERLINK("http://141.218.60.56/~jnz1568/getInfo.php?workbook=12_04.xlsx&amp;sheet=U0&amp;row=6135&amp;col=6&amp;number=4.1&amp;sourceID=14","4.1")</f>
        <v>4.1</v>
      </c>
      <c r="G6135" s="4" t="str">
        <f>HYPERLINK("http://141.218.60.56/~jnz1568/getInfo.php?workbook=12_04.xlsx&amp;sheet=U0&amp;row=6135&amp;col=7&amp;number=0.259&amp;sourceID=14","0.259")</f>
        <v>0.259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HYPERLINK("http://141.218.60.56/~jnz1568/getInfo.php?workbook=12_04.xlsx&amp;sheet=U0&amp;row=6136&amp;col=6&amp;number=4.2&amp;sourceID=14","4.2")</f>
        <v>4.2</v>
      </c>
      <c r="G6136" s="4" t="str">
        <f>HYPERLINK("http://141.218.60.56/~jnz1568/getInfo.php?workbook=12_04.xlsx&amp;sheet=U0&amp;row=6136&amp;col=7&amp;number=0.258&amp;sourceID=14","0.258")</f>
        <v>0.258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HYPERLINK("http://141.218.60.56/~jnz1568/getInfo.php?workbook=12_04.xlsx&amp;sheet=U0&amp;row=6137&amp;col=6&amp;number=4.3&amp;sourceID=14","4.3")</f>
        <v>4.3</v>
      </c>
      <c r="G6137" s="4" t="str">
        <f>HYPERLINK("http://141.218.60.56/~jnz1568/getInfo.php?workbook=12_04.xlsx&amp;sheet=U0&amp;row=6137&amp;col=7&amp;number=0.256&amp;sourceID=14","0.256")</f>
        <v>0.256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HYPERLINK("http://141.218.60.56/~jnz1568/getInfo.php?workbook=12_04.xlsx&amp;sheet=U0&amp;row=6138&amp;col=6&amp;number=4.4&amp;sourceID=14","4.4")</f>
        <v>4.4</v>
      </c>
      <c r="G6138" s="4" t="str">
        <f>HYPERLINK("http://141.218.60.56/~jnz1568/getInfo.php?workbook=12_04.xlsx&amp;sheet=U0&amp;row=6138&amp;col=7&amp;number=0.253&amp;sourceID=14","0.253")</f>
        <v>0.253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HYPERLINK("http://141.218.60.56/~jnz1568/getInfo.php?workbook=12_04.xlsx&amp;sheet=U0&amp;row=6139&amp;col=6&amp;number=4.5&amp;sourceID=14","4.5")</f>
        <v>4.5</v>
      </c>
      <c r="G6139" s="4" t="str">
        <f>HYPERLINK("http://141.218.60.56/~jnz1568/getInfo.php?workbook=12_04.xlsx&amp;sheet=U0&amp;row=6139&amp;col=7&amp;number=0.25&amp;sourceID=14","0.25")</f>
        <v>0.25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HYPERLINK("http://141.218.60.56/~jnz1568/getInfo.php?workbook=12_04.xlsx&amp;sheet=U0&amp;row=6140&amp;col=6&amp;number=4.6&amp;sourceID=14","4.6")</f>
        <v>4.6</v>
      </c>
      <c r="G6140" s="4" t="str">
        <f>HYPERLINK("http://141.218.60.56/~jnz1568/getInfo.php?workbook=12_04.xlsx&amp;sheet=U0&amp;row=6140&amp;col=7&amp;number=0.246&amp;sourceID=14","0.246")</f>
        <v>0.246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HYPERLINK("http://141.218.60.56/~jnz1568/getInfo.php?workbook=12_04.xlsx&amp;sheet=U0&amp;row=6141&amp;col=6&amp;number=4.7&amp;sourceID=14","4.7")</f>
        <v>4.7</v>
      </c>
      <c r="G6141" s="4" t="str">
        <f>HYPERLINK("http://141.218.60.56/~jnz1568/getInfo.php?workbook=12_04.xlsx&amp;sheet=U0&amp;row=6141&amp;col=7&amp;number=0.241&amp;sourceID=14","0.241")</f>
        <v>0.241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HYPERLINK("http://141.218.60.56/~jnz1568/getInfo.php?workbook=12_04.xlsx&amp;sheet=U0&amp;row=6142&amp;col=6&amp;number=4.8&amp;sourceID=14","4.8")</f>
        <v>4.8</v>
      </c>
      <c r="G6142" s="4" t="str">
        <f>HYPERLINK("http://141.218.60.56/~jnz1568/getInfo.php?workbook=12_04.xlsx&amp;sheet=U0&amp;row=6142&amp;col=7&amp;number=0.236&amp;sourceID=14","0.236")</f>
        <v>0.236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HYPERLINK("http://141.218.60.56/~jnz1568/getInfo.php?workbook=12_04.xlsx&amp;sheet=U0&amp;row=6143&amp;col=6&amp;number=4.9&amp;sourceID=14","4.9")</f>
        <v>4.9</v>
      </c>
      <c r="G6143" s="4" t="str">
        <f>HYPERLINK("http://141.218.60.56/~jnz1568/getInfo.php?workbook=12_04.xlsx&amp;sheet=U0&amp;row=6143&amp;col=7&amp;number=0.229&amp;sourceID=14","0.229")</f>
        <v>0.229</v>
      </c>
    </row>
    <row r="6144" spans="1:7">
      <c r="A6144" s="3">
        <v>12</v>
      </c>
      <c r="B6144" s="3">
        <v>4</v>
      </c>
      <c r="C6144" s="3">
        <v>4</v>
      </c>
      <c r="D6144" s="3">
        <v>24</v>
      </c>
      <c r="E6144" s="3">
        <v>1</v>
      </c>
      <c r="F6144" s="4" t="str">
        <f>HYPERLINK("http://141.218.60.56/~jnz1568/getInfo.php?workbook=12_04.xlsx&amp;sheet=U0&amp;row=6144&amp;col=6&amp;number=3&amp;sourceID=14","3")</f>
        <v>3</v>
      </c>
      <c r="G6144" s="4" t="str">
        <f>HYPERLINK("http://141.218.60.56/~jnz1568/getInfo.php?workbook=12_04.xlsx&amp;sheet=U0&amp;row=6144&amp;col=7&amp;number=0.0962&amp;sourceID=14","0.0962")</f>
        <v>0.0962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HYPERLINK("http://141.218.60.56/~jnz1568/getInfo.php?workbook=12_04.xlsx&amp;sheet=U0&amp;row=6145&amp;col=6&amp;number=3.1&amp;sourceID=14","3.1")</f>
        <v>3.1</v>
      </c>
      <c r="G6145" s="4" t="str">
        <f>HYPERLINK("http://141.218.60.56/~jnz1568/getInfo.php?workbook=12_04.xlsx&amp;sheet=U0&amp;row=6145&amp;col=7&amp;number=0.096&amp;sourceID=14","0.096")</f>
        <v>0.096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HYPERLINK("http://141.218.60.56/~jnz1568/getInfo.php?workbook=12_04.xlsx&amp;sheet=U0&amp;row=6146&amp;col=6&amp;number=3.2&amp;sourceID=14","3.2")</f>
        <v>3.2</v>
      </c>
      <c r="G6146" s="4" t="str">
        <f>HYPERLINK("http://141.218.60.56/~jnz1568/getInfo.php?workbook=12_04.xlsx&amp;sheet=U0&amp;row=6146&amp;col=7&amp;number=0.0958&amp;sourceID=14","0.0958")</f>
        <v>0.0958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HYPERLINK("http://141.218.60.56/~jnz1568/getInfo.php?workbook=12_04.xlsx&amp;sheet=U0&amp;row=6147&amp;col=6&amp;number=3.3&amp;sourceID=14","3.3")</f>
        <v>3.3</v>
      </c>
      <c r="G6147" s="4" t="str">
        <f>HYPERLINK("http://141.218.60.56/~jnz1568/getInfo.php?workbook=12_04.xlsx&amp;sheet=U0&amp;row=6147&amp;col=7&amp;number=0.0956&amp;sourceID=14","0.0956")</f>
        <v>0.0956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HYPERLINK("http://141.218.60.56/~jnz1568/getInfo.php?workbook=12_04.xlsx&amp;sheet=U0&amp;row=6148&amp;col=6&amp;number=3.4&amp;sourceID=14","3.4")</f>
        <v>3.4</v>
      </c>
      <c r="G6148" s="4" t="str">
        <f>HYPERLINK("http://141.218.60.56/~jnz1568/getInfo.php?workbook=12_04.xlsx&amp;sheet=U0&amp;row=6148&amp;col=7&amp;number=0.0953&amp;sourceID=14","0.0953")</f>
        <v>0.0953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HYPERLINK("http://141.218.60.56/~jnz1568/getInfo.php?workbook=12_04.xlsx&amp;sheet=U0&amp;row=6149&amp;col=6&amp;number=3.5&amp;sourceID=14","3.5")</f>
        <v>3.5</v>
      </c>
      <c r="G6149" s="4" t="str">
        <f>HYPERLINK("http://141.218.60.56/~jnz1568/getInfo.php?workbook=12_04.xlsx&amp;sheet=U0&amp;row=6149&amp;col=7&amp;number=0.095&amp;sourceID=14","0.095")</f>
        <v>0.095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HYPERLINK("http://141.218.60.56/~jnz1568/getInfo.php?workbook=12_04.xlsx&amp;sheet=U0&amp;row=6150&amp;col=6&amp;number=3.6&amp;sourceID=14","3.6")</f>
        <v>3.6</v>
      </c>
      <c r="G6150" s="4" t="str">
        <f>HYPERLINK("http://141.218.60.56/~jnz1568/getInfo.php?workbook=12_04.xlsx&amp;sheet=U0&amp;row=6150&amp;col=7&amp;number=0.0945&amp;sourceID=14","0.0945")</f>
        <v>0.0945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HYPERLINK("http://141.218.60.56/~jnz1568/getInfo.php?workbook=12_04.xlsx&amp;sheet=U0&amp;row=6151&amp;col=6&amp;number=3.7&amp;sourceID=14","3.7")</f>
        <v>3.7</v>
      </c>
      <c r="G6151" s="4" t="str">
        <f>HYPERLINK("http://141.218.60.56/~jnz1568/getInfo.php?workbook=12_04.xlsx&amp;sheet=U0&amp;row=6151&amp;col=7&amp;number=0.094&amp;sourceID=14","0.094")</f>
        <v>0.094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HYPERLINK("http://141.218.60.56/~jnz1568/getInfo.php?workbook=12_04.xlsx&amp;sheet=U0&amp;row=6152&amp;col=6&amp;number=3.8&amp;sourceID=14","3.8")</f>
        <v>3.8</v>
      </c>
      <c r="G6152" s="4" t="str">
        <f>HYPERLINK("http://141.218.60.56/~jnz1568/getInfo.php?workbook=12_04.xlsx&amp;sheet=U0&amp;row=6152&amp;col=7&amp;number=0.0933&amp;sourceID=14","0.0933")</f>
        <v>0.0933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HYPERLINK("http://141.218.60.56/~jnz1568/getInfo.php?workbook=12_04.xlsx&amp;sheet=U0&amp;row=6153&amp;col=6&amp;number=3.9&amp;sourceID=14","3.9")</f>
        <v>3.9</v>
      </c>
      <c r="G6153" s="4" t="str">
        <f>HYPERLINK("http://141.218.60.56/~jnz1568/getInfo.php?workbook=12_04.xlsx&amp;sheet=U0&amp;row=6153&amp;col=7&amp;number=0.0924&amp;sourceID=14","0.0924")</f>
        <v>0.0924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HYPERLINK("http://141.218.60.56/~jnz1568/getInfo.php?workbook=12_04.xlsx&amp;sheet=U0&amp;row=6154&amp;col=6&amp;number=4&amp;sourceID=14","4")</f>
        <v>4</v>
      </c>
      <c r="G6154" s="4" t="str">
        <f>HYPERLINK("http://141.218.60.56/~jnz1568/getInfo.php?workbook=12_04.xlsx&amp;sheet=U0&amp;row=6154&amp;col=7&amp;number=0.0913&amp;sourceID=14","0.0913")</f>
        <v>0.0913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HYPERLINK("http://141.218.60.56/~jnz1568/getInfo.php?workbook=12_04.xlsx&amp;sheet=U0&amp;row=6155&amp;col=6&amp;number=4.1&amp;sourceID=14","4.1")</f>
        <v>4.1</v>
      </c>
      <c r="G6155" s="4" t="str">
        <f>HYPERLINK("http://141.218.60.56/~jnz1568/getInfo.php?workbook=12_04.xlsx&amp;sheet=U0&amp;row=6155&amp;col=7&amp;number=0.0899&amp;sourceID=14","0.0899")</f>
        <v>0.0899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HYPERLINK("http://141.218.60.56/~jnz1568/getInfo.php?workbook=12_04.xlsx&amp;sheet=U0&amp;row=6156&amp;col=6&amp;number=4.2&amp;sourceID=14","4.2")</f>
        <v>4.2</v>
      </c>
      <c r="G6156" s="4" t="str">
        <f>HYPERLINK("http://141.218.60.56/~jnz1568/getInfo.php?workbook=12_04.xlsx&amp;sheet=U0&amp;row=6156&amp;col=7&amp;number=0.0882&amp;sourceID=14","0.0882")</f>
        <v>0.0882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HYPERLINK("http://141.218.60.56/~jnz1568/getInfo.php?workbook=12_04.xlsx&amp;sheet=U0&amp;row=6157&amp;col=6&amp;number=4.3&amp;sourceID=14","4.3")</f>
        <v>4.3</v>
      </c>
      <c r="G6157" s="4" t="str">
        <f>HYPERLINK("http://141.218.60.56/~jnz1568/getInfo.php?workbook=12_04.xlsx&amp;sheet=U0&amp;row=6157&amp;col=7&amp;number=0.086&amp;sourceID=14","0.086")</f>
        <v>0.086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HYPERLINK("http://141.218.60.56/~jnz1568/getInfo.php?workbook=12_04.xlsx&amp;sheet=U0&amp;row=6158&amp;col=6&amp;number=4.4&amp;sourceID=14","4.4")</f>
        <v>4.4</v>
      </c>
      <c r="G6158" s="4" t="str">
        <f>HYPERLINK("http://141.218.60.56/~jnz1568/getInfo.php?workbook=12_04.xlsx&amp;sheet=U0&amp;row=6158&amp;col=7&amp;number=0.0834&amp;sourceID=14","0.0834")</f>
        <v>0.0834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HYPERLINK("http://141.218.60.56/~jnz1568/getInfo.php?workbook=12_04.xlsx&amp;sheet=U0&amp;row=6159&amp;col=6&amp;number=4.5&amp;sourceID=14","4.5")</f>
        <v>4.5</v>
      </c>
      <c r="G6159" s="4" t="str">
        <f>HYPERLINK("http://141.218.60.56/~jnz1568/getInfo.php?workbook=12_04.xlsx&amp;sheet=U0&amp;row=6159&amp;col=7&amp;number=0.08&amp;sourceID=14","0.08")</f>
        <v>0.08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HYPERLINK("http://141.218.60.56/~jnz1568/getInfo.php?workbook=12_04.xlsx&amp;sheet=U0&amp;row=6160&amp;col=6&amp;number=4.6&amp;sourceID=14","4.6")</f>
        <v>4.6</v>
      </c>
      <c r="G6160" s="4" t="str">
        <f>HYPERLINK("http://141.218.60.56/~jnz1568/getInfo.php?workbook=12_04.xlsx&amp;sheet=U0&amp;row=6160&amp;col=7&amp;number=0.076&amp;sourceID=14","0.076")</f>
        <v>0.076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HYPERLINK("http://141.218.60.56/~jnz1568/getInfo.php?workbook=12_04.xlsx&amp;sheet=U0&amp;row=6161&amp;col=6&amp;number=4.7&amp;sourceID=14","4.7")</f>
        <v>4.7</v>
      </c>
      <c r="G6161" s="4" t="str">
        <f>HYPERLINK("http://141.218.60.56/~jnz1568/getInfo.php?workbook=12_04.xlsx&amp;sheet=U0&amp;row=6161&amp;col=7&amp;number=0.071&amp;sourceID=14","0.071")</f>
        <v>0.071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HYPERLINK("http://141.218.60.56/~jnz1568/getInfo.php?workbook=12_04.xlsx&amp;sheet=U0&amp;row=6162&amp;col=6&amp;number=4.8&amp;sourceID=14","4.8")</f>
        <v>4.8</v>
      </c>
      <c r="G6162" s="4" t="str">
        <f>HYPERLINK("http://141.218.60.56/~jnz1568/getInfo.php?workbook=12_04.xlsx&amp;sheet=U0&amp;row=6162&amp;col=7&amp;number=0.065&amp;sourceID=14","0.065")</f>
        <v>0.065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HYPERLINK("http://141.218.60.56/~jnz1568/getInfo.php?workbook=12_04.xlsx&amp;sheet=U0&amp;row=6163&amp;col=6&amp;number=4.9&amp;sourceID=14","4.9")</f>
        <v>4.9</v>
      </c>
      <c r="G6163" s="4" t="str">
        <f>HYPERLINK("http://141.218.60.56/~jnz1568/getInfo.php?workbook=12_04.xlsx&amp;sheet=U0&amp;row=6163&amp;col=7&amp;number=0.0579&amp;sourceID=14","0.0579")</f>
        <v>0.0579</v>
      </c>
    </row>
    <row r="6164" spans="1:7">
      <c r="A6164" s="3">
        <v>12</v>
      </c>
      <c r="B6164" s="3">
        <v>4</v>
      </c>
      <c r="C6164" s="3">
        <v>4</v>
      </c>
      <c r="D6164" s="3">
        <v>25</v>
      </c>
      <c r="E6164" s="3">
        <v>1</v>
      </c>
      <c r="F6164" s="4" t="str">
        <f>HYPERLINK("http://141.218.60.56/~jnz1568/getInfo.php?workbook=12_04.xlsx&amp;sheet=U0&amp;row=6164&amp;col=6&amp;number=3&amp;sourceID=14","3")</f>
        <v>3</v>
      </c>
      <c r="G6164" s="4" t="str">
        <f>HYPERLINK("http://141.218.60.56/~jnz1568/getInfo.php?workbook=12_04.xlsx&amp;sheet=U0&amp;row=6164&amp;col=7&amp;number=0.0481&amp;sourceID=14","0.0481")</f>
        <v>0.0481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HYPERLINK("http://141.218.60.56/~jnz1568/getInfo.php?workbook=12_04.xlsx&amp;sheet=U0&amp;row=6165&amp;col=6&amp;number=3.1&amp;sourceID=14","3.1")</f>
        <v>3.1</v>
      </c>
      <c r="G6165" s="4" t="str">
        <f>HYPERLINK("http://141.218.60.56/~jnz1568/getInfo.php?workbook=12_04.xlsx&amp;sheet=U0&amp;row=6165&amp;col=7&amp;number=0.0481&amp;sourceID=14","0.0481")</f>
        <v>0.0481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HYPERLINK("http://141.218.60.56/~jnz1568/getInfo.php?workbook=12_04.xlsx&amp;sheet=U0&amp;row=6166&amp;col=6&amp;number=3.2&amp;sourceID=14","3.2")</f>
        <v>3.2</v>
      </c>
      <c r="G6166" s="4" t="str">
        <f>HYPERLINK("http://141.218.60.56/~jnz1568/getInfo.php?workbook=12_04.xlsx&amp;sheet=U0&amp;row=6166&amp;col=7&amp;number=0.048&amp;sourceID=14","0.048")</f>
        <v>0.048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HYPERLINK("http://141.218.60.56/~jnz1568/getInfo.php?workbook=12_04.xlsx&amp;sheet=U0&amp;row=6167&amp;col=6&amp;number=3.3&amp;sourceID=14","3.3")</f>
        <v>3.3</v>
      </c>
      <c r="G6167" s="4" t="str">
        <f>HYPERLINK("http://141.218.60.56/~jnz1568/getInfo.php?workbook=12_04.xlsx&amp;sheet=U0&amp;row=6167&amp;col=7&amp;number=0.0479&amp;sourceID=14","0.0479")</f>
        <v>0.0479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HYPERLINK("http://141.218.60.56/~jnz1568/getInfo.php?workbook=12_04.xlsx&amp;sheet=U0&amp;row=6168&amp;col=6&amp;number=3.4&amp;sourceID=14","3.4")</f>
        <v>3.4</v>
      </c>
      <c r="G6168" s="4" t="str">
        <f>HYPERLINK("http://141.218.60.56/~jnz1568/getInfo.php?workbook=12_04.xlsx&amp;sheet=U0&amp;row=6168&amp;col=7&amp;number=0.0478&amp;sourceID=14","0.0478")</f>
        <v>0.0478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HYPERLINK("http://141.218.60.56/~jnz1568/getInfo.php?workbook=12_04.xlsx&amp;sheet=U0&amp;row=6169&amp;col=6&amp;number=3.5&amp;sourceID=14","3.5")</f>
        <v>3.5</v>
      </c>
      <c r="G6169" s="4" t="str">
        <f>HYPERLINK("http://141.218.60.56/~jnz1568/getInfo.php?workbook=12_04.xlsx&amp;sheet=U0&amp;row=6169&amp;col=7&amp;number=0.0476&amp;sourceID=14","0.0476")</f>
        <v>0.0476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HYPERLINK("http://141.218.60.56/~jnz1568/getInfo.php?workbook=12_04.xlsx&amp;sheet=U0&amp;row=6170&amp;col=6&amp;number=3.6&amp;sourceID=14","3.6")</f>
        <v>3.6</v>
      </c>
      <c r="G6170" s="4" t="str">
        <f>HYPERLINK("http://141.218.60.56/~jnz1568/getInfo.php?workbook=12_04.xlsx&amp;sheet=U0&amp;row=6170&amp;col=7&amp;number=0.0474&amp;sourceID=14","0.0474")</f>
        <v>0.0474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HYPERLINK("http://141.218.60.56/~jnz1568/getInfo.php?workbook=12_04.xlsx&amp;sheet=U0&amp;row=6171&amp;col=6&amp;number=3.7&amp;sourceID=14","3.7")</f>
        <v>3.7</v>
      </c>
      <c r="G6171" s="4" t="str">
        <f>HYPERLINK("http://141.218.60.56/~jnz1568/getInfo.php?workbook=12_04.xlsx&amp;sheet=U0&amp;row=6171&amp;col=7&amp;number=0.0471&amp;sourceID=14","0.0471")</f>
        <v>0.0471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HYPERLINK("http://141.218.60.56/~jnz1568/getInfo.php?workbook=12_04.xlsx&amp;sheet=U0&amp;row=6172&amp;col=6&amp;number=3.8&amp;sourceID=14","3.8")</f>
        <v>3.8</v>
      </c>
      <c r="G6172" s="4" t="str">
        <f>HYPERLINK("http://141.218.60.56/~jnz1568/getInfo.php?workbook=12_04.xlsx&amp;sheet=U0&amp;row=6172&amp;col=7&amp;number=0.0468&amp;sourceID=14","0.0468")</f>
        <v>0.0468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HYPERLINK("http://141.218.60.56/~jnz1568/getInfo.php?workbook=12_04.xlsx&amp;sheet=U0&amp;row=6173&amp;col=6&amp;number=3.9&amp;sourceID=14","3.9")</f>
        <v>3.9</v>
      </c>
      <c r="G6173" s="4" t="str">
        <f>HYPERLINK("http://141.218.60.56/~jnz1568/getInfo.php?workbook=12_04.xlsx&amp;sheet=U0&amp;row=6173&amp;col=7&amp;number=0.0464&amp;sourceID=14","0.0464")</f>
        <v>0.0464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HYPERLINK("http://141.218.60.56/~jnz1568/getInfo.php?workbook=12_04.xlsx&amp;sheet=U0&amp;row=6174&amp;col=6&amp;number=4&amp;sourceID=14","4")</f>
        <v>4</v>
      </c>
      <c r="G6174" s="4" t="str">
        <f>HYPERLINK("http://141.218.60.56/~jnz1568/getInfo.php?workbook=12_04.xlsx&amp;sheet=U0&amp;row=6174&amp;col=7&amp;number=0.0459&amp;sourceID=14","0.0459")</f>
        <v>0.0459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HYPERLINK("http://141.218.60.56/~jnz1568/getInfo.php?workbook=12_04.xlsx&amp;sheet=U0&amp;row=6175&amp;col=6&amp;number=4.1&amp;sourceID=14","4.1")</f>
        <v>4.1</v>
      </c>
      <c r="G6175" s="4" t="str">
        <f>HYPERLINK("http://141.218.60.56/~jnz1568/getInfo.php?workbook=12_04.xlsx&amp;sheet=U0&amp;row=6175&amp;col=7&amp;number=0.0453&amp;sourceID=14","0.0453")</f>
        <v>0.0453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HYPERLINK("http://141.218.60.56/~jnz1568/getInfo.php?workbook=12_04.xlsx&amp;sheet=U0&amp;row=6176&amp;col=6&amp;number=4.2&amp;sourceID=14","4.2")</f>
        <v>4.2</v>
      </c>
      <c r="G6176" s="4" t="str">
        <f>HYPERLINK("http://141.218.60.56/~jnz1568/getInfo.php?workbook=12_04.xlsx&amp;sheet=U0&amp;row=6176&amp;col=7&amp;number=0.0445&amp;sourceID=14","0.0445")</f>
        <v>0.0445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HYPERLINK("http://141.218.60.56/~jnz1568/getInfo.php?workbook=12_04.xlsx&amp;sheet=U0&amp;row=6177&amp;col=6&amp;number=4.3&amp;sourceID=14","4.3")</f>
        <v>4.3</v>
      </c>
      <c r="G6177" s="4" t="str">
        <f>HYPERLINK("http://141.218.60.56/~jnz1568/getInfo.php?workbook=12_04.xlsx&amp;sheet=U0&amp;row=6177&amp;col=7&amp;number=0.0435&amp;sourceID=14","0.0435")</f>
        <v>0.0435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HYPERLINK("http://141.218.60.56/~jnz1568/getInfo.php?workbook=12_04.xlsx&amp;sheet=U0&amp;row=6178&amp;col=6&amp;number=4.4&amp;sourceID=14","4.4")</f>
        <v>4.4</v>
      </c>
      <c r="G6178" s="4" t="str">
        <f>HYPERLINK("http://141.218.60.56/~jnz1568/getInfo.php?workbook=12_04.xlsx&amp;sheet=U0&amp;row=6178&amp;col=7&amp;number=0.0422&amp;sourceID=14","0.0422")</f>
        <v>0.0422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HYPERLINK("http://141.218.60.56/~jnz1568/getInfo.php?workbook=12_04.xlsx&amp;sheet=U0&amp;row=6179&amp;col=6&amp;number=4.5&amp;sourceID=14","4.5")</f>
        <v>4.5</v>
      </c>
      <c r="G6179" s="4" t="str">
        <f>HYPERLINK("http://141.218.60.56/~jnz1568/getInfo.php?workbook=12_04.xlsx&amp;sheet=U0&amp;row=6179&amp;col=7&amp;number=0.0406&amp;sourceID=14","0.0406")</f>
        <v>0.0406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HYPERLINK("http://141.218.60.56/~jnz1568/getInfo.php?workbook=12_04.xlsx&amp;sheet=U0&amp;row=6180&amp;col=6&amp;number=4.6&amp;sourceID=14","4.6")</f>
        <v>4.6</v>
      </c>
      <c r="G6180" s="4" t="str">
        <f>HYPERLINK("http://141.218.60.56/~jnz1568/getInfo.php?workbook=12_04.xlsx&amp;sheet=U0&amp;row=6180&amp;col=7&amp;number=0.0387&amp;sourceID=14","0.0387")</f>
        <v>0.0387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HYPERLINK("http://141.218.60.56/~jnz1568/getInfo.php?workbook=12_04.xlsx&amp;sheet=U0&amp;row=6181&amp;col=6&amp;number=4.7&amp;sourceID=14","4.7")</f>
        <v>4.7</v>
      </c>
      <c r="G6181" s="4" t="str">
        <f>HYPERLINK("http://141.218.60.56/~jnz1568/getInfo.php?workbook=12_04.xlsx&amp;sheet=U0&amp;row=6181&amp;col=7&amp;number=0.0363&amp;sourceID=14","0.0363")</f>
        <v>0.0363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HYPERLINK("http://141.218.60.56/~jnz1568/getInfo.php?workbook=12_04.xlsx&amp;sheet=U0&amp;row=6182&amp;col=6&amp;number=4.8&amp;sourceID=14","4.8")</f>
        <v>4.8</v>
      </c>
      <c r="G6182" s="4" t="str">
        <f>HYPERLINK("http://141.218.60.56/~jnz1568/getInfo.php?workbook=12_04.xlsx&amp;sheet=U0&amp;row=6182&amp;col=7&amp;number=0.0334&amp;sourceID=14","0.0334")</f>
        <v>0.0334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HYPERLINK("http://141.218.60.56/~jnz1568/getInfo.php?workbook=12_04.xlsx&amp;sheet=U0&amp;row=6183&amp;col=6&amp;number=4.9&amp;sourceID=14","4.9")</f>
        <v>4.9</v>
      </c>
      <c r="G6183" s="4" t="str">
        <f>HYPERLINK("http://141.218.60.56/~jnz1568/getInfo.php?workbook=12_04.xlsx&amp;sheet=U0&amp;row=6183&amp;col=7&amp;number=0.0299&amp;sourceID=14","0.0299")</f>
        <v>0.0299</v>
      </c>
    </row>
    <row r="6184" spans="1:7">
      <c r="A6184" s="3">
        <v>12</v>
      </c>
      <c r="B6184" s="3">
        <v>4</v>
      </c>
      <c r="C6184" s="3">
        <v>4</v>
      </c>
      <c r="D6184" s="3">
        <v>26</v>
      </c>
      <c r="E6184" s="3">
        <v>1</v>
      </c>
      <c r="F6184" s="4" t="str">
        <f>HYPERLINK("http://141.218.60.56/~jnz1568/getInfo.php?workbook=12_04.xlsx&amp;sheet=U0&amp;row=6184&amp;col=6&amp;number=3&amp;sourceID=14","3")</f>
        <v>3</v>
      </c>
      <c r="G6184" s="4" t="str">
        <f>HYPERLINK("http://141.218.60.56/~jnz1568/getInfo.php?workbook=12_04.xlsx&amp;sheet=U0&amp;row=6184&amp;col=7&amp;number=0.0503&amp;sourceID=14","0.0503")</f>
        <v>0.0503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HYPERLINK("http://141.218.60.56/~jnz1568/getInfo.php?workbook=12_04.xlsx&amp;sheet=U0&amp;row=6185&amp;col=6&amp;number=3.1&amp;sourceID=14","3.1")</f>
        <v>3.1</v>
      </c>
      <c r="G6185" s="4" t="str">
        <f>HYPERLINK("http://141.218.60.56/~jnz1568/getInfo.php?workbook=12_04.xlsx&amp;sheet=U0&amp;row=6185&amp;col=7&amp;number=0.0503&amp;sourceID=14","0.0503")</f>
        <v>0.0503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HYPERLINK("http://141.218.60.56/~jnz1568/getInfo.php?workbook=12_04.xlsx&amp;sheet=U0&amp;row=6186&amp;col=6&amp;number=3.2&amp;sourceID=14","3.2")</f>
        <v>3.2</v>
      </c>
      <c r="G6186" s="4" t="str">
        <f>HYPERLINK("http://141.218.60.56/~jnz1568/getInfo.php?workbook=12_04.xlsx&amp;sheet=U0&amp;row=6186&amp;col=7&amp;number=0.0502&amp;sourceID=14","0.0502")</f>
        <v>0.0502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HYPERLINK("http://141.218.60.56/~jnz1568/getInfo.php?workbook=12_04.xlsx&amp;sheet=U0&amp;row=6187&amp;col=6&amp;number=3.3&amp;sourceID=14","3.3")</f>
        <v>3.3</v>
      </c>
      <c r="G6187" s="4" t="str">
        <f>HYPERLINK("http://141.218.60.56/~jnz1568/getInfo.php?workbook=12_04.xlsx&amp;sheet=U0&amp;row=6187&amp;col=7&amp;number=0.05&amp;sourceID=14","0.05")</f>
        <v>0.05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HYPERLINK("http://141.218.60.56/~jnz1568/getInfo.php?workbook=12_04.xlsx&amp;sheet=U0&amp;row=6188&amp;col=6&amp;number=3.4&amp;sourceID=14","3.4")</f>
        <v>3.4</v>
      </c>
      <c r="G6188" s="4" t="str">
        <f>HYPERLINK("http://141.218.60.56/~jnz1568/getInfo.php?workbook=12_04.xlsx&amp;sheet=U0&amp;row=6188&amp;col=7&amp;number=0.0499&amp;sourceID=14","0.0499")</f>
        <v>0.0499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HYPERLINK("http://141.218.60.56/~jnz1568/getInfo.php?workbook=12_04.xlsx&amp;sheet=U0&amp;row=6189&amp;col=6&amp;number=3.5&amp;sourceID=14","3.5")</f>
        <v>3.5</v>
      </c>
      <c r="G6189" s="4" t="str">
        <f>HYPERLINK("http://141.218.60.56/~jnz1568/getInfo.php?workbook=12_04.xlsx&amp;sheet=U0&amp;row=6189&amp;col=7&amp;number=0.0497&amp;sourceID=14","0.0497")</f>
        <v>0.0497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HYPERLINK("http://141.218.60.56/~jnz1568/getInfo.php?workbook=12_04.xlsx&amp;sheet=U0&amp;row=6190&amp;col=6&amp;number=3.6&amp;sourceID=14","3.6")</f>
        <v>3.6</v>
      </c>
      <c r="G6190" s="4" t="str">
        <f>HYPERLINK("http://141.218.60.56/~jnz1568/getInfo.php?workbook=12_04.xlsx&amp;sheet=U0&amp;row=6190&amp;col=7&amp;number=0.0494&amp;sourceID=14","0.0494")</f>
        <v>0.0494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HYPERLINK("http://141.218.60.56/~jnz1568/getInfo.php?workbook=12_04.xlsx&amp;sheet=U0&amp;row=6191&amp;col=6&amp;number=3.7&amp;sourceID=14","3.7")</f>
        <v>3.7</v>
      </c>
      <c r="G6191" s="4" t="str">
        <f>HYPERLINK("http://141.218.60.56/~jnz1568/getInfo.php?workbook=12_04.xlsx&amp;sheet=U0&amp;row=6191&amp;col=7&amp;number=0.0491&amp;sourceID=14","0.0491")</f>
        <v>0.0491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HYPERLINK("http://141.218.60.56/~jnz1568/getInfo.php?workbook=12_04.xlsx&amp;sheet=U0&amp;row=6192&amp;col=6&amp;number=3.8&amp;sourceID=14","3.8")</f>
        <v>3.8</v>
      </c>
      <c r="G6192" s="4" t="str">
        <f>HYPERLINK("http://141.218.60.56/~jnz1568/getInfo.php?workbook=12_04.xlsx&amp;sheet=U0&amp;row=6192&amp;col=7&amp;number=0.0487&amp;sourceID=14","0.0487")</f>
        <v>0.0487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HYPERLINK("http://141.218.60.56/~jnz1568/getInfo.php?workbook=12_04.xlsx&amp;sheet=U0&amp;row=6193&amp;col=6&amp;number=3.9&amp;sourceID=14","3.9")</f>
        <v>3.9</v>
      </c>
      <c r="G6193" s="4" t="str">
        <f>HYPERLINK("http://141.218.60.56/~jnz1568/getInfo.php?workbook=12_04.xlsx&amp;sheet=U0&amp;row=6193&amp;col=7&amp;number=0.0482&amp;sourceID=14","0.0482")</f>
        <v>0.0482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HYPERLINK("http://141.218.60.56/~jnz1568/getInfo.php?workbook=12_04.xlsx&amp;sheet=U0&amp;row=6194&amp;col=6&amp;number=4&amp;sourceID=14","4")</f>
        <v>4</v>
      </c>
      <c r="G6194" s="4" t="str">
        <f>HYPERLINK("http://141.218.60.56/~jnz1568/getInfo.php?workbook=12_04.xlsx&amp;sheet=U0&amp;row=6194&amp;col=7&amp;number=0.0475&amp;sourceID=14","0.0475")</f>
        <v>0.0475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HYPERLINK("http://141.218.60.56/~jnz1568/getInfo.php?workbook=12_04.xlsx&amp;sheet=U0&amp;row=6195&amp;col=6&amp;number=4.1&amp;sourceID=14","4.1")</f>
        <v>4.1</v>
      </c>
      <c r="G6195" s="4" t="str">
        <f>HYPERLINK("http://141.218.60.56/~jnz1568/getInfo.php?workbook=12_04.xlsx&amp;sheet=U0&amp;row=6195&amp;col=7&amp;number=0.0467&amp;sourceID=14","0.0467")</f>
        <v>0.0467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HYPERLINK("http://141.218.60.56/~jnz1568/getInfo.php?workbook=12_04.xlsx&amp;sheet=U0&amp;row=6196&amp;col=6&amp;number=4.2&amp;sourceID=14","4.2")</f>
        <v>4.2</v>
      </c>
      <c r="G6196" s="4" t="str">
        <f>HYPERLINK("http://141.218.60.56/~jnz1568/getInfo.php?workbook=12_04.xlsx&amp;sheet=U0&amp;row=6196&amp;col=7&amp;number=0.0457&amp;sourceID=14","0.0457")</f>
        <v>0.0457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HYPERLINK("http://141.218.60.56/~jnz1568/getInfo.php?workbook=12_04.xlsx&amp;sheet=U0&amp;row=6197&amp;col=6&amp;number=4.3&amp;sourceID=14","4.3")</f>
        <v>4.3</v>
      </c>
      <c r="G6197" s="4" t="str">
        <f>HYPERLINK("http://141.218.60.56/~jnz1568/getInfo.php?workbook=12_04.xlsx&amp;sheet=U0&amp;row=6197&amp;col=7&amp;number=0.0445&amp;sourceID=14","0.0445")</f>
        <v>0.0445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HYPERLINK("http://141.218.60.56/~jnz1568/getInfo.php?workbook=12_04.xlsx&amp;sheet=U0&amp;row=6198&amp;col=6&amp;number=4.4&amp;sourceID=14","4.4")</f>
        <v>4.4</v>
      </c>
      <c r="G6198" s="4" t="str">
        <f>HYPERLINK("http://141.218.60.56/~jnz1568/getInfo.php?workbook=12_04.xlsx&amp;sheet=U0&amp;row=6198&amp;col=7&amp;number=0.0429&amp;sourceID=14","0.0429")</f>
        <v>0.0429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HYPERLINK("http://141.218.60.56/~jnz1568/getInfo.php?workbook=12_04.xlsx&amp;sheet=U0&amp;row=6199&amp;col=6&amp;number=4.5&amp;sourceID=14","4.5")</f>
        <v>4.5</v>
      </c>
      <c r="G6199" s="4" t="str">
        <f>HYPERLINK("http://141.218.60.56/~jnz1568/getInfo.php?workbook=12_04.xlsx&amp;sheet=U0&amp;row=6199&amp;col=7&amp;number=0.041&amp;sourceID=14","0.041")</f>
        <v>0.041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HYPERLINK("http://141.218.60.56/~jnz1568/getInfo.php?workbook=12_04.xlsx&amp;sheet=U0&amp;row=6200&amp;col=6&amp;number=4.6&amp;sourceID=14","4.6")</f>
        <v>4.6</v>
      </c>
      <c r="G6200" s="4" t="str">
        <f>HYPERLINK("http://141.218.60.56/~jnz1568/getInfo.php?workbook=12_04.xlsx&amp;sheet=U0&amp;row=6200&amp;col=7&amp;number=0.0387&amp;sourceID=14","0.0387")</f>
        <v>0.0387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HYPERLINK("http://141.218.60.56/~jnz1568/getInfo.php?workbook=12_04.xlsx&amp;sheet=U0&amp;row=6201&amp;col=6&amp;number=4.7&amp;sourceID=14","4.7")</f>
        <v>4.7</v>
      </c>
      <c r="G6201" s="4" t="str">
        <f>HYPERLINK("http://141.218.60.56/~jnz1568/getInfo.php?workbook=12_04.xlsx&amp;sheet=U0&amp;row=6201&amp;col=7&amp;number=0.0358&amp;sourceID=14","0.0358")</f>
        <v>0.0358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HYPERLINK("http://141.218.60.56/~jnz1568/getInfo.php?workbook=12_04.xlsx&amp;sheet=U0&amp;row=6202&amp;col=6&amp;number=4.8&amp;sourceID=14","4.8")</f>
        <v>4.8</v>
      </c>
      <c r="G6202" s="4" t="str">
        <f>HYPERLINK("http://141.218.60.56/~jnz1568/getInfo.php?workbook=12_04.xlsx&amp;sheet=U0&amp;row=6202&amp;col=7&amp;number=0.0323&amp;sourceID=14","0.0323")</f>
        <v>0.0323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HYPERLINK("http://141.218.60.56/~jnz1568/getInfo.php?workbook=12_04.xlsx&amp;sheet=U0&amp;row=6203&amp;col=6&amp;number=4.9&amp;sourceID=14","4.9")</f>
        <v>4.9</v>
      </c>
      <c r="G6203" s="4" t="str">
        <f>HYPERLINK("http://141.218.60.56/~jnz1568/getInfo.php?workbook=12_04.xlsx&amp;sheet=U0&amp;row=6203&amp;col=7&amp;number=0.0283&amp;sourceID=14","0.0283")</f>
        <v>0.0283</v>
      </c>
    </row>
    <row r="6204" spans="1:7">
      <c r="A6204" s="3">
        <v>12</v>
      </c>
      <c r="B6204" s="3">
        <v>4</v>
      </c>
      <c r="C6204" s="3">
        <v>4</v>
      </c>
      <c r="D6204" s="3">
        <v>27</v>
      </c>
      <c r="E6204" s="3">
        <v>1</v>
      </c>
      <c r="F6204" s="4" t="str">
        <f>HYPERLINK("http://141.218.60.56/~jnz1568/getInfo.php?workbook=12_04.xlsx&amp;sheet=U0&amp;row=6204&amp;col=6&amp;number=3&amp;sourceID=14","3")</f>
        <v>3</v>
      </c>
      <c r="G6204" s="4" t="str">
        <f>HYPERLINK("http://141.218.60.56/~jnz1568/getInfo.php?workbook=12_04.xlsx&amp;sheet=U0&amp;row=6204&amp;col=7&amp;number=0.152&amp;sourceID=14","0.152")</f>
        <v>0.152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HYPERLINK("http://141.218.60.56/~jnz1568/getInfo.php?workbook=12_04.xlsx&amp;sheet=U0&amp;row=6205&amp;col=6&amp;number=3.1&amp;sourceID=14","3.1")</f>
        <v>3.1</v>
      </c>
      <c r="G6205" s="4" t="str">
        <f>HYPERLINK("http://141.218.60.56/~jnz1568/getInfo.php?workbook=12_04.xlsx&amp;sheet=U0&amp;row=6205&amp;col=7&amp;number=0.152&amp;sourceID=14","0.152")</f>
        <v>0.152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HYPERLINK("http://141.218.60.56/~jnz1568/getInfo.php?workbook=12_04.xlsx&amp;sheet=U0&amp;row=6206&amp;col=6&amp;number=3.2&amp;sourceID=14","3.2")</f>
        <v>3.2</v>
      </c>
      <c r="G6206" s="4" t="str">
        <f>HYPERLINK("http://141.218.60.56/~jnz1568/getInfo.php?workbook=12_04.xlsx&amp;sheet=U0&amp;row=6206&amp;col=7&amp;number=0.152&amp;sourceID=14","0.152")</f>
        <v>0.152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HYPERLINK("http://141.218.60.56/~jnz1568/getInfo.php?workbook=12_04.xlsx&amp;sheet=U0&amp;row=6207&amp;col=6&amp;number=3.3&amp;sourceID=14","3.3")</f>
        <v>3.3</v>
      </c>
      <c r="G6207" s="4" t="str">
        <f>HYPERLINK("http://141.218.60.56/~jnz1568/getInfo.php?workbook=12_04.xlsx&amp;sheet=U0&amp;row=6207&amp;col=7&amp;number=0.151&amp;sourceID=14","0.151")</f>
        <v>0.151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HYPERLINK("http://141.218.60.56/~jnz1568/getInfo.php?workbook=12_04.xlsx&amp;sheet=U0&amp;row=6208&amp;col=6&amp;number=3.4&amp;sourceID=14","3.4")</f>
        <v>3.4</v>
      </c>
      <c r="G6208" s="4" t="str">
        <f>HYPERLINK("http://141.218.60.56/~jnz1568/getInfo.php?workbook=12_04.xlsx&amp;sheet=U0&amp;row=6208&amp;col=7&amp;number=0.151&amp;sourceID=14","0.151")</f>
        <v>0.151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HYPERLINK("http://141.218.60.56/~jnz1568/getInfo.php?workbook=12_04.xlsx&amp;sheet=U0&amp;row=6209&amp;col=6&amp;number=3.5&amp;sourceID=14","3.5")</f>
        <v>3.5</v>
      </c>
      <c r="G6209" s="4" t="str">
        <f>HYPERLINK("http://141.218.60.56/~jnz1568/getInfo.php?workbook=12_04.xlsx&amp;sheet=U0&amp;row=6209&amp;col=7&amp;number=0.15&amp;sourceID=14","0.15")</f>
        <v>0.15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HYPERLINK("http://141.218.60.56/~jnz1568/getInfo.php?workbook=12_04.xlsx&amp;sheet=U0&amp;row=6210&amp;col=6&amp;number=3.6&amp;sourceID=14","3.6")</f>
        <v>3.6</v>
      </c>
      <c r="G6210" s="4" t="str">
        <f>HYPERLINK("http://141.218.60.56/~jnz1568/getInfo.php?workbook=12_04.xlsx&amp;sheet=U0&amp;row=6210&amp;col=7&amp;number=0.149&amp;sourceID=14","0.149")</f>
        <v>0.149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HYPERLINK("http://141.218.60.56/~jnz1568/getInfo.php?workbook=12_04.xlsx&amp;sheet=U0&amp;row=6211&amp;col=6&amp;number=3.7&amp;sourceID=14","3.7")</f>
        <v>3.7</v>
      </c>
      <c r="G6211" s="4" t="str">
        <f>HYPERLINK("http://141.218.60.56/~jnz1568/getInfo.php?workbook=12_04.xlsx&amp;sheet=U0&amp;row=6211&amp;col=7&amp;number=0.148&amp;sourceID=14","0.148")</f>
        <v>0.148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HYPERLINK("http://141.218.60.56/~jnz1568/getInfo.php?workbook=12_04.xlsx&amp;sheet=U0&amp;row=6212&amp;col=6&amp;number=3.8&amp;sourceID=14","3.8")</f>
        <v>3.8</v>
      </c>
      <c r="G6212" s="4" t="str">
        <f>HYPERLINK("http://141.218.60.56/~jnz1568/getInfo.php?workbook=12_04.xlsx&amp;sheet=U0&amp;row=6212&amp;col=7&amp;number=0.147&amp;sourceID=14","0.147")</f>
        <v>0.147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HYPERLINK("http://141.218.60.56/~jnz1568/getInfo.php?workbook=12_04.xlsx&amp;sheet=U0&amp;row=6213&amp;col=6&amp;number=3.9&amp;sourceID=14","3.9")</f>
        <v>3.9</v>
      </c>
      <c r="G6213" s="4" t="str">
        <f>HYPERLINK("http://141.218.60.56/~jnz1568/getInfo.php?workbook=12_04.xlsx&amp;sheet=U0&amp;row=6213&amp;col=7&amp;number=0.145&amp;sourceID=14","0.145")</f>
        <v>0.145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HYPERLINK("http://141.218.60.56/~jnz1568/getInfo.php?workbook=12_04.xlsx&amp;sheet=U0&amp;row=6214&amp;col=6&amp;number=4&amp;sourceID=14","4")</f>
        <v>4</v>
      </c>
      <c r="G6214" s="4" t="str">
        <f>HYPERLINK("http://141.218.60.56/~jnz1568/getInfo.php?workbook=12_04.xlsx&amp;sheet=U0&amp;row=6214&amp;col=7&amp;number=0.143&amp;sourceID=14","0.143")</f>
        <v>0.143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HYPERLINK("http://141.218.60.56/~jnz1568/getInfo.php?workbook=12_04.xlsx&amp;sheet=U0&amp;row=6215&amp;col=6&amp;number=4.1&amp;sourceID=14","4.1")</f>
        <v>4.1</v>
      </c>
      <c r="G6215" s="4" t="str">
        <f>HYPERLINK("http://141.218.60.56/~jnz1568/getInfo.php?workbook=12_04.xlsx&amp;sheet=U0&amp;row=6215&amp;col=7&amp;number=0.141&amp;sourceID=14","0.141")</f>
        <v>0.141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HYPERLINK("http://141.218.60.56/~jnz1568/getInfo.php?workbook=12_04.xlsx&amp;sheet=U0&amp;row=6216&amp;col=6&amp;number=4.2&amp;sourceID=14","4.2")</f>
        <v>4.2</v>
      </c>
      <c r="G6216" s="4" t="str">
        <f>HYPERLINK("http://141.218.60.56/~jnz1568/getInfo.php?workbook=12_04.xlsx&amp;sheet=U0&amp;row=6216&amp;col=7&amp;number=0.137&amp;sourceID=14","0.137")</f>
        <v>0.137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HYPERLINK("http://141.218.60.56/~jnz1568/getInfo.php?workbook=12_04.xlsx&amp;sheet=U0&amp;row=6217&amp;col=6&amp;number=4.3&amp;sourceID=14","4.3")</f>
        <v>4.3</v>
      </c>
      <c r="G6217" s="4" t="str">
        <f>HYPERLINK("http://141.218.60.56/~jnz1568/getInfo.php?workbook=12_04.xlsx&amp;sheet=U0&amp;row=6217&amp;col=7&amp;number=0.133&amp;sourceID=14","0.133")</f>
        <v>0.133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HYPERLINK("http://141.218.60.56/~jnz1568/getInfo.php?workbook=12_04.xlsx&amp;sheet=U0&amp;row=6218&amp;col=6&amp;number=4.4&amp;sourceID=14","4.4")</f>
        <v>4.4</v>
      </c>
      <c r="G6218" s="4" t="str">
        <f>HYPERLINK("http://141.218.60.56/~jnz1568/getInfo.php?workbook=12_04.xlsx&amp;sheet=U0&amp;row=6218&amp;col=7&amp;number=0.128&amp;sourceID=14","0.128")</f>
        <v>0.128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HYPERLINK("http://141.218.60.56/~jnz1568/getInfo.php?workbook=12_04.xlsx&amp;sheet=U0&amp;row=6219&amp;col=6&amp;number=4.5&amp;sourceID=14","4.5")</f>
        <v>4.5</v>
      </c>
      <c r="G6219" s="4" t="str">
        <f>HYPERLINK("http://141.218.60.56/~jnz1568/getInfo.php?workbook=12_04.xlsx&amp;sheet=U0&amp;row=6219&amp;col=7&amp;number=0.122&amp;sourceID=14","0.122")</f>
        <v>0.122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HYPERLINK("http://141.218.60.56/~jnz1568/getInfo.php?workbook=12_04.xlsx&amp;sheet=U0&amp;row=6220&amp;col=6&amp;number=4.6&amp;sourceID=14","4.6")</f>
        <v>4.6</v>
      </c>
      <c r="G6220" s="4" t="str">
        <f>HYPERLINK("http://141.218.60.56/~jnz1568/getInfo.php?workbook=12_04.xlsx&amp;sheet=U0&amp;row=6220&amp;col=7&amp;number=0.115&amp;sourceID=14","0.115")</f>
        <v>0.115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HYPERLINK("http://141.218.60.56/~jnz1568/getInfo.php?workbook=12_04.xlsx&amp;sheet=U0&amp;row=6221&amp;col=6&amp;number=4.7&amp;sourceID=14","4.7")</f>
        <v>4.7</v>
      </c>
      <c r="G6221" s="4" t="str">
        <f>HYPERLINK("http://141.218.60.56/~jnz1568/getInfo.php?workbook=12_04.xlsx&amp;sheet=U0&amp;row=6221&amp;col=7&amp;number=0.106&amp;sourceID=14","0.106")</f>
        <v>0.106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HYPERLINK("http://141.218.60.56/~jnz1568/getInfo.php?workbook=12_04.xlsx&amp;sheet=U0&amp;row=6222&amp;col=6&amp;number=4.8&amp;sourceID=14","4.8")</f>
        <v>4.8</v>
      </c>
      <c r="G6222" s="4" t="str">
        <f>HYPERLINK("http://141.218.60.56/~jnz1568/getInfo.php?workbook=12_04.xlsx&amp;sheet=U0&amp;row=6222&amp;col=7&amp;number=0.0945&amp;sourceID=14","0.0945")</f>
        <v>0.0945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HYPERLINK("http://141.218.60.56/~jnz1568/getInfo.php?workbook=12_04.xlsx&amp;sheet=U0&amp;row=6223&amp;col=6&amp;number=4.9&amp;sourceID=14","4.9")</f>
        <v>4.9</v>
      </c>
      <c r="G6223" s="4" t="str">
        <f>HYPERLINK("http://141.218.60.56/~jnz1568/getInfo.php?workbook=12_04.xlsx&amp;sheet=U0&amp;row=6223&amp;col=7&amp;number=0.0815&amp;sourceID=14","0.0815")</f>
        <v>0.0815</v>
      </c>
    </row>
    <row r="6224" spans="1:7">
      <c r="A6224" s="3">
        <v>12</v>
      </c>
      <c r="B6224" s="3">
        <v>4</v>
      </c>
      <c r="C6224" s="3">
        <v>4</v>
      </c>
      <c r="D6224" s="3">
        <v>28</v>
      </c>
      <c r="E6224" s="3">
        <v>1</v>
      </c>
      <c r="F6224" s="4" t="str">
        <f>HYPERLINK("http://141.218.60.56/~jnz1568/getInfo.php?workbook=12_04.xlsx&amp;sheet=U0&amp;row=6224&amp;col=6&amp;number=3&amp;sourceID=14","3")</f>
        <v>3</v>
      </c>
      <c r="G6224" s="4" t="str">
        <f>HYPERLINK("http://141.218.60.56/~jnz1568/getInfo.php?workbook=12_04.xlsx&amp;sheet=U0&amp;row=6224&amp;col=7&amp;number=0.168&amp;sourceID=14","0.168")</f>
        <v>0.168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HYPERLINK("http://141.218.60.56/~jnz1568/getInfo.php?workbook=12_04.xlsx&amp;sheet=U0&amp;row=6225&amp;col=6&amp;number=3.1&amp;sourceID=14","3.1")</f>
        <v>3.1</v>
      </c>
      <c r="G6225" s="4" t="str">
        <f>HYPERLINK("http://141.218.60.56/~jnz1568/getInfo.php?workbook=12_04.xlsx&amp;sheet=U0&amp;row=6225&amp;col=7&amp;number=0.168&amp;sourceID=14","0.168")</f>
        <v>0.168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HYPERLINK("http://141.218.60.56/~jnz1568/getInfo.php?workbook=12_04.xlsx&amp;sheet=U0&amp;row=6226&amp;col=6&amp;number=3.2&amp;sourceID=14","3.2")</f>
        <v>3.2</v>
      </c>
      <c r="G6226" s="4" t="str">
        <f>HYPERLINK("http://141.218.60.56/~jnz1568/getInfo.php?workbook=12_04.xlsx&amp;sheet=U0&amp;row=6226&amp;col=7&amp;number=0.167&amp;sourceID=14","0.167")</f>
        <v>0.167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HYPERLINK("http://141.218.60.56/~jnz1568/getInfo.php?workbook=12_04.xlsx&amp;sheet=U0&amp;row=6227&amp;col=6&amp;number=3.3&amp;sourceID=14","3.3")</f>
        <v>3.3</v>
      </c>
      <c r="G6227" s="4" t="str">
        <f>HYPERLINK("http://141.218.60.56/~jnz1568/getInfo.php?workbook=12_04.xlsx&amp;sheet=U0&amp;row=6227&amp;col=7&amp;number=0.167&amp;sourceID=14","0.167")</f>
        <v>0.167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HYPERLINK("http://141.218.60.56/~jnz1568/getInfo.php?workbook=12_04.xlsx&amp;sheet=U0&amp;row=6228&amp;col=6&amp;number=3.4&amp;sourceID=14","3.4")</f>
        <v>3.4</v>
      </c>
      <c r="G6228" s="4" t="str">
        <f>HYPERLINK("http://141.218.60.56/~jnz1568/getInfo.php?workbook=12_04.xlsx&amp;sheet=U0&amp;row=6228&amp;col=7&amp;number=0.167&amp;sourceID=14","0.167")</f>
        <v>0.167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HYPERLINK("http://141.218.60.56/~jnz1568/getInfo.php?workbook=12_04.xlsx&amp;sheet=U0&amp;row=6229&amp;col=6&amp;number=3.5&amp;sourceID=14","3.5")</f>
        <v>3.5</v>
      </c>
      <c r="G6229" s="4" t="str">
        <f>HYPERLINK("http://141.218.60.56/~jnz1568/getInfo.php?workbook=12_04.xlsx&amp;sheet=U0&amp;row=6229&amp;col=7&amp;number=0.166&amp;sourceID=14","0.166")</f>
        <v>0.166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HYPERLINK("http://141.218.60.56/~jnz1568/getInfo.php?workbook=12_04.xlsx&amp;sheet=U0&amp;row=6230&amp;col=6&amp;number=3.6&amp;sourceID=14","3.6")</f>
        <v>3.6</v>
      </c>
      <c r="G6230" s="4" t="str">
        <f>HYPERLINK("http://141.218.60.56/~jnz1568/getInfo.php?workbook=12_04.xlsx&amp;sheet=U0&amp;row=6230&amp;col=7&amp;number=0.165&amp;sourceID=14","0.165")</f>
        <v>0.165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HYPERLINK("http://141.218.60.56/~jnz1568/getInfo.php?workbook=12_04.xlsx&amp;sheet=U0&amp;row=6231&amp;col=6&amp;number=3.7&amp;sourceID=14","3.7")</f>
        <v>3.7</v>
      </c>
      <c r="G6231" s="4" t="str">
        <f>HYPERLINK("http://141.218.60.56/~jnz1568/getInfo.php?workbook=12_04.xlsx&amp;sheet=U0&amp;row=6231&amp;col=7&amp;number=0.164&amp;sourceID=14","0.164")</f>
        <v>0.164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HYPERLINK("http://141.218.60.56/~jnz1568/getInfo.php?workbook=12_04.xlsx&amp;sheet=U0&amp;row=6232&amp;col=6&amp;number=3.8&amp;sourceID=14","3.8")</f>
        <v>3.8</v>
      </c>
      <c r="G6232" s="4" t="str">
        <f>HYPERLINK("http://141.218.60.56/~jnz1568/getInfo.php?workbook=12_04.xlsx&amp;sheet=U0&amp;row=6232&amp;col=7&amp;number=0.163&amp;sourceID=14","0.163")</f>
        <v>0.163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HYPERLINK("http://141.218.60.56/~jnz1568/getInfo.php?workbook=12_04.xlsx&amp;sheet=U0&amp;row=6233&amp;col=6&amp;number=3.9&amp;sourceID=14","3.9")</f>
        <v>3.9</v>
      </c>
      <c r="G6233" s="4" t="str">
        <f>HYPERLINK("http://141.218.60.56/~jnz1568/getInfo.php?workbook=12_04.xlsx&amp;sheet=U0&amp;row=6233&amp;col=7&amp;number=0.162&amp;sourceID=14","0.162")</f>
        <v>0.162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HYPERLINK("http://141.218.60.56/~jnz1568/getInfo.php?workbook=12_04.xlsx&amp;sheet=U0&amp;row=6234&amp;col=6&amp;number=4&amp;sourceID=14","4")</f>
        <v>4</v>
      </c>
      <c r="G6234" s="4" t="str">
        <f>HYPERLINK("http://141.218.60.56/~jnz1568/getInfo.php?workbook=12_04.xlsx&amp;sheet=U0&amp;row=6234&amp;col=7&amp;number=0.16&amp;sourceID=14","0.16")</f>
        <v>0.16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HYPERLINK("http://141.218.60.56/~jnz1568/getInfo.php?workbook=12_04.xlsx&amp;sheet=U0&amp;row=6235&amp;col=6&amp;number=4.1&amp;sourceID=14","4.1")</f>
        <v>4.1</v>
      </c>
      <c r="G6235" s="4" t="str">
        <f>HYPERLINK("http://141.218.60.56/~jnz1568/getInfo.php?workbook=12_04.xlsx&amp;sheet=U0&amp;row=6235&amp;col=7&amp;number=0.157&amp;sourceID=14","0.157")</f>
        <v>0.157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HYPERLINK("http://141.218.60.56/~jnz1568/getInfo.php?workbook=12_04.xlsx&amp;sheet=U0&amp;row=6236&amp;col=6&amp;number=4.2&amp;sourceID=14","4.2")</f>
        <v>4.2</v>
      </c>
      <c r="G6236" s="4" t="str">
        <f>HYPERLINK("http://141.218.60.56/~jnz1568/getInfo.php?workbook=12_04.xlsx&amp;sheet=U0&amp;row=6236&amp;col=7&amp;number=0.154&amp;sourceID=14","0.154")</f>
        <v>0.154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HYPERLINK("http://141.218.60.56/~jnz1568/getInfo.php?workbook=12_04.xlsx&amp;sheet=U0&amp;row=6237&amp;col=6&amp;number=4.3&amp;sourceID=14","4.3")</f>
        <v>4.3</v>
      </c>
      <c r="G6237" s="4" t="str">
        <f>HYPERLINK("http://141.218.60.56/~jnz1568/getInfo.php?workbook=12_04.xlsx&amp;sheet=U0&amp;row=6237&amp;col=7&amp;number=0.151&amp;sourceID=14","0.151")</f>
        <v>0.151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HYPERLINK("http://141.218.60.56/~jnz1568/getInfo.php?workbook=12_04.xlsx&amp;sheet=U0&amp;row=6238&amp;col=6&amp;number=4.4&amp;sourceID=14","4.4")</f>
        <v>4.4</v>
      </c>
      <c r="G6238" s="4" t="str">
        <f>HYPERLINK("http://141.218.60.56/~jnz1568/getInfo.php?workbook=12_04.xlsx&amp;sheet=U0&amp;row=6238&amp;col=7&amp;number=0.146&amp;sourceID=14","0.146")</f>
        <v>0.146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HYPERLINK("http://141.218.60.56/~jnz1568/getInfo.php?workbook=12_04.xlsx&amp;sheet=U0&amp;row=6239&amp;col=6&amp;number=4.5&amp;sourceID=14","4.5")</f>
        <v>4.5</v>
      </c>
      <c r="G6239" s="4" t="str">
        <f>HYPERLINK("http://141.218.60.56/~jnz1568/getInfo.php?workbook=12_04.xlsx&amp;sheet=U0&amp;row=6239&amp;col=7&amp;number=0.141&amp;sourceID=14","0.141")</f>
        <v>0.141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HYPERLINK("http://141.218.60.56/~jnz1568/getInfo.php?workbook=12_04.xlsx&amp;sheet=U0&amp;row=6240&amp;col=6&amp;number=4.6&amp;sourceID=14","4.6")</f>
        <v>4.6</v>
      </c>
      <c r="G6240" s="4" t="str">
        <f>HYPERLINK("http://141.218.60.56/~jnz1568/getInfo.php?workbook=12_04.xlsx&amp;sheet=U0&amp;row=6240&amp;col=7&amp;number=0.134&amp;sourceID=14","0.134")</f>
        <v>0.134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HYPERLINK("http://141.218.60.56/~jnz1568/getInfo.php?workbook=12_04.xlsx&amp;sheet=U0&amp;row=6241&amp;col=6&amp;number=4.7&amp;sourceID=14","4.7")</f>
        <v>4.7</v>
      </c>
      <c r="G6241" s="4" t="str">
        <f>HYPERLINK("http://141.218.60.56/~jnz1568/getInfo.php?workbook=12_04.xlsx&amp;sheet=U0&amp;row=6241&amp;col=7&amp;number=0.126&amp;sourceID=14","0.126")</f>
        <v>0.126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HYPERLINK("http://141.218.60.56/~jnz1568/getInfo.php?workbook=12_04.xlsx&amp;sheet=U0&amp;row=6242&amp;col=6&amp;number=4.8&amp;sourceID=14","4.8")</f>
        <v>4.8</v>
      </c>
      <c r="G6242" s="4" t="str">
        <f>HYPERLINK("http://141.218.60.56/~jnz1568/getInfo.php?workbook=12_04.xlsx&amp;sheet=U0&amp;row=6242&amp;col=7&amp;number=0.116&amp;sourceID=14","0.116")</f>
        <v>0.116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HYPERLINK("http://141.218.60.56/~jnz1568/getInfo.php?workbook=12_04.xlsx&amp;sheet=U0&amp;row=6243&amp;col=6&amp;number=4.9&amp;sourceID=14","4.9")</f>
        <v>4.9</v>
      </c>
      <c r="G6243" s="4" t="str">
        <f>HYPERLINK("http://141.218.60.56/~jnz1568/getInfo.php?workbook=12_04.xlsx&amp;sheet=U0&amp;row=6243&amp;col=7&amp;number=0.104&amp;sourceID=14","0.104")</f>
        <v>0.104</v>
      </c>
    </row>
    <row r="6244" spans="1:7">
      <c r="A6244" s="3">
        <v>12</v>
      </c>
      <c r="B6244" s="3">
        <v>4</v>
      </c>
      <c r="C6244" s="3">
        <v>4</v>
      </c>
      <c r="D6244" s="3">
        <v>29</v>
      </c>
      <c r="E6244" s="3">
        <v>1</v>
      </c>
      <c r="F6244" s="4" t="str">
        <f>HYPERLINK("http://141.218.60.56/~jnz1568/getInfo.php?workbook=12_04.xlsx&amp;sheet=U0&amp;row=6244&amp;col=6&amp;number=3&amp;sourceID=14","3")</f>
        <v>3</v>
      </c>
      <c r="G6244" s="4" t="str">
        <f>HYPERLINK("http://141.218.60.56/~jnz1568/getInfo.php?workbook=12_04.xlsx&amp;sheet=U0&amp;row=6244&amp;col=7&amp;number=0.0605&amp;sourceID=14","0.0605")</f>
        <v>0.0605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HYPERLINK("http://141.218.60.56/~jnz1568/getInfo.php?workbook=12_04.xlsx&amp;sheet=U0&amp;row=6245&amp;col=6&amp;number=3.1&amp;sourceID=14","3.1")</f>
        <v>3.1</v>
      </c>
      <c r="G6245" s="4" t="str">
        <f>HYPERLINK("http://141.218.60.56/~jnz1568/getInfo.php?workbook=12_04.xlsx&amp;sheet=U0&amp;row=6245&amp;col=7&amp;number=0.0604&amp;sourceID=14","0.0604")</f>
        <v>0.0604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HYPERLINK("http://141.218.60.56/~jnz1568/getInfo.php?workbook=12_04.xlsx&amp;sheet=U0&amp;row=6246&amp;col=6&amp;number=3.2&amp;sourceID=14","3.2")</f>
        <v>3.2</v>
      </c>
      <c r="G6246" s="4" t="str">
        <f>HYPERLINK("http://141.218.60.56/~jnz1568/getInfo.php?workbook=12_04.xlsx&amp;sheet=U0&amp;row=6246&amp;col=7&amp;number=0.0603&amp;sourceID=14","0.0603")</f>
        <v>0.0603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HYPERLINK("http://141.218.60.56/~jnz1568/getInfo.php?workbook=12_04.xlsx&amp;sheet=U0&amp;row=6247&amp;col=6&amp;number=3.3&amp;sourceID=14","3.3")</f>
        <v>3.3</v>
      </c>
      <c r="G6247" s="4" t="str">
        <f>HYPERLINK("http://141.218.60.56/~jnz1568/getInfo.php?workbook=12_04.xlsx&amp;sheet=U0&amp;row=6247&amp;col=7&amp;number=0.0602&amp;sourceID=14","0.0602")</f>
        <v>0.0602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HYPERLINK("http://141.218.60.56/~jnz1568/getInfo.php?workbook=12_04.xlsx&amp;sheet=U0&amp;row=6248&amp;col=6&amp;number=3.4&amp;sourceID=14","3.4")</f>
        <v>3.4</v>
      </c>
      <c r="G6248" s="4" t="str">
        <f>HYPERLINK("http://141.218.60.56/~jnz1568/getInfo.php?workbook=12_04.xlsx&amp;sheet=U0&amp;row=6248&amp;col=7&amp;number=0.06&amp;sourceID=14","0.06")</f>
        <v>0.06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HYPERLINK("http://141.218.60.56/~jnz1568/getInfo.php?workbook=12_04.xlsx&amp;sheet=U0&amp;row=6249&amp;col=6&amp;number=3.5&amp;sourceID=14","3.5")</f>
        <v>3.5</v>
      </c>
      <c r="G6249" s="4" t="str">
        <f>HYPERLINK("http://141.218.60.56/~jnz1568/getInfo.php?workbook=12_04.xlsx&amp;sheet=U0&amp;row=6249&amp;col=7&amp;number=0.0598&amp;sourceID=14","0.0598")</f>
        <v>0.0598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HYPERLINK("http://141.218.60.56/~jnz1568/getInfo.php?workbook=12_04.xlsx&amp;sheet=U0&amp;row=6250&amp;col=6&amp;number=3.6&amp;sourceID=14","3.6")</f>
        <v>3.6</v>
      </c>
      <c r="G6250" s="4" t="str">
        <f>HYPERLINK("http://141.218.60.56/~jnz1568/getInfo.php?workbook=12_04.xlsx&amp;sheet=U0&amp;row=6250&amp;col=7&amp;number=0.0595&amp;sourceID=14","0.0595")</f>
        <v>0.0595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HYPERLINK("http://141.218.60.56/~jnz1568/getInfo.php?workbook=12_04.xlsx&amp;sheet=U0&amp;row=6251&amp;col=6&amp;number=3.7&amp;sourceID=14","3.7")</f>
        <v>3.7</v>
      </c>
      <c r="G6251" s="4" t="str">
        <f>HYPERLINK("http://141.218.60.56/~jnz1568/getInfo.php?workbook=12_04.xlsx&amp;sheet=U0&amp;row=6251&amp;col=7&amp;number=0.0592&amp;sourceID=14","0.0592")</f>
        <v>0.0592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HYPERLINK("http://141.218.60.56/~jnz1568/getInfo.php?workbook=12_04.xlsx&amp;sheet=U0&amp;row=6252&amp;col=6&amp;number=3.8&amp;sourceID=14","3.8")</f>
        <v>3.8</v>
      </c>
      <c r="G6252" s="4" t="str">
        <f>HYPERLINK("http://141.218.60.56/~jnz1568/getInfo.php?workbook=12_04.xlsx&amp;sheet=U0&amp;row=6252&amp;col=7&amp;number=0.0588&amp;sourceID=14","0.0588")</f>
        <v>0.0588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HYPERLINK("http://141.218.60.56/~jnz1568/getInfo.php?workbook=12_04.xlsx&amp;sheet=U0&amp;row=6253&amp;col=6&amp;number=3.9&amp;sourceID=14","3.9")</f>
        <v>3.9</v>
      </c>
      <c r="G6253" s="4" t="str">
        <f>HYPERLINK("http://141.218.60.56/~jnz1568/getInfo.php?workbook=12_04.xlsx&amp;sheet=U0&amp;row=6253&amp;col=7&amp;number=0.0583&amp;sourceID=14","0.0583")</f>
        <v>0.0583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HYPERLINK("http://141.218.60.56/~jnz1568/getInfo.php?workbook=12_04.xlsx&amp;sheet=U0&amp;row=6254&amp;col=6&amp;number=4&amp;sourceID=14","4")</f>
        <v>4</v>
      </c>
      <c r="G6254" s="4" t="str">
        <f>HYPERLINK("http://141.218.60.56/~jnz1568/getInfo.php?workbook=12_04.xlsx&amp;sheet=U0&amp;row=6254&amp;col=7&amp;number=0.0576&amp;sourceID=14","0.0576")</f>
        <v>0.0576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HYPERLINK("http://141.218.60.56/~jnz1568/getInfo.php?workbook=12_04.xlsx&amp;sheet=U0&amp;row=6255&amp;col=6&amp;number=4.1&amp;sourceID=14","4.1")</f>
        <v>4.1</v>
      </c>
      <c r="G6255" s="4" t="str">
        <f>HYPERLINK("http://141.218.60.56/~jnz1568/getInfo.php?workbook=12_04.xlsx&amp;sheet=U0&amp;row=6255&amp;col=7&amp;number=0.0568&amp;sourceID=14","0.0568")</f>
        <v>0.0568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HYPERLINK("http://141.218.60.56/~jnz1568/getInfo.php?workbook=12_04.xlsx&amp;sheet=U0&amp;row=6256&amp;col=6&amp;number=4.2&amp;sourceID=14","4.2")</f>
        <v>4.2</v>
      </c>
      <c r="G6256" s="4" t="str">
        <f>HYPERLINK("http://141.218.60.56/~jnz1568/getInfo.php?workbook=12_04.xlsx&amp;sheet=U0&amp;row=6256&amp;col=7&amp;number=0.0558&amp;sourceID=14","0.0558")</f>
        <v>0.0558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HYPERLINK("http://141.218.60.56/~jnz1568/getInfo.php?workbook=12_04.xlsx&amp;sheet=U0&amp;row=6257&amp;col=6&amp;number=4.3&amp;sourceID=14","4.3")</f>
        <v>4.3</v>
      </c>
      <c r="G6257" s="4" t="str">
        <f>HYPERLINK("http://141.218.60.56/~jnz1568/getInfo.php?workbook=12_04.xlsx&amp;sheet=U0&amp;row=6257&amp;col=7&amp;number=0.0545&amp;sourceID=14","0.0545")</f>
        <v>0.0545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HYPERLINK("http://141.218.60.56/~jnz1568/getInfo.php?workbook=12_04.xlsx&amp;sheet=U0&amp;row=6258&amp;col=6&amp;number=4.4&amp;sourceID=14","4.4")</f>
        <v>4.4</v>
      </c>
      <c r="G6258" s="4" t="str">
        <f>HYPERLINK("http://141.218.60.56/~jnz1568/getInfo.php?workbook=12_04.xlsx&amp;sheet=U0&amp;row=6258&amp;col=7&amp;number=0.0529&amp;sourceID=14","0.0529")</f>
        <v>0.0529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HYPERLINK("http://141.218.60.56/~jnz1568/getInfo.php?workbook=12_04.xlsx&amp;sheet=U0&amp;row=6259&amp;col=6&amp;number=4.5&amp;sourceID=14","4.5")</f>
        <v>4.5</v>
      </c>
      <c r="G6259" s="4" t="str">
        <f>HYPERLINK("http://141.218.60.56/~jnz1568/getInfo.php?workbook=12_04.xlsx&amp;sheet=U0&amp;row=6259&amp;col=7&amp;number=0.0509&amp;sourceID=14","0.0509")</f>
        <v>0.0509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HYPERLINK("http://141.218.60.56/~jnz1568/getInfo.php?workbook=12_04.xlsx&amp;sheet=U0&amp;row=6260&amp;col=6&amp;number=4.6&amp;sourceID=14","4.6")</f>
        <v>4.6</v>
      </c>
      <c r="G6260" s="4" t="str">
        <f>HYPERLINK("http://141.218.60.56/~jnz1568/getInfo.php?workbook=12_04.xlsx&amp;sheet=U0&amp;row=6260&amp;col=7&amp;number=0.0485&amp;sourceID=14","0.0485")</f>
        <v>0.0485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HYPERLINK("http://141.218.60.56/~jnz1568/getInfo.php?workbook=12_04.xlsx&amp;sheet=U0&amp;row=6261&amp;col=6&amp;number=4.7&amp;sourceID=14","4.7")</f>
        <v>4.7</v>
      </c>
      <c r="G6261" s="4" t="str">
        <f>HYPERLINK("http://141.218.60.56/~jnz1568/getInfo.php?workbook=12_04.xlsx&amp;sheet=U0&amp;row=6261&amp;col=7&amp;number=0.0456&amp;sourceID=14","0.0456")</f>
        <v>0.0456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HYPERLINK("http://141.218.60.56/~jnz1568/getInfo.php?workbook=12_04.xlsx&amp;sheet=U0&amp;row=6262&amp;col=6&amp;number=4.8&amp;sourceID=14","4.8")</f>
        <v>4.8</v>
      </c>
      <c r="G6262" s="4" t="str">
        <f>HYPERLINK("http://141.218.60.56/~jnz1568/getInfo.php?workbook=12_04.xlsx&amp;sheet=U0&amp;row=6262&amp;col=7&amp;number=0.0421&amp;sourceID=14","0.0421")</f>
        <v>0.0421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HYPERLINK("http://141.218.60.56/~jnz1568/getInfo.php?workbook=12_04.xlsx&amp;sheet=U0&amp;row=6263&amp;col=6&amp;number=4.9&amp;sourceID=14","4.9")</f>
        <v>4.9</v>
      </c>
      <c r="G6263" s="4" t="str">
        <f>HYPERLINK("http://141.218.60.56/~jnz1568/getInfo.php?workbook=12_04.xlsx&amp;sheet=U0&amp;row=6263&amp;col=7&amp;number=0.0379&amp;sourceID=14","0.0379")</f>
        <v>0.0379</v>
      </c>
    </row>
    <row r="6264" spans="1:7">
      <c r="A6264" s="3">
        <v>12</v>
      </c>
      <c r="B6264" s="3">
        <v>4</v>
      </c>
      <c r="C6264" s="3">
        <v>4</v>
      </c>
      <c r="D6264" s="3">
        <v>30</v>
      </c>
      <c r="E6264" s="3">
        <v>1</v>
      </c>
      <c r="F6264" s="4" t="str">
        <f>HYPERLINK("http://141.218.60.56/~jnz1568/getInfo.php?workbook=12_04.xlsx&amp;sheet=U0&amp;row=6264&amp;col=6&amp;number=3&amp;sourceID=14","3")</f>
        <v>3</v>
      </c>
      <c r="G6264" s="4" t="str">
        <f>HYPERLINK("http://141.218.60.56/~jnz1568/getInfo.php?workbook=12_04.xlsx&amp;sheet=U0&amp;row=6264&amp;col=7&amp;number=0.00764&amp;sourceID=14","0.00764")</f>
        <v>0.00764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HYPERLINK("http://141.218.60.56/~jnz1568/getInfo.php?workbook=12_04.xlsx&amp;sheet=U0&amp;row=6265&amp;col=6&amp;number=3.1&amp;sourceID=14","3.1")</f>
        <v>3.1</v>
      </c>
      <c r="G6265" s="4" t="str">
        <f>HYPERLINK("http://141.218.60.56/~jnz1568/getInfo.php?workbook=12_04.xlsx&amp;sheet=U0&amp;row=6265&amp;col=7&amp;number=0.00763&amp;sourceID=14","0.00763")</f>
        <v>0.00763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HYPERLINK("http://141.218.60.56/~jnz1568/getInfo.php?workbook=12_04.xlsx&amp;sheet=U0&amp;row=6266&amp;col=6&amp;number=3.2&amp;sourceID=14","3.2")</f>
        <v>3.2</v>
      </c>
      <c r="G6266" s="4" t="str">
        <f>HYPERLINK("http://141.218.60.56/~jnz1568/getInfo.php?workbook=12_04.xlsx&amp;sheet=U0&amp;row=6266&amp;col=7&amp;number=0.0076&amp;sourceID=14","0.0076")</f>
        <v>0.0076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HYPERLINK("http://141.218.60.56/~jnz1568/getInfo.php?workbook=12_04.xlsx&amp;sheet=U0&amp;row=6267&amp;col=6&amp;number=3.3&amp;sourceID=14","3.3")</f>
        <v>3.3</v>
      </c>
      <c r="G6267" s="4" t="str">
        <f>HYPERLINK("http://141.218.60.56/~jnz1568/getInfo.php?workbook=12_04.xlsx&amp;sheet=U0&amp;row=6267&amp;col=7&amp;number=0.00757&amp;sourceID=14","0.00757")</f>
        <v>0.00757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HYPERLINK("http://141.218.60.56/~jnz1568/getInfo.php?workbook=12_04.xlsx&amp;sheet=U0&amp;row=6268&amp;col=6&amp;number=3.4&amp;sourceID=14","3.4")</f>
        <v>3.4</v>
      </c>
      <c r="G6268" s="4" t="str">
        <f>HYPERLINK("http://141.218.60.56/~jnz1568/getInfo.php?workbook=12_04.xlsx&amp;sheet=U0&amp;row=6268&amp;col=7&amp;number=0.00753&amp;sourceID=14","0.00753")</f>
        <v>0.00753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HYPERLINK("http://141.218.60.56/~jnz1568/getInfo.php?workbook=12_04.xlsx&amp;sheet=U0&amp;row=6269&amp;col=6&amp;number=3.5&amp;sourceID=14","3.5")</f>
        <v>3.5</v>
      </c>
      <c r="G6269" s="4" t="str">
        <f>HYPERLINK("http://141.218.60.56/~jnz1568/getInfo.php?workbook=12_04.xlsx&amp;sheet=U0&amp;row=6269&amp;col=7&amp;number=0.00749&amp;sourceID=14","0.00749")</f>
        <v>0.00749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HYPERLINK("http://141.218.60.56/~jnz1568/getInfo.php?workbook=12_04.xlsx&amp;sheet=U0&amp;row=6270&amp;col=6&amp;number=3.6&amp;sourceID=14","3.6")</f>
        <v>3.6</v>
      </c>
      <c r="G6270" s="4" t="str">
        <f>HYPERLINK("http://141.218.60.56/~jnz1568/getInfo.php?workbook=12_04.xlsx&amp;sheet=U0&amp;row=6270&amp;col=7&amp;number=0.00743&amp;sourceID=14","0.00743")</f>
        <v>0.00743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HYPERLINK("http://141.218.60.56/~jnz1568/getInfo.php?workbook=12_04.xlsx&amp;sheet=U0&amp;row=6271&amp;col=6&amp;number=3.7&amp;sourceID=14","3.7")</f>
        <v>3.7</v>
      </c>
      <c r="G6271" s="4" t="str">
        <f>HYPERLINK("http://141.218.60.56/~jnz1568/getInfo.php?workbook=12_04.xlsx&amp;sheet=U0&amp;row=6271&amp;col=7&amp;number=0.00735&amp;sourceID=14","0.00735")</f>
        <v>0.00735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HYPERLINK("http://141.218.60.56/~jnz1568/getInfo.php?workbook=12_04.xlsx&amp;sheet=U0&amp;row=6272&amp;col=6&amp;number=3.8&amp;sourceID=14","3.8")</f>
        <v>3.8</v>
      </c>
      <c r="G6272" s="4" t="str">
        <f>HYPERLINK("http://141.218.60.56/~jnz1568/getInfo.php?workbook=12_04.xlsx&amp;sheet=U0&amp;row=6272&amp;col=7&amp;number=0.00726&amp;sourceID=14","0.00726")</f>
        <v>0.00726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HYPERLINK("http://141.218.60.56/~jnz1568/getInfo.php?workbook=12_04.xlsx&amp;sheet=U0&amp;row=6273&amp;col=6&amp;number=3.9&amp;sourceID=14","3.9")</f>
        <v>3.9</v>
      </c>
      <c r="G6273" s="4" t="str">
        <f>HYPERLINK("http://141.218.60.56/~jnz1568/getInfo.php?workbook=12_04.xlsx&amp;sheet=U0&amp;row=6273&amp;col=7&amp;number=0.00714&amp;sourceID=14","0.00714")</f>
        <v>0.00714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HYPERLINK("http://141.218.60.56/~jnz1568/getInfo.php?workbook=12_04.xlsx&amp;sheet=U0&amp;row=6274&amp;col=6&amp;number=4&amp;sourceID=14","4")</f>
        <v>4</v>
      </c>
      <c r="G6274" s="4" t="str">
        <f>HYPERLINK("http://141.218.60.56/~jnz1568/getInfo.php?workbook=12_04.xlsx&amp;sheet=U0&amp;row=6274&amp;col=7&amp;number=0.007&amp;sourceID=14","0.007")</f>
        <v>0.007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HYPERLINK("http://141.218.60.56/~jnz1568/getInfo.php?workbook=12_04.xlsx&amp;sheet=U0&amp;row=6275&amp;col=6&amp;number=4.1&amp;sourceID=14","4.1")</f>
        <v>4.1</v>
      </c>
      <c r="G6275" s="4" t="str">
        <f>HYPERLINK("http://141.218.60.56/~jnz1568/getInfo.php?workbook=12_04.xlsx&amp;sheet=U0&amp;row=6275&amp;col=7&amp;number=0.00682&amp;sourceID=14","0.00682")</f>
        <v>0.00682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HYPERLINK("http://141.218.60.56/~jnz1568/getInfo.php?workbook=12_04.xlsx&amp;sheet=U0&amp;row=6276&amp;col=6&amp;number=4.2&amp;sourceID=14","4.2")</f>
        <v>4.2</v>
      </c>
      <c r="G6276" s="4" t="str">
        <f>HYPERLINK("http://141.218.60.56/~jnz1568/getInfo.php?workbook=12_04.xlsx&amp;sheet=U0&amp;row=6276&amp;col=7&amp;number=0.00659&amp;sourceID=14","0.00659")</f>
        <v>0.00659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HYPERLINK("http://141.218.60.56/~jnz1568/getInfo.php?workbook=12_04.xlsx&amp;sheet=U0&amp;row=6277&amp;col=6&amp;number=4.3&amp;sourceID=14","4.3")</f>
        <v>4.3</v>
      </c>
      <c r="G6277" s="4" t="str">
        <f>HYPERLINK("http://141.218.60.56/~jnz1568/getInfo.php?workbook=12_04.xlsx&amp;sheet=U0&amp;row=6277&amp;col=7&amp;number=0.00631&amp;sourceID=14","0.00631")</f>
        <v>0.00631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HYPERLINK("http://141.218.60.56/~jnz1568/getInfo.php?workbook=12_04.xlsx&amp;sheet=U0&amp;row=6278&amp;col=6&amp;number=4.4&amp;sourceID=14","4.4")</f>
        <v>4.4</v>
      </c>
      <c r="G6278" s="4" t="str">
        <f>HYPERLINK("http://141.218.60.56/~jnz1568/getInfo.php?workbook=12_04.xlsx&amp;sheet=U0&amp;row=6278&amp;col=7&amp;number=0.00597&amp;sourceID=14","0.00597")</f>
        <v>0.00597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HYPERLINK("http://141.218.60.56/~jnz1568/getInfo.php?workbook=12_04.xlsx&amp;sheet=U0&amp;row=6279&amp;col=6&amp;number=4.5&amp;sourceID=14","4.5")</f>
        <v>4.5</v>
      </c>
      <c r="G6279" s="4" t="str">
        <f>HYPERLINK("http://141.218.60.56/~jnz1568/getInfo.php?workbook=12_04.xlsx&amp;sheet=U0&amp;row=6279&amp;col=7&amp;number=0.00556&amp;sourceID=14","0.00556")</f>
        <v>0.00556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HYPERLINK("http://141.218.60.56/~jnz1568/getInfo.php?workbook=12_04.xlsx&amp;sheet=U0&amp;row=6280&amp;col=6&amp;number=4.6&amp;sourceID=14","4.6")</f>
        <v>4.6</v>
      </c>
      <c r="G6280" s="4" t="str">
        <f>HYPERLINK("http://141.218.60.56/~jnz1568/getInfo.php?workbook=12_04.xlsx&amp;sheet=U0&amp;row=6280&amp;col=7&amp;number=0.00507&amp;sourceID=14","0.00507")</f>
        <v>0.00507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HYPERLINK("http://141.218.60.56/~jnz1568/getInfo.php?workbook=12_04.xlsx&amp;sheet=U0&amp;row=6281&amp;col=6&amp;number=4.7&amp;sourceID=14","4.7")</f>
        <v>4.7</v>
      </c>
      <c r="G6281" s="4" t="str">
        <f>HYPERLINK("http://141.218.60.56/~jnz1568/getInfo.php?workbook=12_04.xlsx&amp;sheet=U0&amp;row=6281&amp;col=7&amp;number=0.00451&amp;sourceID=14","0.00451")</f>
        <v>0.00451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HYPERLINK("http://141.218.60.56/~jnz1568/getInfo.php?workbook=12_04.xlsx&amp;sheet=U0&amp;row=6282&amp;col=6&amp;number=4.8&amp;sourceID=14","4.8")</f>
        <v>4.8</v>
      </c>
      <c r="G6282" s="4" t="str">
        <f>HYPERLINK("http://141.218.60.56/~jnz1568/getInfo.php?workbook=12_04.xlsx&amp;sheet=U0&amp;row=6282&amp;col=7&amp;number=0.00389&amp;sourceID=14","0.00389")</f>
        <v>0.00389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HYPERLINK("http://141.218.60.56/~jnz1568/getInfo.php?workbook=12_04.xlsx&amp;sheet=U0&amp;row=6283&amp;col=6&amp;number=4.9&amp;sourceID=14","4.9")</f>
        <v>4.9</v>
      </c>
      <c r="G6283" s="4" t="str">
        <f>HYPERLINK("http://141.218.60.56/~jnz1568/getInfo.php?workbook=12_04.xlsx&amp;sheet=U0&amp;row=6283&amp;col=7&amp;number=0.00324&amp;sourceID=14","0.00324")</f>
        <v>0.00324</v>
      </c>
    </row>
    <row r="6284" spans="1:7">
      <c r="A6284" s="3">
        <v>12</v>
      </c>
      <c r="B6284" s="3">
        <v>4</v>
      </c>
      <c r="C6284" s="3">
        <v>4</v>
      </c>
      <c r="D6284" s="3">
        <v>31</v>
      </c>
      <c r="E6284" s="3">
        <v>1</v>
      </c>
      <c r="F6284" s="4" t="str">
        <f>HYPERLINK("http://141.218.60.56/~jnz1568/getInfo.php?workbook=12_04.xlsx&amp;sheet=U0&amp;row=6284&amp;col=6&amp;number=3&amp;sourceID=14","3")</f>
        <v>3</v>
      </c>
      <c r="G6284" s="4" t="str">
        <f>HYPERLINK("http://141.218.60.56/~jnz1568/getInfo.php?workbook=12_04.xlsx&amp;sheet=U0&amp;row=6284&amp;col=7&amp;number=0.0377&amp;sourceID=14","0.0377")</f>
        <v>0.0377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HYPERLINK("http://141.218.60.56/~jnz1568/getInfo.php?workbook=12_04.xlsx&amp;sheet=U0&amp;row=6285&amp;col=6&amp;number=3.1&amp;sourceID=14","3.1")</f>
        <v>3.1</v>
      </c>
      <c r="G6285" s="4" t="str">
        <f>HYPERLINK("http://141.218.60.56/~jnz1568/getInfo.php?workbook=12_04.xlsx&amp;sheet=U0&amp;row=6285&amp;col=7&amp;number=0.0377&amp;sourceID=14","0.0377")</f>
        <v>0.0377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HYPERLINK("http://141.218.60.56/~jnz1568/getInfo.php?workbook=12_04.xlsx&amp;sheet=U0&amp;row=6286&amp;col=6&amp;number=3.2&amp;sourceID=14","3.2")</f>
        <v>3.2</v>
      </c>
      <c r="G6286" s="4" t="str">
        <f>HYPERLINK("http://141.218.60.56/~jnz1568/getInfo.php?workbook=12_04.xlsx&amp;sheet=U0&amp;row=6286&amp;col=7&amp;number=0.0376&amp;sourceID=14","0.0376")</f>
        <v>0.0376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HYPERLINK("http://141.218.60.56/~jnz1568/getInfo.php?workbook=12_04.xlsx&amp;sheet=U0&amp;row=6287&amp;col=6&amp;number=3.3&amp;sourceID=14","3.3")</f>
        <v>3.3</v>
      </c>
      <c r="G6287" s="4" t="str">
        <f>HYPERLINK("http://141.218.60.56/~jnz1568/getInfo.php?workbook=12_04.xlsx&amp;sheet=U0&amp;row=6287&amp;col=7&amp;number=0.0376&amp;sourceID=14","0.0376")</f>
        <v>0.0376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HYPERLINK("http://141.218.60.56/~jnz1568/getInfo.php?workbook=12_04.xlsx&amp;sheet=U0&amp;row=6288&amp;col=6&amp;number=3.4&amp;sourceID=14","3.4")</f>
        <v>3.4</v>
      </c>
      <c r="G6288" s="4" t="str">
        <f>HYPERLINK("http://141.218.60.56/~jnz1568/getInfo.php?workbook=12_04.xlsx&amp;sheet=U0&amp;row=6288&amp;col=7&amp;number=0.0375&amp;sourceID=14","0.0375")</f>
        <v>0.0375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HYPERLINK("http://141.218.60.56/~jnz1568/getInfo.php?workbook=12_04.xlsx&amp;sheet=U0&amp;row=6289&amp;col=6&amp;number=3.5&amp;sourceID=14","3.5")</f>
        <v>3.5</v>
      </c>
      <c r="G6289" s="4" t="str">
        <f>HYPERLINK("http://141.218.60.56/~jnz1568/getInfo.php?workbook=12_04.xlsx&amp;sheet=U0&amp;row=6289&amp;col=7&amp;number=0.0374&amp;sourceID=14","0.0374")</f>
        <v>0.0374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HYPERLINK("http://141.218.60.56/~jnz1568/getInfo.php?workbook=12_04.xlsx&amp;sheet=U0&amp;row=6290&amp;col=6&amp;number=3.6&amp;sourceID=14","3.6")</f>
        <v>3.6</v>
      </c>
      <c r="G6290" s="4" t="str">
        <f>HYPERLINK("http://141.218.60.56/~jnz1568/getInfo.php?workbook=12_04.xlsx&amp;sheet=U0&amp;row=6290&amp;col=7&amp;number=0.0372&amp;sourceID=14","0.0372")</f>
        <v>0.0372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HYPERLINK("http://141.218.60.56/~jnz1568/getInfo.php?workbook=12_04.xlsx&amp;sheet=U0&amp;row=6291&amp;col=6&amp;number=3.7&amp;sourceID=14","3.7")</f>
        <v>3.7</v>
      </c>
      <c r="G6291" s="4" t="str">
        <f>HYPERLINK("http://141.218.60.56/~jnz1568/getInfo.php?workbook=12_04.xlsx&amp;sheet=U0&amp;row=6291&amp;col=7&amp;number=0.037&amp;sourceID=14","0.037")</f>
        <v>0.037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HYPERLINK("http://141.218.60.56/~jnz1568/getInfo.php?workbook=12_04.xlsx&amp;sheet=U0&amp;row=6292&amp;col=6&amp;number=3.8&amp;sourceID=14","3.8")</f>
        <v>3.8</v>
      </c>
      <c r="G6292" s="4" t="str">
        <f>HYPERLINK("http://141.218.60.56/~jnz1568/getInfo.php?workbook=12_04.xlsx&amp;sheet=U0&amp;row=6292&amp;col=7&amp;number=0.0368&amp;sourceID=14","0.0368")</f>
        <v>0.0368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HYPERLINK("http://141.218.60.56/~jnz1568/getInfo.php?workbook=12_04.xlsx&amp;sheet=U0&amp;row=6293&amp;col=6&amp;number=3.9&amp;sourceID=14","3.9")</f>
        <v>3.9</v>
      </c>
      <c r="G6293" s="4" t="str">
        <f>HYPERLINK("http://141.218.60.56/~jnz1568/getInfo.php?workbook=12_04.xlsx&amp;sheet=U0&amp;row=6293&amp;col=7&amp;number=0.0365&amp;sourceID=14","0.0365")</f>
        <v>0.0365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HYPERLINK("http://141.218.60.56/~jnz1568/getInfo.php?workbook=12_04.xlsx&amp;sheet=U0&amp;row=6294&amp;col=6&amp;number=4&amp;sourceID=14","4")</f>
        <v>4</v>
      </c>
      <c r="G6294" s="4" t="str">
        <f>HYPERLINK("http://141.218.60.56/~jnz1568/getInfo.php?workbook=12_04.xlsx&amp;sheet=U0&amp;row=6294&amp;col=7&amp;number=0.0362&amp;sourceID=14","0.0362")</f>
        <v>0.0362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HYPERLINK("http://141.218.60.56/~jnz1568/getInfo.php?workbook=12_04.xlsx&amp;sheet=U0&amp;row=6295&amp;col=6&amp;number=4.1&amp;sourceID=14","4.1")</f>
        <v>4.1</v>
      </c>
      <c r="G6295" s="4" t="str">
        <f>HYPERLINK("http://141.218.60.56/~jnz1568/getInfo.php?workbook=12_04.xlsx&amp;sheet=U0&amp;row=6295&amp;col=7&amp;number=0.0357&amp;sourceID=14","0.0357")</f>
        <v>0.0357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HYPERLINK("http://141.218.60.56/~jnz1568/getInfo.php?workbook=12_04.xlsx&amp;sheet=U0&amp;row=6296&amp;col=6&amp;number=4.2&amp;sourceID=14","4.2")</f>
        <v>4.2</v>
      </c>
      <c r="G6296" s="4" t="str">
        <f>HYPERLINK("http://141.218.60.56/~jnz1568/getInfo.php?workbook=12_04.xlsx&amp;sheet=U0&amp;row=6296&amp;col=7&amp;number=0.0352&amp;sourceID=14","0.0352")</f>
        <v>0.0352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HYPERLINK("http://141.218.60.56/~jnz1568/getInfo.php?workbook=12_04.xlsx&amp;sheet=U0&amp;row=6297&amp;col=6&amp;number=4.3&amp;sourceID=14","4.3")</f>
        <v>4.3</v>
      </c>
      <c r="G6297" s="4" t="str">
        <f>HYPERLINK("http://141.218.60.56/~jnz1568/getInfo.php?workbook=12_04.xlsx&amp;sheet=U0&amp;row=6297&amp;col=7&amp;number=0.0345&amp;sourceID=14","0.0345")</f>
        <v>0.0345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HYPERLINK("http://141.218.60.56/~jnz1568/getInfo.php?workbook=12_04.xlsx&amp;sheet=U0&amp;row=6298&amp;col=6&amp;number=4.4&amp;sourceID=14","4.4")</f>
        <v>4.4</v>
      </c>
      <c r="G6298" s="4" t="str">
        <f>HYPERLINK("http://141.218.60.56/~jnz1568/getInfo.php?workbook=12_04.xlsx&amp;sheet=U0&amp;row=6298&amp;col=7&amp;number=0.0336&amp;sourceID=14","0.0336")</f>
        <v>0.0336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HYPERLINK("http://141.218.60.56/~jnz1568/getInfo.php?workbook=12_04.xlsx&amp;sheet=U0&amp;row=6299&amp;col=6&amp;number=4.5&amp;sourceID=14","4.5")</f>
        <v>4.5</v>
      </c>
      <c r="G6299" s="4" t="str">
        <f>HYPERLINK("http://141.218.60.56/~jnz1568/getInfo.php?workbook=12_04.xlsx&amp;sheet=U0&amp;row=6299&amp;col=7&amp;number=0.0326&amp;sourceID=14","0.0326")</f>
        <v>0.0326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HYPERLINK("http://141.218.60.56/~jnz1568/getInfo.php?workbook=12_04.xlsx&amp;sheet=U0&amp;row=6300&amp;col=6&amp;number=4.6&amp;sourceID=14","4.6")</f>
        <v>4.6</v>
      </c>
      <c r="G6300" s="4" t="str">
        <f>HYPERLINK("http://141.218.60.56/~jnz1568/getInfo.php?workbook=12_04.xlsx&amp;sheet=U0&amp;row=6300&amp;col=7&amp;number=0.0313&amp;sourceID=14","0.0313")</f>
        <v>0.0313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HYPERLINK("http://141.218.60.56/~jnz1568/getInfo.php?workbook=12_04.xlsx&amp;sheet=U0&amp;row=6301&amp;col=6&amp;number=4.7&amp;sourceID=14","4.7")</f>
        <v>4.7</v>
      </c>
      <c r="G6301" s="4" t="str">
        <f>HYPERLINK("http://141.218.60.56/~jnz1568/getInfo.php?workbook=12_04.xlsx&amp;sheet=U0&amp;row=6301&amp;col=7&amp;number=0.0297&amp;sourceID=14","0.0297")</f>
        <v>0.0297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HYPERLINK("http://141.218.60.56/~jnz1568/getInfo.php?workbook=12_04.xlsx&amp;sheet=U0&amp;row=6302&amp;col=6&amp;number=4.8&amp;sourceID=14","4.8")</f>
        <v>4.8</v>
      </c>
      <c r="G6302" s="4" t="str">
        <f>HYPERLINK("http://141.218.60.56/~jnz1568/getInfo.php?workbook=12_04.xlsx&amp;sheet=U0&amp;row=6302&amp;col=7&amp;number=0.0278&amp;sourceID=14","0.0278")</f>
        <v>0.0278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HYPERLINK("http://141.218.60.56/~jnz1568/getInfo.php?workbook=12_04.xlsx&amp;sheet=U0&amp;row=6303&amp;col=6&amp;number=4.9&amp;sourceID=14","4.9")</f>
        <v>4.9</v>
      </c>
      <c r="G6303" s="4" t="str">
        <f>HYPERLINK("http://141.218.60.56/~jnz1568/getInfo.php?workbook=12_04.xlsx&amp;sheet=U0&amp;row=6303&amp;col=7&amp;number=0.0255&amp;sourceID=14","0.0255")</f>
        <v>0.0255</v>
      </c>
    </row>
    <row r="6304" spans="1:7">
      <c r="A6304" s="3">
        <v>12</v>
      </c>
      <c r="B6304" s="3">
        <v>4</v>
      </c>
      <c r="C6304" s="3">
        <v>4</v>
      </c>
      <c r="D6304" s="3">
        <v>32</v>
      </c>
      <c r="E6304" s="3">
        <v>1</v>
      </c>
      <c r="F6304" s="4" t="str">
        <f>HYPERLINK("http://141.218.60.56/~jnz1568/getInfo.php?workbook=12_04.xlsx&amp;sheet=U0&amp;row=6304&amp;col=6&amp;number=3&amp;sourceID=14","3")</f>
        <v>3</v>
      </c>
      <c r="G6304" s="4" t="str">
        <f>HYPERLINK("http://141.218.60.56/~jnz1568/getInfo.php?workbook=12_04.xlsx&amp;sheet=U0&amp;row=6304&amp;col=7&amp;number=0.0743&amp;sourceID=14","0.0743")</f>
        <v>0.0743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HYPERLINK("http://141.218.60.56/~jnz1568/getInfo.php?workbook=12_04.xlsx&amp;sheet=U0&amp;row=6305&amp;col=6&amp;number=3.1&amp;sourceID=14","3.1")</f>
        <v>3.1</v>
      </c>
      <c r="G6305" s="4" t="str">
        <f>HYPERLINK("http://141.218.60.56/~jnz1568/getInfo.php?workbook=12_04.xlsx&amp;sheet=U0&amp;row=6305&amp;col=7&amp;number=0.0742&amp;sourceID=14","0.0742")</f>
        <v>0.0742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HYPERLINK("http://141.218.60.56/~jnz1568/getInfo.php?workbook=12_04.xlsx&amp;sheet=U0&amp;row=6306&amp;col=6&amp;number=3.2&amp;sourceID=14","3.2")</f>
        <v>3.2</v>
      </c>
      <c r="G6306" s="4" t="str">
        <f>HYPERLINK("http://141.218.60.56/~jnz1568/getInfo.php?workbook=12_04.xlsx&amp;sheet=U0&amp;row=6306&amp;col=7&amp;number=0.0741&amp;sourceID=14","0.0741")</f>
        <v>0.0741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HYPERLINK("http://141.218.60.56/~jnz1568/getInfo.php?workbook=12_04.xlsx&amp;sheet=U0&amp;row=6307&amp;col=6&amp;number=3.3&amp;sourceID=14","3.3")</f>
        <v>3.3</v>
      </c>
      <c r="G6307" s="4" t="str">
        <f>HYPERLINK("http://141.218.60.56/~jnz1568/getInfo.php?workbook=12_04.xlsx&amp;sheet=U0&amp;row=6307&amp;col=7&amp;number=0.074&amp;sourceID=14","0.074")</f>
        <v>0.074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HYPERLINK("http://141.218.60.56/~jnz1568/getInfo.php?workbook=12_04.xlsx&amp;sheet=U0&amp;row=6308&amp;col=6&amp;number=3.4&amp;sourceID=14","3.4")</f>
        <v>3.4</v>
      </c>
      <c r="G6308" s="4" t="str">
        <f>HYPERLINK("http://141.218.60.56/~jnz1568/getInfo.php?workbook=12_04.xlsx&amp;sheet=U0&amp;row=6308&amp;col=7&amp;number=0.0738&amp;sourceID=14","0.0738")</f>
        <v>0.0738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HYPERLINK("http://141.218.60.56/~jnz1568/getInfo.php?workbook=12_04.xlsx&amp;sheet=U0&amp;row=6309&amp;col=6&amp;number=3.5&amp;sourceID=14","3.5")</f>
        <v>3.5</v>
      </c>
      <c r="G6309" s="4" t="str">
        <f>HYPERLINK("http://141.218.60.56/~jnz1568/getInfo.php?workbook=12_04.xlsx&amp;sheet=U0&amp;row=6309&amp;col=7&amp;number=0.0736&amp;sourceID=14","0.0736")</f>
        <v>0.0736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HYPERLINK("http://141.218.60.56/~jnz1568/getInfo.php?workbook=12_04.xlsx&amp;sheet=U0&amp;row=6310&amp;col=6&amp;number=3.6&amp;sourceID=14","3.6")</f>
        <v>3.6</v>
      </c>
      <c r="G6310" s="4" t="str">
        <f>HYPERLINK("http://141.218.60.56/~jnz1568/getInfo.php?workbook=12_04.xlsx&amp;sheet=U0&amp;row=6310&amp;col=7&amp;number=0.0734&amp;sourceID=14","0.0734")</f>
        <v>0.0734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HYPERLINK("http://141.218.60.56/~jnz1568/getInfo.php?workbook=12_04.xlsx&amp;sheet=U0&amp;row=6311&amp;col=6&amp;number=3.7&amp;sourceID=14","3.7")</f>
        <v>3.7</v>
      </c>
      <c r="G6311" s="4" t="str">
        <f>HYPERLINK("http://141.218.60.56/~jnz1568/getInfo.php?workbook=12_04.xlsx&amp;sheet=U0&amp;row=6311&amp;col=7&amp;number=0.073&amp;sourceID=14","0.073")</f>
        <v>0.073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HYPERLINK("http://141.218.60.56/~jnz1568/getInfo.php?workbook=12_04.xlsx&amp;sheet=U0&amp;row=6312&amp;col=6&amp;number=3.8&amp;sourceID=14","3.8")</f>
        <v>3.8</v>
      </c>
      <c r="G6312" s="4" t="str">
        <f>HYPERLINK("http://141.218.60.56/~jnz1568/getInfo.php?workbook=12_04.xlsx&amp;sheet=U0&amp;row=6312&amp;col=7&amp;number=0.0726&amp;sourceID=14","0.0726")</f>
        <v>0.0726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HYPERLINK("http://141.218.60.56/~jnz1568/getInfo.php?workbook=12_04.xlsx&amp;sheet=U0&amp;row=6313&amp;col=6&amp;number=3.9&amp;sourceID=14","3.9")</f>
        <v>3.9</v>
      </c>
      <c r="G6313" s="4" t="str">
        <f>HYPERLINK("http://141.218.60.56/~jnz1568/getInfo.php?workbook=12_04.xlsx&amp;sheet=U0&amp;row=6313&amp;col=7&amp;number=0.0721&amp;sourceID=14","0.0721")</f>
        <v>0.0721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HYPERLINK("http://141.218.60.56/~jnz1568/getInfo.php?workbook=12_04.xlsx&amp;sheet=U0&amp;row=6314&amp;col=6&amp;number=4&amp;sourceID=14","4")</f>
        <v>4</v>
      </c>
      <c r="G6314" s="4" t="str">
        <f>HYPERLINK("http://141.218.60.56/~jnz1568/getInfo.php?workbook=12_04.xlsx&amp;sheet=U0&amp;row=6314&amp;col=7&amp;number=0.0714&amp;sourceID=14","0.0714")</f>
        <v>0.0714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HYPERLINK("http://141.218.60.56/~jnz1568/getInfo.php?workbook=12_04.xlsx&amp;sheet=U0&amp;row=6315&amp;col=6&amp;number=4.1&amp;sourceID=14","4.1")</f>
        <v>4.1</v>
      </c>
      <c r="G6315" s="4" t="str">
        <f>HYPERLINK("http://141.218.60.56/~jnz1568/getInfo.php?workbook=12_04.xlsx&amp;sheet=U0&amp;row=6315&amp;col=7&amp;number=0.0706&amp;sourceID=14","0.0706")</f>
        <v>0.0706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HYPERLINK("http://141.218.60.56/~jnz1568/getInfo.php?workbook=12_04.xlsx&amp;sheet=U0&amp;row=6316&amp;col=6&amp;number=4.2&amp;sourceID=14","4.2")</f>
        <v>4.2</v>
      </c>
      <c r="G6316" s="4" t="str">
        <f>HYPERLINK("http://141.218.60.56/~jnz1568/getInfo.php?workbook=12_04.xlsx&amp;sheet=U0&amp;row=6316&amp;col=7&amp;number=0.0696&amp;sourceID=14","0.0696")</f>
        <v>0.0696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HYPERLINK("http://141.218.60.56/~jnz1568/getInfo.php?workbook=12_04.xlsx&amp;sheet=U0&amp;row=6317&amp;col=6&amp;number=4.3&amp;sourceID=14","4.3")</f>
        <v>4.3</v>
      </c>
      <c r="G6317" s="4" t="str">
        <f>HYPERLINK("http://141.218.60.56/~jnz1568/getInfo.php?workbook=12_04.xlsx&amp;sheet=U0&amp;row=6317&amp;col=7&amp;number=0.0684&amp;sourceID=14","0.0684")</f>
        <v>0.0684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HYPERLINK("http://141.218.60.56/~jnz1568/getInfo.php?workbook=12_04.xlsx&amp;sheet=U0&amp;row=6318&amp;col=6&amp;number=4.4&amp;sourceID=14","4.4")</f>
        <v>4.4</v>
      </c>
      <c r="G6318" s="4" t="str">
        <f>HYPERLINK("http://141.218.60.56/~jnz1568/getInfo.php?workbook=12_04.xlsx&amp;sheet=U0&amp;row=6318&amp;col=7&amp;number=0.0668&amp;sourceID=14","0.0668")</f>
        <v>0.0668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HYPERLINK("http://141.218.60.56/~jnz1568/getInfo.php?workbook=12_04.xlsx&amp;sheet=U0&amp;row=6319&amp;col=6&amp;number=4.5&amp;sourceID=14","4.5")</f>
        <v>4.5</v>
      </c>
      <c r="G6319" s="4" t="str">
        <f>HYPERLINK("http://141.218.60.56/~jnz1568/getInfo.php?workbook=12_04.xlsx&amp;sheet=U0&amp;row=6319&amp;col=7&amp;number=0.0648&amp;sourceID=14","0.0648")</f>
        <v>0.0648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HYPERLINK("http://141.218.60.56/~jnz1568/getInfo.php?workbook=12_04.xlsx&amp;sheet=U0&amp;row=6320&amp;col=6&amp;number=4.6&amp;sourceID=14","4.6")</f>
        <v>4.6</v>
      </c>
      <c r="G6320" s="4" t="str">
        <f>HYPERLINK("http://141.218.60.56/~jnz1568/getInfo.php?workbook=12_04.xlsx&amp;sheet=U0&amp;row=6320&amp;col=7&amp;number=0.0625&amp;sourceID=14","0.0625")</f>
        <v>0.0625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HYPERLINK("http://141.218.60.56/~jnz1568/getInfo.php?workbook=12_04.xlsx&amp;sheet=U0&amp;row=6321&amp;col=6&amp;number=4.7&amp;sourceID=14","4.7")</f>
        <v>4.7</v>
      </c>
      <c r="G6321" s="4" t="str">
        <f>HYPERLINK("http://141.218.60.56/~jnz1568/getInfo.php?workbook=12_04.xlsx&amp;sheet=U0&amp;row=6321&amp;col=7&amp;number=0.0595&amp;sourceID=14","0.0595")</f>
        <v>0.0595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HYPERLINK("http://141.218.60.56/~jnz1568/getInfo.php?workbook=12_04.xlsx&amp;sheet=U0&amp;row=6322&amp;col=6&amp;number=4.8&amp;sourceID=14","4.8")</f>
        <v>4.8</v>
      </c>
      <c r="G6322" s="4" t="str">
        <f>HYPERLINK("http://141.218.60.56/~jnz1568/getInfo.php?workbook=12_04.xlsx&amp;sheet=U0&amp;row=6322&amp;col=7&amp;number=0.056&amp;sourceID=14","0.056")</f>
        <v>0.056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HYPERLINK("http://141.218.60.56/~jnz1568/getInfo.php?workbook=12_04.xlsx&amp;sheet=U0&amp;row=6323&amp;col=6&amp;number=4.9&amp;sourceID=14","4.9")</f>
        <v>4.9</v>
      </c>
      <c r="G6323" s="4" t="str">
        <f>HYPERLINK("http://141.218.60.56/~jnz1568/getInfo.php?workbook=12_04.xlsx&amp;sheet=U0&amp;row=6323&amp;col=7&amp;number=0.0519&amp;sourceID=14","0.0519")</f>
        <v>0.0519</v>
      </c>
    </row>
    <row r="6324" spans="1:7">
      <c r="A6324" s="3">
        <v>12</v>
      </c>
      <c r="B6324" s="3">
        <v>4</v>
      </c>
      <c r="C6324" s="3">
        <v>4</v>
      </c>
      <c r="D6324" s="3">
        <v>33</v>
      </c>
      <c r="E6324" s="3">
        <v>1</v>
      </c>
      <c r="F6324" s="4" t="str">
        <f>HYPERLINK("http://141.218.60.56/~jnz1568/getInfo.php?workbook=12_04.xlsx&amp;sheet=U0&amp;row=6324&amp;col=6&amp;number=3&amp;sourceID=14","3")</f>
        <v>3</v>
      </c>
      <c r="G6324" s="4" t="str">
        <f>HYPERLINK("http://141.218.60.56/~jnz1568/getInfo.php?workbook=12_04.xlsx&amp;sheet=U0&amp;row=6324&amp;col=7&amp;number=0.02&amp;sourceID=14","0.02")</f>
        <v>0.02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HYPERLINK("http://141.218.60.56/~jnz1568/getInfo.php?workbook=12_04.xlsx&amp;sheet=U0&amp;row=6325&amp;col=6&amp;number=3.1&amp;sourceID=14","3.1")</f>
        <v>3.1</v>
      </c>
      <c r="G6325" s="4" t="str">
        <f>HYPERLINK("http://141.218.60.56/~jnz1568/getInfo.php?workbook=12_04.xlsx&amp;sheet=U0&amp;row=6325&amp;col=7&amp;number=0.02&amp;sourceID=14","0.02")</f>
        <v>0.02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HYPERLINK("http://141.218.60.56/~jnz1568/getInfo.php?workbook=12_04.xlsx&amp;sheet=U0&amp;row=6326&amp;col=6&amp;number=3.2&amp;sourceID=14","3.2")</f>
        <v>3.2</v>
      </c>
      <c r="G6326" s="4" t="str">
        <f>HYPERLINK("http://141.218.60.56/~jnz1568/getInfo.php?workbook=12_04.xlsx&amp;sheet=U0&amp;row=6326&amp;col=7&amp;number=0.0199&amp;sourceID=14","0.0199")</f>
        <v>0.0199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HYPERLINK("http://141.218.60.56/~jnz1568/getInfo.php?workbook=12_04.xlsx&amp;sheet=U0&amp;row=6327&amp;col=6&amp;number=3.3&amp;sourceID=14","3.3")</f>
        <v>3.3</v>
      </c>
      <c r="G6327" s="4" t="str">
        <f>HYPERLINK("http://141.218.60.56/~jnz1568/getInfo.php?workbook=12_04.xlsx&amp;sheet=U0&amp;row=6327&amp;col=7&amp;number=0.0198&amp;sourceID=14","0.0198")</f>
        <v>0.0198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HYPERLINK("http://141.218.60.56/~jnz1568/getInfo.php?workbook=12_04.xlsx&amp;sheet=U0&amp;row=6328&amp;col=6&amp;number=3.4&amp;sourceID=14","3.4")</f>
        <v>3.4</v>
      </c>
      <c r="G6328" s="4" t="str">
        <f>HYPERLINK("http://141.218.60.56/~jnz1568/getInfo.php?workbook=12_04.xlsx&amp;sheet=U0&amp;row=6328&amp;col=7&amp;number=0.0197&amp;sourceID=14","0.0197")</f>
        <v>0.0197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HYPERLINK("http://141.218.60.56/~jnz1568/getInfo.php?workbook=12_04.xlsx&amp;sheet=U0&amp;row=6329&amp;col=6&amp;number=3.5&amp;sourceID=14","3.5")</f>
        <v>3.5</v>
      </c>
      <c r="G6329" s="4" t="str">
        <f>HYPERLINK("http://141.218.60.56/~jnz1568/getInfo.php?workbook=12_04.xlsx&amp;sheet=U0&amp;row=6329&amp;col=7&amp;number=0.0196&amp;sourceID=14","0.0196")</f>
        <v>0.0196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HYPERLINK("http://141.218.60.56/~jnz1568/getInfo.php?workbook=12_04.xlsx&amp;sheet=U0&amp;row=6330&amp;col=6&amp;number=3.6&amp;sourceID=14","3.6")</f>
        <v>3.6</v>
      </c>
      <c r="G6330" s="4" t="str">
        <f>HYPERLINK("http://141.218.60.56/~jnz1568/getInfo.php?workbook=12_04.xlsx&amp;sheet=U0&amp;row=6330&amp;col=7&amp;number=0.0195&amp;sourceID=14","0.0195")</f>
        <v>0.0195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HYPERLINK("http://141.218.60.56/~jnz1568/getInfo.php?workbook=12_04.xlsx&amp;sheet=U0&amp;row=6331&amp;col=6&amp;number=3.7&amp;sourceID=14","3.7")</f>
        <v>3.7</v>
      </c>
      <c r="G6331" s="4" t="str">
        <f>HYPERLINK("http://141.218.60.56/~jnz1568/getInfo.php?workbook=12_04.xlsx&amp;sheet=U0&amp;row=6331&amp;col=7&amp;number=0.0193&amp;sourceID=14","0.0193")</f>
        <v>0.0193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HYPERLINK("http://141.218.60.56/~jnz1568/getInfo.php?workbook=12_04.xlsx&amp;sheet=U0&amp;row=6332&amp;col=6&amp;number=3.8&amp;sourceID=14","3.8")</f>
        <v>3.8</v>
      </c>
      <c r="G6332" s="4" t="str">
        <f>HYPERLINK("http://141.218.60.56/~jnz1568/getInfo.php?workbook=12_04.xlsx&amp;sheet=U0&amp;row=6332&amp;col=7&amp;number=0.0191&amp;sourceID=14","0.0191")</f>
        <v>0.0191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HYPERLINK("http://141.218.60.56/~jnz1568/getInfo.php?workbook=12_04.xlsx&amp;sheet=U0&amp;row=6333&amp;col=6&amp;number=3.9&amp;sourceID=14","3.9")</f>
        <v>3.9</v>
      </c>
      <c r="G6333" s="4" t="str">
        <f>HYPERLINK("http://141.218.60.56/~jnz1568/getInfo.php?workbook=12_04.xlsx&amp;sheet=U0&amp;row=6333&amp;col=7&amp;number=0.0188&amp;sourceID=14","0.0188")</f>
        <v>0.0188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HYPERLINK("http://141.218.60.56/~jnz1568/getInfo.php?workbook=12_04.xlsx&amp;sheet=U0&amp;row=6334&amp;col=6&amp;number=4&amp;sourceID=14","4")</f>
        <v>4</v>
      </c>
      <c r="G6334" s="4" t="str">
        <f>HYPERLINK("http://141.218.60.56/~jnz1568/getInfo.php?workbook=12_04.xlsx&amp;sheet=U0&amp;row=6334&amp;col=7&amp;number=0.0184&amp;sourceID=14","0.0184")</f>
        <v>0.0184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HYPERLINK("http://141.218.60.56/~jnz1568/getInfo.php?workbook=12_04.xlsx&amp;sheet=U0&amp;row=6335&amp;col=6&amp;number=4.1&amp;sourceID=14","4.1")</f>
        <v>4.1</v>
      </c>
      <c r="G6335" s="4" t="str">
        <f>HYPERLINK("http://141.218.60.56/~jnz1568/getInfo.php?workbook=12_04.xlsx&amp;sheet=U0&amp;row=6335&amp;col=7&amp;number=0.0179&amp;sourceID=14","0.0179")</f>
        <v>0.0179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HYPERLINK("http://141.218.60.56/~jnz1568/getInfo.php?workbook=12_04.xlsx&amp;sheet=U0&amp;row=6336&amp;col=6&amp;number=4.2&amp;sourceID=14","4.2")</f>
        <v>4.2</v>
      </c>
      <c r="G6336" s="4" t="str">
        <f>HYPERLINK("http://141.218.60.56/~jnz1568/getInfo.php?workbook=12_04.xlsx&amp;sheet=U0&amp;row=6336&amp;col=7&amp;number=0.0174&amp;sourceID=14","0.0174")</f>
        <v>0.0174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HYPERLINK("http://141.218.60.56/~jnz1568/getInfo.php?workbook=12_04.xlsx&amp;sheet=U0&amp;row=6337&amp;col=6&amp;number=4.3&amp;sourceID=14","4.3")</f>
        <v>4.3</v>
      </c>
      <c r="G6337" s="4" t="str">
        <f>HYPERLINK("http://141.218.60.56/~jnz1568/getInfo.php?workbook=12_04.xlsx&amp;sheet=U0&amp;row=6337&amp;col=7&amp;number=0.0167&amp;sourceID=14","0.0167")</f>
        <v>0.0167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HYPERLINK("http://141.218.60.56/~jnz1568/getInfo.php?workbook=12_04.xlsx&amp;sheet=U0&amp;row=6338&amp;col=6&amp;number=4.4&amp;sourceID=14","4.4")</f>
        <v>4.4</v>
      </c>
      <c r="G6338" s="4" t="str">
        <f>HYPERLINK("http://141.218.60.56/~jnz1568/getInfo.php?workbook=12_04.xlsx&amp;sheet=U0&amp;row=6338&amp;col=7&amp;number=0.0159&amp;sourceID=14","0.0159")</f>
        <v>0.0159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HYPERLINK("http://141.218.60.56/~jnz1568/getInfo.php?workbook=12_04.xlsx&amp;sheet=U0&amp;row=6339&amp;col=6&amp;number=4.5&amp;sourceID=14","4.5")</f>
        <v>4.5</v>
      </c>
      <c r="G6339" s="4" t="str">
        <f>HYPERLINK("http://141.218.60.56/~jnz1568/getInfo.php?workbook=12_04.xlsx&amp;sheet=U0&amp;row=6339&amp;col=7&amp;number=0.0148&amp;sourceID=14","0.0148")</f>
        <v>0.0148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HYPERLINK("http://141.218.60.56/~jnz1568/getInfo.php?workbook=12_04.xlsx&amp;sheet=U0&amp;row=6340&amp;col=6&amp;number=4.6&amp;sourceID=14","4.6")</f>
        <v>4.6</v>
      </c>
      <c r="G6340" s="4" t="str">
        <f>HYPERLINK("http://141.218.60.56/~jnz1568/getInfo.php?workbook=12_04.xlsx&amp;sheet=U0&amp;row=6340&amp;col=7&amp;number=0.0136&amp;sourceID=14","0.0136")</f>
        <v>0.0136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HYPERLINK("http://141.218.60.56/~jnz1568/getInfo.php?workbook=12_04.xlsx&amp;sheet=U0&amp;row=6341&amp;col=6&amp;number=4.7&amp;sourceID=14","4.7")</f>
        <v>4.7</v>
      </c>
      <c r="G6341" s="4" t="str">
        <f>HYPERLINK("http://141.218.60.56/~jnz1568/getInfo.php?workbook=12_04.xlsx&amp;sheet=U0&amp;row=6341&amp;col=7&amp;number=0.0122&amp;sourceID=14","0.0122")</f>
        <v>0.0122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HYPERLINK("http://141.218.60.56/~jnz1568/getInfo.php?workbook=12_04.xlsx&amp;sheet=U0&amp;row=6342&amp;col=6&amp;number=4.8&amp;sourceID=14","4.8")</f>
        <v>4.8</v>
      </c>
      <c r="G6342" s="4" t="str">
        <f>HYPERLINK("http://141.218.60.56/~jnz1568/getInfo.php?workbook=12_04.xlsx&amp;sheet=U0&amp;row=6342&amp;col=7&amp;number=0.0107&amp;sourceID=14","0.0107")</f>
        <v>0.0107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HYPERLINK("http://141.218.60.56/~jnz1568/getInfo.php?workbook=12_04.xlsx&amp;sheet=U0&amp;row=6343&amp;col=6&amp;number=4.9&amp;sourceID=14","4.9")</f>
        <v>4.9</v>
      </c>
      <c r="G6343" s="4" t="str">
        <f>HYPERLINK("http://141.218.60.56/~jnz1568/getInfo.php?workbook=12_04.xlsx&amp;sheet=U0&amp;row=6343&amp;col=7&amp;number=0.00915&amp;sourceID=14","0.00915")</f>
        <v>0.00915</v>
      </c>
    </row>
    <row r="6344" spans="1:7">
      <c r="A6344" s="3">
        <v>12</v>
      </c>
      <c r="B6344" s="3">
        <v>4</v>
      </c>
      <c r="C6344" s="3">
        <v>4</v>
      </c>
      <c r="D6344" s="3">
        <v>34</v>
      </c>
      <c r="E6344" s="3">
        <v>1</v>
      </c>
      <c r="F6344" s="4" t="str">
        <f>HYPERLINK("http://141.218.60.56/~jnz1568/getInfo.php?workbook=12_04.xlsx&amp;sheet=U0&amp;row=6344&amp;col=6&amp;number=3&amp;sourceID=14","3")</f>
        <v>3</v>
      </c>
      <c r="G6344" s="4" t="str">
        <f>HYPERLINK("http://141.218.60.56/~jnz1568/getInfo.php?workbook=12_04.xlsx&amp;sheet=U0&amp;row=6344&amp;col=7&amp;number=0.0587&amp;sourceID=14","0.0587")</f>
        <v>0.0587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HYPERLINK("http://141.218.60.56/~jnz1568/getInfo.php?workbook=12_04.xlsx&amp;sheet=U0&amp;row=6345&amp;col=6&amp;number=3.1&amp;sourceID=14","3.1")</f>
        <v>3.1</v>
      </c>
      <c r="G6345" s="4" t="str">
        <f>HYPERLINK("http://141.218.60.56/~jnz1568/getInfo.php?workbook=12_04.xlsx&amp;sheet=U0&amp;row=6345&amp;col=7&amp;number=0.0586&amp;sourceID=14","0.0586")</f>
        <v>0.0586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HYPERLINK("http://141.218.60.56/~jnz1568/getInfo.php?workbook=12_04.xlsx&amp;sheet=U0&amp;row=6346&amp;col=6&amp;number=3.2&amp;sourceID=14","3.2")</f>
        <v>3.2</v>
      </c>
      <c r="G6346" s="4" t="str">
        <f>HYPERLINK("http://141.218.60.56/~jnz1568/getInfo.php?workbook=12_04.xlsx&amp;sheet=U0&amp;row=6346&amp;col=7&amp;number=0.0585&amp;sourceID=14","0.0585")</f>
        <v>0.0585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HYPERLINK("http://141.218.60.56/~jnz1568/getInfo.php?workbook=12_04.xlsx&amp;sheet=U0&amp;row=6347&amp;col=6&amp;number=3.3&amp;sourceID=14","3.3")</f>
        <v>3.3</v>
      </c>
      <c r="G6347" s="4" t="str">
        <f>HYPERLINK("http://141.218.60.56/~jnz1568/getInfo.php?workbook=12_04.xlsx&amp;sheet=U0&amp;row=6347&amp;col=7&amp;number=0.0584&amp;sourceID=14","0.0584")</f>
        <v>0.0584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HYPERLINK("http://141.218.60.56/~jnz1568/getInfo.php?workbook=12_04.xlsx&amp;sheet=U0&amp;row=6348&amp;col=6&amp;number=3.4&amp;sourceID=14","3.4")</f>
        <v>3.4</v>
      </c>
      <c r="G6348" s="4" t="str">
        <f>HYPERLINK("http://141.218.60.56/~jnz1568/getInfo.php?workbook=12_04.xlsx&amp;sheet=U0&amp;row=6348&amp;col=7&amp;number=0.0582&amp;sourceID=14","0.0582")</f>
        <v>0.0582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HYPERLINK("http://141.218.60.56/~jnz1568/getInfo.php?workbook=12_04.xlsx&amp;sheet=U0&amp;row=6349&amp;col=6&amp;number=3.5&amp;sourceID=14","3.5")</f>
        <v>3.5</v>
      </c>
      <c r="G6349" s="4" t="str">
        <f>HYPERLINK("http://141.218.60.56/~jnz1568/getInfo.php?workbook=12_04.xlsx&amp;sheet=U0&amp;row=6349&amp;col=7&amp;number=0.058&amp;sourceID=14","0.058")</f>
        <v>0.058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HYPERLINK("http://141.218.60.56/~jnz1568/getInfo.php?workbook=12_04.xlsx&amp;sheet=U0&amp;row=6350&amp;col=6&amp;number=3.6&amp;sourceID=14","3.6")</f>
        <v>3.6</v>
      </c>
      <c r="G6350" s="4" t="str">
        <f>HYPERLINK("http://141.218.60.56/~jnz1568/getInfo.php?workbook=12_04.xlsx&amp;sheet=U0&amp;row=6350&amp;col=7&amp;number=0.0577&amp;sourceID=14","0.0577")</f>
        <v>0.0577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HYPERLINK("http://141.218.60.56/~jnz1568/getInfo.php?workbook=12_04.xlsx&amp;sheet=U0&amp;row=6351&amp;col=6&amp;number=3.7&amp;sourceID=14","3.7")</f>
        <v>3.7</v>
      </c>
      <c r="G6351" s="4" t="str">
        <f>HYPERLINK("http://141.218.60.56/~jnz1568/getInfo.php?workbook=12_04.xlsx&amp;sheet=U0&amp;row=6351&amp;col=7&amp;number=0.0574&amp;sourceID=14","0.0574")</f>
        <v>0.0574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HYPERLINK("http://141.218.60.56/~jnz1568/getInfo.php?workbook=12_04.xlsx&amp;sheet=U0&amp;row=6352&amp;col=6&amp;number=3.8&amp;sourceID=14","3.8")</f>
        <v>3.8</v>
      </c>
      <c r="G6352" s="4" t="str">
        <f>HYPERLINK("http://141.218.60.56/~jnz1568/getInfo.php?workbook=12_04.xlsx&amp;sheet=U0&amp;row=6352&amp;col=7&amp;number=0.057&amp;sourceID=14","0.057")</f>
        <v>0.057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HYPERLINK("http://141.218.60.56/~jnz1568/getInfo.php?workbook=12_04.xlsx&amp;sheet=U0&amp;row=6353&amp;col=6&amp;number=3.9&amp;sourceID=14","3.9")</f>
        <v>3.9</v>
      </c>
      <c r="G6353" s="4" t="str">
        <f>HYPERLINK("http://141.218.60.56/~jnz1568/getInfo.php?workbook=12_04.xlsx&amp;sheet=U0&amp;row=6353&amp;col=7&amp;number=0.0565&amp;sourceID=14","0.0565")</f>
        <v>0.0565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HYPERLINK("http://141.218.60.56/~jnz1568/getInfo.php?workbook=12_04.xlsx&amp;sheet=U0&amp;row=6354&amp;col=6&amp;number=4&amp;sourceID=14","4")</f>
        <v>4</v>
      </c>
      <c r="G6354" s="4" t="str">
        <f>HYPERLINK("http://141.218.60.56/~jnz1568/getInfo.php?workbook=12_04.xlsx&amp;sheet=U0&amp;row=6354&amp;col=7&amp;number=0.0558&amp;sourceID=14","0.0558")</f>
        <v>0.0558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HYPERLINK("http://141.218.60.56/~jnz1568/getInfo.php?workbook=12_04.xlsx&amp;sheet=U0&amp;row=6355&amp;col=6&amp;number=4.1&amp;sourceID=14","4.1")</f>
        <v>4.1</v>
      </c>
      <c r="G6355" s="4" t="str">
        <f>HYPERLINK("http://141.218.60.56/~jnz1568/getInfo.php?workbook=12_04.xlsx&amp;sheet=U0&amp;row=6355&amp;col=7&amp;number=0.055&amp;sourceID=14","0.055")</f>
        <v>0.055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HYPERLINK("http://141.218.60.56/~jnz1568/getInfo.php?workbook=12_04.xlsx&amp;sheet=U0&amp;row=6356&amp;col=6&amp;number=4.2&amp;sourceID=14","4.2")</f>
        <v>4.2</v>
      </c>
      <c r="G6356" s="4" t="str">
        <f>HYPERLINK("http://141.218.60.56/~jnz1568/getInfo.php?workbook=12_04.xlsx&amp;sheet=U0&amp;row=6356&amp;col=7&amp;number=0.054&amp;sourceID=14","0.054")</f>
        <v>0.054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HYPERLINK("http://141.218.60.56/~jnz1568/getInfo.php?workbook=12_04.xlsx&amp;sheet=U0&amp;row=6357&amp;col=6&amp;number=4.3&amp;sourceID=14","4.3")</f>
        <v>4.3</v>
      </c>
      <c r="G6357" s="4" t="str">
        <f>HYPERLINK("http://141.218.60.56/~jnz1568/getInfo.php?workbook=12_04.xlsx&amp;sheet=U0&amp;row=6357&amp;col=7&amp;number=0.0527&amp;sourceID=14","0.0527")</f>
        <v>0.0527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HYPERLINK("http://141.218.60.56/~jnz1568/getInfo.php?workbook=12_04.xlsx&amp;sheet=U0&amp;row=6358&amp;col=6&amp;number=4.4&amp;sourceID=14","4.4")</f>
        <v>4.4</v>
      </c>
      <c r="G6358" s="4" t="str">
        <f>HYPERLINK("http://141.218.60.56/~jnz1568/getInfo.php?workbook=12_04.xlsx&amp;sheet=U0&amp;row=6358&amp;col=7&amp;number=0.0512&amp;sourceID=14","0.0512")</f>
        <v>0.0512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HYPERLINK("http://141.218.60.56/~jnz1568/getInfo.php?workbook=12_04.xlsx&amp;sheet=U0&amp;row=6359&amp;col=6&amp;number=4.5&amp;sourceID=14","4.5")</f>
        <v>4.5</v>
      </c>
      <c r="G6359" s="4" t="str">
        <f>HYPERLINK("http://141.218.60.56/~jnz1568/getInfo.php?workbook=12_04.xlsx&amp;sheet=U0&amp;row=6359&amp;col=7&amp;number=0.0493&amp;sourceID=14","0.0493")</f>
        <v>0.0493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HYPERLINK("http://141.218.60.56/~jnz1568/getInfo.php?workbook=12_04.xlsx&amp;sheet=U0&amp;row=6360&amp;col=6&amp;number=4.6&amp;sourceID=14","4.6")</f>
        <v>4.6</v>
      </c>
      <c r="G6360" s="4" t="str">
        <f>HYPERLINK("http://141.218.60.56/~jnz1568/getInfo.php?workbook=12_04.xlsx&amp;sheet=U0&amp;row=6360&amp;col=7&amp;number=0.0471&amp;sourceID=14","0.0471")</f>
        <v>0.0471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HYPERLINK("http://141.218.60.56/~jnz1568/getInfo.php?workbook=12_04.xlsx&amp;sheet=U0&amp;row=6361&amp;col=6&amp;number=4.7&amp;sourceID=14","4.7")</f>
        <v>4.7</v>
      </c>
      <c r="G6361" s="4" t="str">
        <f>HYPERLINK("http://141.218.60.56/~jnz1568/getInfo.php?workbook=12_04.xlsx&amp;sheet=U0&amp;row=6361&amp;col=7&amp;number=0.0446&amp;sourceID=14","0.0446")</f>
        <v>0.0446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HYPERLINK("http://141.218.60.56/~jnz1568/getInfo.php?workbook=12_04.xlsx&amp;sheet=U0&amp;row=6362&amp;col=6&amp;number=4.8&amp;sourceID=14","4.8")</f>
        <v>4.8</v>
      </c>
      <c r="G6362" s="4" t="str">
        <f>HYPERLINK("http://141.218.60.56/~jnz1568/getInfo.php?workbook=12_04.xlsx&amp;sheet=U0&amp;row=6362&amp;col=7&amp;number=0.0418&amp;sourceID=14","0.0418")</f>
        <v>0.0418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HYPERLINK("http://141.218.60.56/~jnz1568/getInfo.php?workbook=12_04.xlsx&amp;sheet=U0&amp;row=6363&amp;col=6&amp;number=4.9&amp;sourceID=14","4.9")</f>
        <v>4.9</v>
      </c>
      <c r="G6363" s="4" t="str">
        <f>HYPERLINK("http://141.218.60.56/~jnz1568/getInfo.php?workbook=12_04.xlsx&amp;sheet=U0&amp;row=6363&amp;col=7&amp;number=0.0389&amp;sourceID=14","0.0389")</f>
        <v>0.0389</v>
      </c>
    </row>
    <row r="6364" spans="1:7">
      <c r="A6364" s="3">
        <v>12</v>
      </c>
      <c r="B6364" s="3">
        <v>4</v>
      </c>
      <c r="C6364" s="3">
        <v>4</v>
      </c>
      <c r="D6364" s="3">
        <v>35</v>
      </c>
      <c r="E6364" s="3">
        <v>1</v>
      </c>
      <c r="F6364" s="4" t="str">
        <f>HYPERLINK("http://141.218.60.56/~jnz1568/getInfo.php?workbook=12_04.xlsx&amp;sheet=U0&amp;row=6364&amp;col=6&amp;number=3&amp;sourceID=14","3")</f>
        <v>3</v>
      </c>
      <c r="G6364" s="4" t="str">
        <f>HYPERLINK("http://141.218.60.56/~jnz1568/getInfo.php?workbook=12_04.xlsx&amp;sheet=U0&amp;row=6364&amp;col=7&amp;number=0.038&amp;sourceID=14","0.038")</f>
        <v>0.038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HYPERLINK("http://141.218.60.56/~jnz1568/getInfo.php?workbook=12_04.xlsx&amp;sheet=U0&amp;row=6365&amp;col=6&amp;number=3.1&amp;sourceID=14","3.1")</f>
        <v>3.1</v>
      </c>
      <c r="G6365" s="4" t="str">
        <f>HYPERLINK("http://141.218.60.56/~jnz1568/getInfo.php?workbook=12_04.xlsx&amp;sheet=U0&amp;row=6365&amp;col=7&amp;number=0.0379&amp;sourceID=14","0.0379")</f>
        <v>0.0379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HYPERLINK("http://141.218.60.56/~jnz1568/getInfo.php?workbook=12_04.xlsx&amp;sheet=U0&amp;row=6366&amp;col=6&amp;number=3.2&amp;sourceID=14","3.2")</f>
        <v>3.2</v>
      </c>
      <c r="G6366" s="4" t="str">
        <f>HYPERLINK("http://141.218.60.56/~jnz1568/getInfo.php?workbook=12_04.xlsx&amp;sheet=U0&amp;row=6366&amp;col=7&amp;number=0.0379&amp;sourceID=14","0.0379")</f>
        <v>0.0379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HYPERLINK("http://141.218.60.56/~jnz1568/getInfo.php?workbook=12_04.xlsx&amp;sheet=U0&amp;row=6367&amp;col=6&amp;number=3.3&amp;sourceID=14","3.3")</f>
        <v>3.3</v>
      </c>
      <c r="G6367" s="4" t="str">
        <f>HYPERLINK("http://141.218.60.56/~jnz1568/getInfo.php?workbook=12_04.xlsx&amp;sheet=U0&amp;row=6367&amp;col=7&amp;number=0.0378&amp;sourceID=14","0.0378")</f>
        <v>0.0378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HYPERLINK("http://141.218.60.56/~jnz1568/getInfo.php?workbook=12_04.xlsx&amp;sheet=U0&amp;row=6368&amp;col=6&amp;number=3.4&amp;sourceID=14","3.4")</f>
        <v>3.4</v>
      </c>
      <c r="G6368" s="4" t="str">
        <f>HYPERLINK("http://141.218.60.56/~jnz1568/getInfo.php?workbook=12_04.xlsx&amp;sheet=U0&amp;row=6368&amp;col=7&amp;number=0.0377&amp;sourceID=14","0.0377")</f>
        <v>0.0377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HYPERLINK("http://141.218.60.56/~jnz1568/getInfo.php?workbook=12_04.xlsx&amp;sheet=U0&amp;row=6369&amp;col=6&amp;number=3.5&amp;sourceID=14","3.5")</f>
        <v>3.5</v>
      </c>
      <c r="G6369" s="4" t="str">
        <f>HYPERLINK("http://141.218.60.56/~jnz1568/getInfo.php?workbook=12_04.xlsx&amp;sheet=U0&amp;row=6369&amp;col=7&amp;number=0.0375&amp;sourceID=14","0.0375")</f>
        <v>0.0375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HYPERLINK("http://141.218.60.56/~jnz1568/getInfo.php?workbook=12_04.xlsx&amp;sheet=U0&amp;row=6370&amp;col=6&amp;number=3.6&amp;sourceID=14","3.6")</f>
        <v>3.6</v>
      </c>
      <c r="G6370" s="4" t="str">
        <f>HYPERLINK("http://141.218.60.56/~jnz1568/getInfo.php?workbook=12_04.xlsx&amp;sheet=U0&amp;row=6370&amp;col=7&amp;number=0.0373&amp;sourceID=14","0.0373")</f>
        <v>0.0373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HYPERLINK("http://141.218.60.56/~jnz1568/getInfo.php?workbook=12_04.xlsx&amp;sheet=U0&amp;row=6371&amp;col=6&amp;number=3.7&amp;sourceID=14","3.7")</f>
        <v>3.7</v>
      </c>
      <c r="G6371" s="4" t="str">
        <f>HYPERLINK("http://141.218.60.56/~jnz1568/getInfo.php?workbook=12_04.xlsx&amp;sheet=U0&amp;row=6371&amp;col=7&amp;number=0.0371&amp;sourceID=14","0.0371")</f>
        <v>0.0371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HYPERLINK("http://141.218.60.56/~jnz1568/getInfo.php?workbook=12_04.xlsx&amp;sheet=U0&amp;row=6372&amp;col=6&amp;number=3.8&amp;sourceID=14","3.8")</f>
        <v>3.8</v>
      </c>
      <c r="G6372" s="4" t="str">
        <f>HYPERLINK("http://141.218.60.56/~jnz1568/getInfo.php?workbook=12_04.xlsx&amp;sheet=U0&amp;row=6372&amp;col=7&amp;number=0.0368&amp;sourceID=14","0.0368")</f>
        <v>0.0368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HYPERLINK("http://141.218.60.56/~jnz1568/getInfo.php?workbook=12_04.xlsx&amp;sheet=U0&amp;row=6373&amp;col=6&amp;number=3.9&amp;sourceID=14","3.9")</f>
        <v>3.9</v>
      </c>
      <c r="G6373" s="4" t="str">
        <f>HYPERLINK("http://141.218.60.56/~jnz1568/getInfo.php?workbook=12_04.xlsx&amp;sheet=U0&amp;row=6373&amp;col=7&amp;number=0.0365&amp;sourceID=14","0.0365")</f>
        <v>0.0365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HYPERLINK("http://141.218.60.56/~jnz1568/getInfo.php?workbook=12_04.xlsx&amp;sheet=U0&amp;row=6374&amp;col=6&amp;number=4&amp;sourceID=14","4")</f>
        <v>4</v>
      </c>
      <c r="G6374" s="4" t="str">
        <f>HYPERLINK("http://141.218.60.56/~jnz1568/getInfo.php?workbook=12_04.xlsx&amp;sheet=U0&amp;row=6374&amp;col=7&amp;number=0.036&amp;sourceID=14","0.036")</f>
        <v>0.036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HYPERLINK("http://141.218.60.56/~jnz1568/getInfo.php?workbook=12_04.xlsx&amp;sheet=U0&amp;row=6375&amp;col=6&amp;number=4.1&amp;sourceID=14","4.1")</f>
        <v>4.1</v>
      </c>
      <c r="G6375" s="4" t="str">
        <f>HYPERLINK("http://141.218.60.56/~jnz1568/getInfo.php?workbook=12_04.xlsx&amp;sheet=U0&amp;row=6375&amp;col=7&amp;number=0.0355&amp;sourceID=14","0.0355")</f>
        <v>0.0355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HYPERLINK("http://141.218.60.56/~jnz1568/getInfo.php?workbook=12_04.xlsx&amp;sheet=U0&amp;row=6376&amp;col=6&amp;number=4.2&amp;sourceID=14","4.2")</f>
        <v>4.2</v>
      </c>
      <c r="G6376" s="4" t="str">
        <f>HYPERLINK("http://141.218.60.56/~jnz1568/getInfo.php?workbook=12_04.xlsx&amp;sheet=U0&amp;row=6376&amp;col=7&amp;number=0.0348&amp;sourceID=14","0.0348")</f>
        <v>0.0348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HYPERLINK("http://141.218.60.56/~jnz1568/getInfo.php?workbook=12_04.xlsx&amp;sheet=U0&amp;row=6377&amp;col=6&amp;number=4.3&amp;sourceID=14","4.3")</f>
        <v>4.3</v>
      </c>
      <c r="G6377" s="4" t="str">
        <f>HYPERLINK("http://141.218.60.56/~jnz1568/getInfo.php?workbook=12_04.xlsx&amp;sheet=U0&amp;row=6377&amp;col=7&amp;number=0.0339&amp;sourceID=14","0.0339")</f>
        <v>0.0339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HYPERLINK("http://141.218.60.56/~jnz1568/getInfo.php?workbook=12_04.xlsx&amp;sheet=U0&amp;row=6378&amp;col=6&amp;number=4.4&amp;sourceID=14","4.4")</f>
        <v>4.4</v>
      </c>
      <c r="G6378" s="4" t="str">
        <f>HYPERLINK("http://141.218.60.56/~jnz1568/getInfo.php?workbook=12_04.xlsx&amp;sheet=U0&amp;row=6378&amp;col=7&amp;number=0.0329&amp;sourceID=14","0.0329")</f>
        <v>0.0329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HYPERLINK("http://141.218.60.56/~jnz1568/getInfo.php?workbook=12_04.xlsx&amp;sheet=U0&amp;row=6379&amp;col=6&amp;number=4.5&amp;sourceID=14","4.5")</f>
        <v>4.5</v>
      </c>
      <c r="G6379" s="4" t="str">
        <f>HYPERLINK("http://141.218.60.56/~jnz1568/getInfo.php?workbook=12_04.xlsx&amp;sheet=U0&amp;row=6379&amp;col=7&amp;number=0.0316&amp;sourceID=14","0.0316")</f>
        <v>0.0316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HYPERLINK("http://141.218.60.56/~jnz1568/getInfo.php?workbook=12_04.xlsx&amp;sheet=U0&amp;row=6380&amp;col=6&amp;number=4.6&amp;sourceID=14","4.6")</f>
        <v>4.6</v>
      </c>
      <c r="G6380" s="4" t="str">
        <f>HYPERLINK("http://141.218.60.56/~jnz1568/getInfo.php?workbook=12_04.xlsx&amp;sheet=U0&amp;row=6380&amp;col=7&amp;number=0.0301&amp;sourceID=14","0.0301")</f>
        <v>0.0301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HYPERLINK("http://141.218.60.56/~jnz1568/getInfo.php?workbook=12_04.xlsx&amp;sheet=U0&amp;row=6381&amp;col=6&amp;number=4.7&amp;sourceID=14","4.7")</f>
        <v>4.7</v>
      </c>
      <c r="G6381" s="4" t="str">
        <f>HYPERLINK("http://141.218.60.56/~jnz1568/getInfo.php?workbook=12_04.xlsx&amp;sheet=U0&amp;row=6381&amp;col=7&amp;number=0.0284&amp;sourceID=14","0.0284")</f>
        <v>0.0284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HYPERLINK("http://141.218.60.56/~jnz1568/getInfo.php?workbook=12_04.xlsx&amp;sheet=U0&amp;row=6382&amp;col=6&amp;number=4.8&amp;sourceID=14","4.8")</f>
        <v>4.8</v>
      </c>
      <c r="G6382" s="4" t="str">
        <f>HYPERLINK("http://141.218.60.56/~jnz1568/getInfo.php?workbook=12_04.xlsx&amp;sheet=U0&amp;row=6382&amp;col=7&amp;number=0.0265&amp;sourceID=14","0.0265")</f>
        <v>0.0265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HYPERLINK("http://141.218.60.56/~jnz1568/getInfo.php?workbook=12_04.xlsx&amp;sheet=U0&amp;row=6383&amp;col=6&amp;number=4.9&amp;sourceID=14","4.9")</f>
        <v>4.9</v>
      </c>
      <c r="G6383" s="4" t="str">
        <f>HYPERLINK("http://141.218.60.56/~jnz1568/getInfo.php?workbook=12_04.xlsx&amp;sheet=U0&amp;row=6383&amp;col=7&amp;number=0.0245&amp;sourceID=14","0.0245")</f>
        <v>0.0245</v>
      </c>
    </row>
    <row r="6384" spans="1:7">
      <c r="A6384" s="3">
        <v>12</v>
      </c>
      <c r="B6384" s="3">
        <v>4</v>
      </c>
      <c r="C6384" s="3">
        <v>4</v>
      </c>
      <c r="D6384" s="3">
        <v>36</v>
      </c>
      <c r="E6384" s="3">
        <v>1</v>
      </c>
      <c r="F6384" s="4" t="str">
        <f>HYPERLINK("http://141.218.60.56/~jnz1568/getInfo.php?workbook=12_04.xlsx&amp;sheet=U0&amp;row=6384&amp;col=6&amp;number=3&amp;sourceID=14","3")</f>
        <v>3</v>
      </c>
      <c r="G6384" s="4" t="str">
        <f>HYPERLINK("http://141.218.60.56/~jnz1568/getInfo.php?workbook=12_04.xlsx&amp;sheet=U0&amp;row=6384&amp;col=7&amp;number=0.136&amp;sourceID=14","0.136")</f>
        <v>0.136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HYPERLINK("http://141.218.60.56/~jnz1568/getInfo.php?workbook=12_04.xlsx&amp;sheet=U0&amp;row=6385&amp;col=6&amp;number=3.1&amp;sourceID=14","3.1")</f>
        <v>3.1</v>
      </c>
      <c r="G6385" s="4" t="str">
        <f>HYPERLINK("http://141.218.60.56/~jnz1568/getInfo.php?workbook=12_04.xlsx&amp;sheet=U0&amp;row=6385&amp;col=7&amp;number=0.136&amp;sourceID=14","0.136")</f>
        <v>0.136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HYPERLINK("http://141.218.60.56/~jnz1568/getInfo.php?workbook=12_04.xlsx&amp;sheet=U0&amp;row=6386&amp;col=6&amp;number=3.2&amp;sourceID=14","3.2")</f>
        <v>3.2</v>
      </c>
      <c r="G6386" s="4" t="str">
        <f>HYPERLINK("http://141.218.60.56/~jnz1568/getInfo.php?workbook=12_04.xlsx&amp;sheet=U0&amp;row=6386&amp;col=7&amp;number=0.136&amp;sourceID=14","0.136")</f>
        <v>0.136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HYPERLINK("http://141.218.60.56/~jnz1568/getInfo.php?workbook=12_04.xlsx&amp;sheet=U0&amp;row=6387&amp;col=6&amp;number=3.3&amp;sourceID=14","3.3")</f>
        <v>3.3</v>
      </c>
      <c r="G6387" s="4" t="str">
        <f>HYPERLINK("http://141.218.60.56/~jnz1568/getInfo.php?workbook=12_04.xlsx&amp;sheet=U0&amp;row=6387&amp;col=7&amp;number=0.136&amp;sourceID=14","0.136")</f>
        <v>0.136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HYPERLINK("http://141.218.60.56/~jnz1568/getInfo.php?workbook=12_04.xlsx&amp;sheet=U0&amp;row=6388&amp;col=6&amp;number=3.4&amp;sourceID=14","3.4")</f>
        <v>3.4</v>
      </c>
      <c r="G6388" s="4" t="str">
        <f>HYPERLINK("http://141.218.60.56/~jnz1568/getInfo.php?workbook=12_04.xlsx&amp;sheet=U0&amp;row=6388&amp;col=7&amp;number=0.136&amp;sourceID=14","0.136")</f>
        <v>0.136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HYPERLINK("http://141.218.60.56/~jnz1568/getInfo.php?workbook=12_04.xlsx&amp;sheet=U0&amp;row=6389&amp;col=6&amp;number=3.5&amp;sourceID=14","3.5")</f>
        <v>3.5</v>
      </c>
      <c r="G6389" s="4" t="str">
        <f>HYPERLINK("http://141.218.60.56/~jnz1568/getInfo.php?workbook=12_04.xlsx&amp;sheet=U0&amp;row=6389&amp;col=7&amp;number=0.136&amp;sourceID=14","0.136")</f>
        <v>0.136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HYPERLINK("http://141.218.60.56/~jnz1568/getInfo.php?workbook=12_04.xlsx&amp;sheet=U0&amp;row=6390&amp;col=6&amp;number=3.6&amp;sourceID=14","3.6")</f>
        <v>3.6</v>
      </c>
      <c r="G6390" s="4" t="str">
        <f>HYPERLINK("http://141.218.60.56/~jnz1568/getInfo.php?workbook=12_04.xlsx&amp;sheet=U0&amp;row=6390&amp;col=7&amp;number=0.135&amp;sourceID=14","0.135")</f>
        <v>0.135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HYPERLINK("http://141.218.60.56/~jnz1568/getInfo.php?workbook=12_04.xlsx&amp;sheet=U0&amp;row=6391&amp;col=6&amp;number=3.7&amp;sourceID=14","3.7")</f>
        <v>3.7</v>
      </c>
      <c r="G6391" s="4" t="str">
        <f>HYPERLINK("http://141.218.60.56/~jnz1568/getInfo.php?workbook=12_04.xlsx&amp;sheet=U0&amp;row=6391&amp;col=7&amp;number=0.135&amp;sourceID=14","0.135")</f>
        <v>0.135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HYPERLINK("http://141.218.60.56/~jnz1568/getInfo.php?workbook=12_04.xlsx&amp;sheet=U0&amp;row=6392&amp;col=6&amp;number=3.8&amp;sourceID=14","3.8")</f>
        <v>3.8</v>
      </c>
      <c r="G6392" s="4" t="str">
        <f>HYPERLINK("http://141.218.60.56/~jnz1568/getInfo.php?workbook=12_04.xlsx&amp;sheet=U0&amp;row=6392&amp;col=7&amp;number=0.135&amp;sourceID=14","0.135")</f>
        <v>0.135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HYPERLINK("http://141.218.60.56/~jnz1568/getInfo.php?workbook=12_04.xlsx&amp;sheet=U0&amp;row=6393&amp;col=6&amp;number=3.9&amp;sourceID=14","3.9")</f>
        <v>3.9</v>
      </c>
      <c r="G6393" s="4" t="str">
        <f>HYPERLINK("http://141.218.60.56/~jnz1568/getInfo.php?workbook=12_04.xlsx&amp;sheet=U0&amp;row=6393&amp;col=7&amp;number=0.134&amp;sourceID=14","0.134")</f>
        <v>0.134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HYPERLINK("http://141.218.60.56/~jnz1568/getInfo.php?workbook=12_04.xlsx&amp;sheet=U0&amp;row=6394&amp;col=6&amp;number=4&amp;sourceID=14","4")</f>
        <v>4</v>
      </c>
      <c r="G6394" s="4" t="str">
        <f>HYPERLINK("http://141.218.60.56/~jnz1568/getInfo.php?workbook=12_04.xlsx&amp;sheet=U0&amp;row=6394&amp;col=7&amp;number=0.134&amp;sourceID=14","0.134")</f>
        <v>0.134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HYPERLINK("http://141.218.60.56/~jnz1568/getInfo.php?workbook=12_04.xlsx&amp;sheet=U0&amp;row=6395&amp;col=6&amp;number=4.1&amp;sourceID=14","4.1")</f>
        <v>4.1</v>
      </c>
      <c r="G6395" s="4" t="str">
        <f>HYPERLINK("http://141.218.60.56/~jnz1568/getInfo.php?workbook=12_04.xlsx&amp;sheet=U0&amp;row=6395&amp;col=7&amp;number=0.133&amp;sourceID=14","0.133")</f>
        <v>0.133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HYPERLINK("http://141.218.60.56/~jnz1568/getInfo.php?workbook=12_04.xlsx&amp;sheet=U0&amp;row=6396&amp;col=6&amp;number=4.2&amp;sourceID=14","4.2")</f>
        <v>4.2</v>
      </c>
      <c r="G6396" s="4" t="str">
        <f>HYPERLINK("http://141.218.60.56/~jnz1568/getInfo.php?workbook=12_04.xlsx&amp;sheet=U0&amp;row=6396&amp;col=7&amp;number=0.133&amp;sourceID=14","0.133")</f>
        <v>0.133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HYPERLINK("http://141.218.60.56/~jnz1568/getInfo.php?workbook=12_04.xlsx&amp;sheet=U0&amp;row=6397&amp;col=6&amp;number=4.3&amp;sourceID=14","4.3")</f>
        <v>4.3</v>
      </c>
      <c r="G6397" s="4" t="str">
        <f>HYPERLINK("http://141.218.60.56/~jnz1568/getInfo.php?workbook=12_04.xlsx&amp;sheet=U0&amp;row=6397&amp;col=7&amp;number=0.132&amp;sourceID=14","0.132")</f>
        <v>0.132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HYPERLINK("http://141.218.60.56/~jnz1568/getInfo.php?workbook=12_04.xlsx&amp;sheet=U0&amp;row=6398&amp;col=6&amp;number=4.4&amp;sourceID=14","4.4")</f>
        <v>4.4</v>
      </c>
      <c r="G6398" s="4" t="str">
        <f>HYPERLINK("http://141.218.60.56/~jnz1568/getInfo.php?workbook=12_04.xlsx&amp;sheet=U0&amp;row=6398&amp;col=7&amp;number=0.131&amp;sourceID=14","0.131")</f>
        <v>0.131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HYPERLINK("http://141.218.60.56/~jnz1568/getInfo.php?workbook=12_04.xlsx&amp;sheet=U0&amp;row=6399&amp;col=6&amp;number=4.5&amp;sourceID=14","4.5")</f>
        <v>4.5</v>
      </c>
      <c r="G6399" s="4" t="str">
        <f>HYPERLINK("http://141.218.60.56/~jnz1568/getInfo.php?workbook=12_04.xlsx&amp;sheet=U0&amp;row=6399&amp;col=7&amp;number=0.129&amp;sourceID=14","0.129")</f>
        <v>0.129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HYPERLINK("http://141.218.60.56/~jnz1568/getInfo.php?workbook=12_04.xlsx&amp;sheet=U0&amp;row=6400&amp;col=6&amp;number=4.6&amp;sourceID=14","4.6")</f>
        <v>4.6</v>
      </c>
      <c r="G6400" s="4" t="str">
        <f>HYPERLINK("http://141.218.60.56/~jnz1568/getInfo.php?workbook=12_04.xlsx&amp;sheet=U0&amp;row=6400&amp;col=7&amp;number=0.127&amp;sourceID=14","0.127")</f>
        <v>0.127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HYPERLINK("http://141.218.60.56/~jnz1568/getInfo.php?workbook=12_04.xlsx&amp;sheet=U0&amp;row=6401&amp;col=6&amp;number=4.7&amp;sourceID=14","4.7")</f>
        <v>4.7</v>
      </c>
      <c r="G6401" s="4" t="str">
        <f>HYPERLINK("http://141.218.60.56/~jnz1568/getInfo.php?workbook=12_04.xlsx&amp;sheet=U0&amp;row=6401&amp;col=7&amp;number=0.125&amp;sourceID=14","0.125")</f>
        <v>0.125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HYPERLINK("http://141.218.60.56/~jnz1568/getInfo.php?workbook=12_04.xlsx&amp;sheet=U0&amp;row=6402&amp;col=6&amp;number=4.8&amp;sourceID=14","4.8")</f>
        <v>4.8</v>
      </c>
      <c r="G6402" s="4" t="str">
        <f>HYPERLINK("http://141.218.60.56/~jnz1568/getInfo.php?workbook=12_04.xlsx&amp;sheet=U0&amp;row=6402&amp;col=7&amp;number=0.123&amp;sourceID=14","0.123")</f>
        <v>0.123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HYPERLINK("http://141.218.60.56/~jnz1568/getInfo.php?workbook=12_04.xlsx&amp;sheet=U0&amp;row=6403&amp;col=6&amp;number=4.9&amp;sourceID=14","4.9")</f>
        <v>4.9</v>
      </c>
      <c r="G6403" s="4" t="str">
        <f>HYPERLINK("http://141.218.60.56/~jnz1568/getInfo.php?workbook=12_04.xlsx&amp;sheet=U0&amp;row=6403&amp;col=7&amp;number=0.12&amp;sourceID=14","0.12")</f>
        <v>0.12</v>
      </c>
    </row>
    <row r="6404" spans="1:7">
      <c r="A6404" s="3">
        <v>12</v>
      </c>
      <c r="B6404" s="3">
        <v>4</v>
      </c>
      <c r="C6404" s="3">
        <v>4</v>
      </c>
      <c r="D6404" s="3">
        <v>37</v>
      </c>
      <c r="E6404" s="3">
        <v>1</v>
      </c>
      <c r="F6404" s="4" t="str">
        <f>HYPERLINK("http://141.218.60.56/~jnz1568/getInfo.php?workbook=12_04.xlsx&amp;sheet=U0&amp;row=6404&amp;col=6&amp;number=3&amp;sourceID=14","3")</f>
        <v>3</v>
      </c>
      <c r="G6404" s="4" t="str">
        <f>HYPERLINK("http://141.218.60.56/~jnz1568/getInfo.php?workbook=12_04.xlsx&amp;sheet=U0&amp;row=6404&amp;col=7&amp;number=0.0246&amp;sourceID=14","0.0246")</f>
        <v>0.0246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HYPERLINK("http://141.218.60.56/~jnz1568/getInfo.php?workbook=12_04.xlsx&amp;sheet=U0&amp;row=6405&amp;col=6&amp;number=3.1&amp;sourceID=14","3.1")</f>
        <v>3.1</v>
      </c>
      <c r="G6405" s="4" t="str">
        <f>HYPERLINK("http://141.218.60.56/~jnz1568/getInfo.php?workbook=12_04.xlsx&amp;sheet=U0&amp;row=6405&amp;col=7&amp;number=0.0246&amp;sourceID=14","0.0246")</f>
        <v>0.0246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HYPERLINK("http://141.218.60.56/~jnz1568/getInfo.php?workbook=12_04.xlsx&amp;sheet=U0&amp;row=6406&amp;col=6&amp;number=3.2&amp;sourceID=14","3.2")</f>
        <v>3.2</v>
      </c>
      <c r="G6406" s="4" t="str">
        <f>HYPERLINK("http://141.218.60.56/~jnz1568/getInfo.php?workbook=12_04.xlsx&amp;sheet=U0&amp;row=6406&amp;col=7&amp;number=0.0246&amp;sourceID=14","0.0246")</f>
        <v>0.0246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HYPERLINK("http://141.218.60.56/~jnz1568/getInfo.php?workbook=12_04.xlsx&amp;sheet=U0&amp;row=6407&amp;col=6&amp;number=3.3&amp;sourceID=14","3.3")</f>
        <v>3.3</v>
      </c>
      <c r="G6407" s="4" t="str">
        <f>HYPERLINK("http://141.218.60.56/~jnz1568/getInfo.php?workbook=12_04.xlsx&amp;sheet=U0&amp;row=6407&amp;col=7&amp;number=0.0246&amp;sourceID=14","0.0246")</f>
        <v>0.0246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HYPERLINK("http://141.218.60.56/~jnz1568/getInfo.php?workbook=12_04.xlsx&amp;sheet=U0&amp;row=6408&amp;col=6&amp;number=3.4&amp;sourceID=14","3.4")</f>
        <v>3.4</v>
      </c>
      <c r="G6408" s="4" t="str">
        <f>HYPERLINK("http://141.218.60.56/~jnz1568/getInfo.php?workbook=12_04.xlsx&amp;sheet=U0&amp;row=6408&amp;col=7&amp;number=0.0245&amp;sourceID=14","0.0245")</f>
        <v>0.0245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HYPERLINK("http://141.218.60.56/~jnz1568/getInfo.php?workbook=12_04.xlsx&amp;sheet=U0&amp;row=6409&amp;col=6&amp;number=3.5&amp;sourceID=14","3.5")</f>
        <v>3.5</v>
      </c>
      <c r="G6409" s="4" t="str">
        <f>HYPERLINK("http://141.218.60.56/~jnz1568/getInfo.php?workbook=12_04.xlsx&amp;sheet=U0&amp;row=6409&amp;col=7&amp;number=0.0245&amp;sourceID=14","0.0245")</f>
        <v>0.0245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HYPERLINK("http://141.218.60.56/~jnz1568/getInfo.php?workbook=12_04.xlsx&amp;sheet=U0&amp;row=6410&amp;col=6&amp;number=3.6&amp;sourceID=14","3.6")</f>
        <v>3.6</v>
      </c>
      <c r="G6410" s="4" t="str">
        <f>HYPERLINK("http://141.218.60.56/~jnz1568/getInfo.php?workbook=12_04.xlsx&amp;sheet=U0&amp;row=6410&amp;col=7&amp;number=0.0245&amp;sourceID=14","0.0245")</f>
        <v>0.0245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HYPERLINK("http://141.218.60.56/~jnz1568/getInfo.php?workbook=12_04.xlsx&amp;sheet=U0&amp;row=6411&amp;col=6&amp;number=3.7&amp;sourceID=14","3.7")</f>
        <v>3.7</v>
      </c>
      <c r="G6411" s="4" t="str">
        <f>HYPERLINK("http://141.218.60.56/~jnz1568/getInfo.php?workbook=12_04.xlsx&amp;sheet=U0&amp;row=6411&amp;col=7&amp;number=0.0244&amp;sourceID=14","0.0244")</f>
        <v>0.0244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HYPERLINK("http://141.218.60.56/~jnz1568/getInfo.php?workbook=12_04.xlsx&amp;sheet=U0&amp;row=6412&amp;col=6&amp;number=3.8&amp;sourceID=14","3.8")</f>
        <v>3.8</v>
      </c>
      <c r="G6412" s="4" t="str">
        <f>HYPERLINK("http://141.218.60.56/~jnz1568/getInfo.php?workbook=12_04.xlsx&amp;sheet=U0&amp;row=6412&amp;col=7&amp;number=0.0243&amp;sourceID=14","0.0243")</f>
        <v>0.0243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HYPERLINK("http://141.218.60.56/~jnz1568/getInfo.php?workbook=12_04.xlsx&amp;sheet=U0&amp;row=6413&amp;col=6&amp;number=3.9&amp;sourceID=14","3.9")</f>
        <v>3.9</v>
      </c>
      <c r="G6413" s="4" t="str">
        <f>HYPERLINK("http://141.218.60.56/~jnz1568/getInfo.php?workbook=12_04.xlsx&amp;sheet=U0&amp;row=6413&amp;col=7&amp;number=0.0242&amp;sourceID=14","0.0242")</f>
        <v>0.0242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HYPERLINK("http://141.218.60.56/~jnz1568/getInfo.php?workbook=12_04.xlsx&amp;sheet=U0&amp;row=6414&amp;col=6&amp;number=4&amp;sourceID=14","4")</f>
        <v>4</v>
      </c>
      <c r="G6414" s="4" t="str">
        <f>HYPERLINK("http://141.218.60.56/~jnz1568/getInfo.php?workbook=12_04.xlsx&amp;sheet=U0&amp;row=6414&amp;col=7&amp;number=0.0241&amp;sourceID=14","0.0241")</f>
        <v>0.0241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HYPERLINK("http://141.218.60.56/~jnz1568/getInfo.php?workbook=12_04.xlsx&amp;sheet=U0&amp;row=6415&amp;col=6&amp;number=4.1&amp;sourceID=14","4.1")</f>
        <v>4.1</v>
      </c>
      <c r="G6415" s="4" t="str">
        <f>HYPERLINK("http://141.218.60.56/~jnz1568/getInfo.php?workbook=12_04.xlsx&amp;sheet=U0&amp;row=6415&amp;col=7&amp;number=0.0239&amp;sourceID=14","0.0239")</f>
        <v>0.0239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HYPERLINK("http://141.218.60.56/~jnz1568/getInfo.php?workbook=12_04.xlsx&amp;sheet=U0&amp;row=6416&amp;col=6&amp;number=4.2&amp;sourceID=14","4.2")</f>
        <v>4.2</v>
      </c>
      <c r="G6416" s="4" t="str">
        <f>HYPERLINK("http://141.218.60.56/~jnz1568/getInfo.php?workbook=12_04.xlsx&amp;sheet=U0&amp;row=6416&amp;col=7&amp;number=0.0237&amp;sourceID=14","0.0237")</f>
        <v>0.0237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HYPERLINK("http://141.218.60.56/~jnz1568/getInfo.php?workbook=12_04.xlsx&amp;sheet=U0&amp;row=6417&amp;col=6&amp;number=4.3&amp;sourceID=14","4.3")</f>
        <v>4.3</v>
      </c>
      <c r="G6417" s="4" t="str">
        <f>HYPERLINK("http://141.218.60.56/~jnz1568/getInfo.php?workbook=12_04.xlsx&amp;sheet=U0&amp;row=6417&amp;col=7&amp;number=0.0235&amp;sourceID=14","0.0235")</f>
        <v>0.0235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HYPERLINK("http://141.218.60.56/~jnz1568/getInfo.php?workbook=12_04.xlsx&amp;sheet=U0&amp;row=6418&amp;col=6&amp;number=4.4&amp;sourceID=14","4.4")</f>
        <v>4.4</v>
      </c>
      <c r="G6418" s="4" t="str">
        <f>HYPERLINK("http://141.218.60.56/~jnz1568/getInfo.php?workbook=12_04.xlsx&amp;sheet=U0&amp;row=6418&amp;col=7&amp;number=0.0232&amp;sourceID=14","0.0232")</f>
        <v>0.0232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HYPERLINK("http://141.218.60.56/~jnz1568/getInfo.php?workbook=12_04.xlsx&amp;sheet=U0&amp;row=6419&amp;col=6&amp;number=4.5&amp;sourceID=14","4.5")</f>
        <v>4.5</v>
      </c>
      <c r="G6419" s="4" t="str">
        <f>HYPERLINK("http://141.218.60.56/~jnz1568/getInfo.php?workbook=12_04.xlsx&amp;sheet=U0&amp;row=6419&amp;col=7&amp;number=0.0228&amp;sourceID=14","0.0228")</f>
        <v>0.0228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HYPERLINK("http://141.218.60.56/~jnz1568/getInfo.php?workbook=12_04.xlsx&amp;sheet=U0&amp;row=6420&amp;col=6&amp;number=4.6&amp;sourceID=14","4.6")</f>
        <v>4.6</v>
      </c>
      <c r="G6420" s="4" t="str">
        <f>HYPERLINK("http://141.218.60.56/~jnz1568/getInfo.php?workbook=12_04.xlsx&amp;sheet=U0&amp;row=6420&amp;col=7&amp;number=0.0224&amp;sourceID=14","0.0224")</f>
        <v>0.0224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HYPERLINK("http://141.218.60.56/~jnz1568/getInfo.php?workbook=12_04.xlsx&amp;sheet=U0&amp;row=6421&amp;col=6&amp;number=4.7&amp;sourceID=14","4.7")</f>
        <v>4.7</v>
      </c>
      <c r="G6421" s="4" t="str">
        <f>HYPERLINK("http://141.218.60.56/~jnz1568/getInfo.php?workbook=12_04.xlsx&amp;sheet=U0&amp;row=6421&amp;col=7&amp;number=0.0218&amp;sourceID=14","0.0218")</f>
        <v>0.0218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HYPERLINK("http://141.218.60.56/~jnz1568/getInfo.php?workbook=12_04.xlsx&amp;sheet=U0&amp;row=6422&amp;col=6&amp;number=4.8&amp;sourceID=14","4.8")</f>
        <v>4.8</v>
      </c>
      <c r="G6422" s="4" t="str">
        <f>HYPERLINK("http://141.218.60.56/~jnz1568/getInfo.php?workbook=12_04.xlsx&amp;sheet=U0&amp;row=6422&amp;col=7&amp;number=0.0211&amp;sourceID=14","0.0211")</f>
        <v>0.0211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HYPERLINK("http://141.218.60.56/~jnz1568/getInfo.php?workbook=12_04.xlsx&amp;sheet=U0&amp;row=6423&amp;col=6&amp;number=4.9&amp;sourceID=14","4.9")</f>
        <v>4.9</v>
      </c>
      <c r="G6423" s="4" t="str">
        <f>HYPERLINK("http://141.218.60.56/~jnz1568/getInfo.php?workbook=12_04.xlsx&amp;sheet=U0&amp;row=6423&amp;col=7&amp;number=0.0202&amp;sourceID=14","0.0202")</f>
        <v>0.0202</v>
      </c>
    </row>
    <row r="6424" spans="1:7">
      <c r="A6424" s="3">
        <v>12</v>
      </c>
      <c r="B6424" s="3">
        <v>4</v>
      </c>
      <c r="C6424" s="3">
        <v>4</v>
      </c>
      <c r="D6424" s="3">
        <v>38</v>
      </c>
      <c r="E6424" s="3">
        <v>1</v>
      </c>
      <c r="F6424" s="4" t="str">
        <f>HYPERLINK("http://141.218.60.56/~jnz1568/getInfo.php?workbook=12_04.xlsx&amp;sheet=U0&amp;row=6424&amp;col=6&amp;number=3&amp;sourceID=14","3")</f>
        <v>3</v>
      </c>
      <c r="G6424" s="4" t="str">
        <f>HYPERLINK("http://141.218.60.56/~jnz1568/getInfo.php?workbook=12_04.xlsx&amp;sheet=U0&amp;row=6424&amp;col=7&amp;number=0.0107&amp;sourceID=14","0.0107")</f>
        <v>0.0107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HYPERLINK("http://141.218.60.56/~jnz1568/getInfo.php?workbook=12_04.xlsx&amp;sheet=U0&amp;row=6425&amp;col=6&amp;number=3.1&amp;sourceID=14","3.1")</f>
        <v>3.1</v>
      </c>
      <c r="G6425" s="4" t="str">
        <f>HYPERLINK("http://141.218.60.56/~jnz1568/getInfo.php?workbook=12_04.xlsx&amp;sheet=U0&amp;row=6425&amp;col=7&amp;number=0.0106&amp;sourceID=14","0.0106")</f>
        <v>0.0106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HYPERLINK("http://141.218.60.56/~jnz1568/getInfo.php?workbook=12_04.xlsx&amp;sheet=U0&amp;row=6426&amp;col=6&amp;number=3.2&amp;sourceID=14","3.2")</f>
        <v>3.2</v>
      </c>
      <c r="G6426" s="4" t="str">
        <f>HYPERLINK("http://141.218.60.56/~jnz1568/getInfo.php?workbook=12_04.xlsx&amp;sheet=U0&amp;row=6426&amp;col=7&amp;number=0.0106&amp;sourceID=14","0.0106")</f>
        <v>0.0106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HYPERLINK("http://141.218.60.56/~jnz1568/getInfo.php?workbook=12_04.xlsx&amp;sheet=U0&amp;row=6427&amp;col=6&amp;number=3.3&amp;sourceID=14","3.3")</f>
        <v>3.3</v>
      </c>
      <c r="G6427" s="4" t="str">
        <f>HYPERLINK("http://141.218.60.56/~jnz1568/getInfo.php?workbook=12_04.xlsx&amp;sheet=U0&amp;row=6427&amp;col=7&amp;number=0.0106&amp;sourceID=14","0.0106")</f>
        <v>0.0106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HYPERLINK("http://141.218.60.56/~jnz1568/getInfo.php?workbook=12_04.xlsx&amp;sheet=U0&amp;row=6428&amp;col=6&amp;number=3.4&amp;sourceID=14","3.4")</f>
        <v>3.4</v>
      </c>
      <c r="G6428" s="4" t="str">
        <f>HYPERLINK("http://141.218.60.56/~jnz1568/getInfo.php?workbook=12_04.xlsx&amp;sheet=U0&amp;row=6428&amp;col=7&amp;number=0.0106&amp;sourceID=14","0.0106")</f>
        <v>0.0106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HYPERLINK("http://141.218.60.56/~jnz1568/getInfo.php?workbook=12_04.xlsx&amp;sheet=U0&amp;row=6429&amp;col=6&amp;number=3.5&amp;sourceID=14","3.5")</f>
        <v>3.5</v>
      </c>
      <c r="G6429" s="4" t="str">
        <f>HYPERLINK("http://141.218.60.56/~jnz1568/getInfo.php?workbook=12_04.xlsx&amp;sheet=U0&amp;row=6429&amp;col=7&amp;number=0.0106&amp;sourceID=14","0.0106")</f>
        <v>0.0106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HYPERLINK("http://141.218.60.56/~jnz1568/getInfo.php?workbook=12_04.xlsx&amp;sheet=U0&amp;row=6430&amp;col=6&amp;number=3.6&amp;sourceID=14","3.6")</f>
        <v>3.6</v>
      </c>
      <c r="G6430" s="4" t="str">
        <f>HYPERLINK("http://141.218.60.56/~jnz1568/getInfo.php?workbook=12_04.xlsx&amp;sheet=U0&amp;row=6430&amp;col=7&amp;number=0.0106&amp;sourceID=14","0.0106")</f>
        <v>0.0106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HYPERLINK("http://141.218.60.56/~jnz1568/getInfo.php?workbook=12_04.xlsx&amp;sheet=U0&amp;row=6431&amp;col=6&amp;number=3.7&amp;sourceID=14","3.7")</f>
        <v>3.7</v>
      </c>
      <c r="G6431" s="4" t="str">
        <f>HYPERLINK("http://141.218.60.56/~jnz1568/getInfo.php?workbook=12_04.xlsx&amp;sheet=U0&amp;row=6431&amp;col=7&amp;number=0.0106&amp;sourceID=14","0.0106")</f>
        <v>0.0106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HYPERLINK("http://141.218.60.56/~jnz1568/getInfo.php?workbook=12_04.xlsx&amp;sheet=U0&amp;row=6432&amp;col=6&amp;number=3.8&amp;sourceID=14","3.8")</f>
        <v>3.8</v>
      </c>
      <c r="G6432" s="4" t="str">
        <f>HYPERLINK("http://141.218.60.56/~jnz1568/getInfo.php?workbook=12_04.xlsx&amp;sheet=U0&amp;row=6432&amp;col=7&amp;number=0.0105&amp;sourceID=14","0.0105")</f>
        <v>0.0105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HYPERLINK("http://141.218.60.56/~jnz1568/getInfo.php?workbook=12_04.xlsx&amp;sheet=U0&amp;row=6433&amp;col=6&amp;number=3.9&amp;sourceID=14","3.9")</f>
        <v>3.9</v>
      </c>
      <c r="G6433" s="4" t="str">
        <f>HYPERLINK("http://141.218.60.56/~jnz1568/getInfo.php?workbook=12_04.xlsx&amp;sheet=U0&amp;row=6433&amp;col=7&amp;number=0.0105&amp;sourceID=14","0.0105")</f>
        <v>0.0105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HYPERLINK("http://141.218.60.56/~jnz1568/getInfo.php?workbook=12_04.xlsx&amp;sheet=U0&amp;row=6434&amp;col=6&amp;number=4&amp;sourceID=14","4")</f>
        <v>4</v>
      </c>
      <c r="G6434" s="4" t="str">
        <f>HYPERLINK("http://141.218.60.56/~jnz1568/getInfo.php?workbook=12_04.xlsx&amp;sheet=U0&amp;row=6434&amp;col=7&amp;number=0.0104&amp;sourceID=14","0.0104")</f>
        <v>0.0104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HYPERLINK("http://141.218.60.56/~jnz1568/getInfo.php?workbook=12_04.xlsx&amp;sheet=U0&amp;row=6435&amp;col=6&amp;number=4.1&amp;sourceID=14","4.1")</f>
        <v>4.1</v>
      </c>
      <c r="G6435" s="4" t="str">
        <f>HYPERLINK("http://141.218.60.56/~jnz1568/getInfo.php?workbook=12_04.xlsx&amp;sheet=U0&amp;row=6435&amp;col=7&amp;number=0.0104&amp;sourceID=14","0.0104")</f>
        <v>0.0104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HYPERLINK("http://141.218.60.56/~jnz1568/getInfo.php?workbook=12_04.xlsx&amp;sheet=U0&amp;row=6436&amp;col=6&amp;number=4.2&amp;sourceID=14","4.2")</f>
        <v>4.2</v>
      </c>
      <c r="G6436" s="4" t="str">
        <f>HYPERLINK("http://141.218.60.56/~jnz1568/getInfo.php?workbook=12_04.xlsx&amp;sheet=U0&amp;row=6436&amp;col=7&amp;number=0.0103&amp;sourceID=14","0.0103")</f>
        <v>0.0103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HYPERLINK("http://141.218.60.56/~jnz1568/getInfo.php?workbook=12_04.xlsx&amp;sheet=U0&amp;row=6437&amp;col=6&amp;number=4.3&amp;sourceID=14","4.3")</f>
        <v>4.3</v>
      </c>
      <c r="G6437" s="4" t="str">
        <f>HYPERLINK("http://141.218.60.56/~jnz1568/getInfo.php?workbook=12_04.xlsx&amp;sheet=U0&amp;row=6437&amp;col=7&amp;number=0.0102&amp;sourceID=14","0.0102")</f>
        <v>0.0102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HYPERLINK("http://141.218.60.56/~jnz1568/getInfo.php?workbook=12_04.xlsx&amp;sheet=U0&amp;row=6438&amp;col=6&amp;number=4.4&amp;sourceID=14","4.4")</f>
        <v>4.4</v>
      </c>
      <c r="G6438" s="4" t="str">
        <f>HYPERLINK("http://141.218.60.56/~jnz1568/getInfo.php?workbook=12_04.xlsx&amp;sheet=U0&amp;row=6438&amp;col=7&amp;number=0.0101&amp;sourceID=14","0.0101")</f>
        <v>0.0101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HYPERLINK("http://141.218.60.56/~jnz1568/getInfo.php?workbook=12_04.xlsx&amp;sheet=U0&amp;row=6439&amp;col=6&amp;number=4.5&amp;sourceID=14","4.5")</f>
        <v>4.5</v>
      </c>
      <c r="G6439" s="4" t="str">
        <f>HYPERLINK("http://141.218.60.56/~jnz1568/getInfo.php?workbook=12_04.xlsx&amp;sheet=U0&amp;row=6439&amp;col=7&amp;number=0.00996&amp;sourceID=14","0.00996")</f>
        <v>0.00996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HYPERLINK("http://141.218.60.56/~jnz1568/getInfo.php?workbook=12_04.xlsx&amp;sheet=U0&amp;row=6440&amp;col=6&amp;number=4.6&amp;sourceID=14","4.6")</f>
        <v>4.6</v>
      </c>
      <c r="G6440" s="4" t="str">
        <f>HYPERLINK("http://141.218.60.56/~jnz1568/getInfo.php?workbook=12_04.xlsx&amp;sheet=U0&amp;row=6440&amp;col=7&amp;number=0.0098&amp;sourceID=14","0.0098")</f>
        <v>0.0098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HYPERLINK("http://141.218.60.56/~jnz1568/getInfo.php?workbook=12_04.xlsx&amp;sheet=U0&amp;row=6441&amp;col=6&amp;number=4.7&amp;sourceID=14","4.7")</f>
        <v>4.7</v>
      </c>
      <c r="G6441" s="4" t="str">
        <f>HYPERLINK("http://141.218.60.56/~jnz1568/getInfo.php?workbook=12_04.xlsx&amp;sheet=U0&amp;row=6441&amp;col=7&amp;number=0.00962&amp;sourceID=14","0.00962")</f>
        <v>0.00962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HYPERLINK("http://141.218.60.56/~jnz1568/getInfo.php?workbook=12_04.xlsx&amp;sheet=U0&amp;row=6442&amp;col=6&amp;number=4.8&amp;sourceID=14","4.8")</f>
        <v>4.8</v>
      </c>
      <c r="G6442" s="4" t="str">
        <f>HYPERLINK("http://141.218.60.56/~jnz1568/getInfo.php?workbook=12_04.xlsx&amp;sheet=U0&amp;row=6442&amp;col=7&amp;number=0.00943&amp;sourceID=14","0.00943")</f>
        <v>0.00943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HYPERLINK("http://141.218.60.56/~jnz1568/getInfo.php?workbook=12_04.xlsx&amp;sheet=U0&amp;row=6443&amp;col=6&amp;number=4.9&amp;sourceID=14","4.9")</f>
        <v>4.9</v>
      </c>
      <c r="G6443" s="4" t="str">
        <f>HYPERLINK("http://141.218.60.56/~jnz1568/getInfo.php?workbook=12_04.xlsx&amp;sheet=U0&amp;row=6443&amp;col=7&amp;number=0.00925&amp;sourceID=14","0.00925")</f>
        <v>0.00925</v>
      </c>
    </row>
    <row r="6444" spans="1:7">
      <c r="A6444" s="3">
        <v>12</v>
      </c>
      <c r="B6444" s="3">
        <v>4</v>
      </c>
      <c r="C6444" s="3">
        <v>4</v>
      </c>
      <c r="D6444" s="3">
        <v>39</v>
      </c>
      <c r="E6444" s="3">
        <v>1</v>
      </c>
      <c r="F6444" s="4" t="str">
        <f>HYPERLINK("http://141.218.60.56/~jnz1568/getInfo.php?workbook=12_04.xlsx&amp;sheet=U0&amp;row=6444&amp;col=6&amp;number=3&amp;sourceID=14","3")</f>
        <v>3</v>
      </c>
      <c r="G6444" s="4" t="str">
        <f>HYPERLINK("http://141.218.60.56/~jnz1568/getInfo.php?workbook=12_04.xlsx&amp;sheet=U0&amp;row=6444&amp;col=7&amp;number=0.0284&amp;sourceID=14","0.0284")</f>
        <v>0.0284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HYPERLINK("http://141.218.60.56/~jnz1568/getInfo.php?workbook=12_04.xlsx&amp;sheet=U0&amp;row=6445&amp;col=6&amp;number=3.1&amp;sourceID=14","3.1")</f>
        <v>3.1</v>
      </c>
      <c r="G6445" s="4" t="str">
        <f>HYPERLINK("http://141.218.60.56/~jnz1568/getInfo.php?workbook=12_04.xlsx&amp;sheet=U0&amp;row=6445&amp;col=7&amp;number=0.0284&amp;sourceID=14","0.0284")</f>
        <v>0.0284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HYPERLINK("http://141.218.60.56/~jnz1568/getInfo.php?workbook=12_04.xlsx&amp;sheet=U0&amp;row=6446&amp;col=6&amp;number=3.2&amp;sourceID=14","3.2")</f>
        <v>3.2</v>
      </c>
      <c r="G6446" s="4" t="str">
        <f>HYPERLINK("http://141.218.60.56/~jnz1568/getInfo.php?workbook=12_04.xlsx&amp;sheet=U0&amp;row=6446&amp;col=7&amp;number=0.0284&amp;sourceID=14","0.0284")</f>
        <v>0.0284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HYPERLINK("http://141.218.60.56/~jnz1568/getInfo.php?workbook=12_04.xlsx&amp;sheet=U0&amp;row=6447&amp;col=6&amp;number=3.3&amp;sourceID=14","3.3")</f>
        <v>3.3</v>
      </c>
      <c r="G6447" s="4" t="str">
        <f>HYPERLINK("http://141.218.60.56/~jnz1568/getInfo.php?workbook=12_04.xlsx&amp;sheet=U0&amp;row=6447&amp;col=7&amp;number=0.0284&amp;sourceID=14","0.0284")</f>
        <v>0.0284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HYPERLINK("http://141.218.60.56/~jnz1568/getInfo.php?workbook=12_04.xlsx&amp;sheet=U0&amp;row=6448&amp;col=6&amp;number=3.4&amp;sourceID=14","3.4")</f>
        <v>3.4</v>
      </c>
      <c r="G6448" s="4" t="str">
        <f>HYPERLINK("http://141.218.60.56/~jnz1568/getInfo.php?workbook=12_04.xlsx&amp;sheet=U0&amp;row=6448&amp;col=7&amp;number=0.0284&amp;sourceID=14","0.0284")</f>
        <v>0.0284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HYPERLINK("http://141.218.60.56/~jnz1568/getInfo.php?workbook=12_04.xlsx&amp;sheet=U0&amp;row=6449&amp;col=6&amp;number=3.5&amp;sourceID=14","3.5")</f>
        <v>3.5</v>
      </c>
      <c r="G6449" s="4" t="str">
        <f>HYPERLINK("http://141.218.60.56/~jnz1568/getInfo.php?workbook=12_04.xlsx&amp;sheet=U0&amp;row=6449&amp;col=7&amp;number=0.0284&amp;sourceID=14","0.0284")</f>
        <v>0.0284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HYPERLINK("http://141.218.60.56/~jnz1568/getInfo.php?workbook=12_04.xlsx&amp;sheet=U0&amp;row=6450&amp;col=6&amp;number=3.6&amp;sourceID=14","3.6")</f>
        <v>3.6</v>
      </c>
      <c r="G6450" s="4" t="str">
        <f>HYPERLINK("http://141.218.60.56/~jnz1568/getInfo.php?workbook=12_04.xlsx&amp;sheet=U0&amp;row=6450&amp;col=7&amp;number=0.0283&amp;sourceID=14","0.0283")</f>
        <v>0.0283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HYPERLINK("http://141.218.60.56/~jnz1568/getInfo.php?workbook=12_04.xlsx&amp;sheet=U0&amp;row=6451&amp;col=6&amp;number=3.7&amp;sourceID=14","3.7")</f>
        <v>3.7</v>
      </c>
      <c r="G6451" s="4" t="str">
        <f>HYPERLINK("http://141.218.60.56/~jnz1568/getInfo.php?workbook=12_04.xlsx&amp;sheet=U0&amp;row=6451&amp;col=7&amp;number=0.0283&amp;sourceID=14","0.0283")</f>
        <v>0.0283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HYPERLINK("http://141.218.60.56/~jnz1568/getInfo.php?workbook=12_04.xlsx&amp;sheet=U0&amp;row=6452&amp;col=6&amp;number=3.8&amp;sourceID=14","3.8")</f>
        <v>3.8</v>
      </c>
      <c r="G6452" s="4" t="str">
        <f>HYPERLINK("http://141.218.60.56/~jnz1568/getInfo.php?workbook=12_04.xlsx&amp;sheet=U0&amp;row=6452&amp;col=7&amp;number=0.0283&amp;sourceID=14","0.0283")</f>
        <v>0.0283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HYPERLINK("http://141.218.60.56/~jnz1568/getInfo.php?workbook=12_04.xlsx&amp;sheet=U0&amp;row=6453&amp;col=6&amp;number=3.9&amp;sourceID=14","3.9")</f>
        <v>3.9</v>
      </c>
      <c r="G6453" s="4" t="str">
        <f>HYPERLINK("http://141.218.60.56/~jnz1568/getInfo.php?workbook=12_04.xlsx&amp;sheet=U0&amp;row=6453&amp;col=7&amp;number=0.0283&amp;sourceID=14","0.0283")</f>
        <v>0.0283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HYPERLINK("http://141.218.60.56/~jnz1568/getInfo.php?workbook=12_04.xlsx&amp;sheet=U0&amp;row=6454&amp;col=6&amp;number=4&amp;sourceID=14","4")</f>
        <v>4</v>
      </c>
      <c r="G6454" s="4" t="str">
        <f>HYPERLINK("http://141.218.60.56/~jnz1568/getInfo.php?workbook=12_04.xlsx&amp;sheet=U0&amp;row=6454&amp;col=7&amp;number=0.0282&amp;sourceID=14","0.0282")</f>
        <v>0.0282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HYPERLINK("http://141.218.60.56/~jnz1568/getInfo.php?workbook=12_04.xlsx&amp;sheet=U0&amp;row=6455&amp;col=6&amp;number=4.1&amp;sourceID=14","4.1")</f>
        <v>4.1</v>
      </c>
      <c r="G6455" s="4" t="str">
        <f>HYPERLINK("http://141.218.60.56/~jnz1568/getInfo.php?workbook=12_04.xlsx&amp;sheet=U0&amp;row=6455&amp;col=7&amp;number=0.0282&amp;sourceID=14","0.0282")</f>
        <v>0.0282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HYPERLINK("http://141.218.60.56/~jnz1568/getInfo.php?workbook=12_04.xlsx&amp;sheet=U0&amp;row=6456&amp;col=6&amp;number=4.2&amp;sourceID=14","4.2")</f>
        <v>4.2</v>
      </c>
      <c r="G6456" s="4" t="str">
        <f>HYPERLINK("http://141.218.60.56/~jnz1568/getInfo.php?workbook=12_04.xlsx&amp;sheet=U0&amp;row=6456&amp;col=7&amp;number=0.0281&amp;sourceID=14","0.0281")</f>
        <v>0.0281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HYPERLINK("http://141.218.60.56/~jnz1568/getInfo.php?workbook=12_04.xlsx&amp;sheet=U0&amp;row=6457&amp;col=6&amp;number=4.3&amp;sourceID=14","4.3")</f>
        <v>4.3</v>
      </c>
      <c r="G6457" s="4" t="str">
        <f>HYPERLINK("http://141.218.60.56/~jnz1568/getInfo.php?workbook=12_04.xlsx&amp;sheet=U0&amp;row=6457&amp;col=7&amp;number=0.0281&amp;sourceID=14","0.0281")</f>
        <v>0.0281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HYPERLINK("http://141.218.60.56/~jnz1568/getInfo.php?workbook=12_04.xlsx&amp;sheet=U0&amp;row=6458&amp;col=6&amp;number=4.4&amp;sourceID=14","4.4")</f>
        <v>4.4</v>
      </c>
      <c r="G6458" s="4" t="str">
        <f>HYPERLINK("http://141.218.60.56/~jnz1568/getInfo.php?workbook=12_04.xlsx&amp;sheet=U0&amp;row=6458&amp;col=7&amp;number=0.028&amp;sourceID=14","0.028")</f>
        <v>0.028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HYPERLINK("http://141.218.60.56/~jnz1568/getInfo.php?workbook=12_04.xlsx&amp;sheet=U0&amp;row=6459&amp;col=6&amp;number=4.5&amp;sourceID=14","4.5")</f>
        <v>4.5</v>
      </c>
      <c r="G6459" s="4" t="str">
        <f>HYPERLINK("http://141.218.60.56/~jnz1568/getInfo.php?workbook=12_04.xlsx&amp;sheet=U0&amp;row=6459&amp;col=7&amp;number=0.0279&amp;sourceID=14","0.0279")</f>
        <v>0.0279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HYPERLINK("http://141.218.60.56/~jnz1568/getInfo.php?workbook=12_04.xlsx&amp;sheet=U0&amp;row=6460&amp;col=6&amp;number=4.6&amp;sourceID=14","4.6")</f>
        <v>4.6</v>
      </c>
      <c r="G6460" s="4" t="str">
        <f>HYPERLINK("http://141.218.60.56/~jnz1568/getInfo.php?workbook=12_04.xlsx&amp;sheet=U0&amp;row=6460&amp;col=7&amp;number=0.0277&amp;sourceID=14","0.0277")</f>
        <v>0.0277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HYPERLINK("http://141.218.60.56/~jnz1568/getInfo.php?workbook=12_04.xlsx&amp;sheet=U0&amp;row=6461&amp;col=6&amp;number=4.7&amp;sourceID=14","4.7")</f>
        <v>4.7</v>
      </c>
      <c r="G6461" s="4" t="str">
        <f>HYPERLINK("http://141.218.60.56/~jnz1568/getInfo.php?workbook=12_04.xlsx&amp;sheet=U0&amp;row=6461&amp;col=7&amp;number=0.0276&amp;sourceID=14","0.0276")</f>
        <v>0.0276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HYPERLINK("http://141.218.60.56/~jnz1568/getInfo.php?workbook=12_04.xlsx&amp;sheet=U0&amp;row=6462&amp;col=6&amp;number=4.8&amp;sourceID=14","4.8")</f>
        <v>4.8</v>
      </c>
      <c r="G6462" s="4" t="str">
        <f>HYPERLINK("http://141.218.60.56/~jnz1568/getInfo.php?workbook=12_04.xlsx&amp;sheet=U0&amp;row=6462&amp;col=7&amp;number=0.0274&amp;sourceID=14","0.0274")</f>
        <v>0.0274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HYPERLINK("http://141.218.60.56/~jnz1568/getInfo.php?workbook=12_04.xlsx&amp;sheet=U0&amp;row=6463&amp;col=6&amp;number=4.9&amp;sourceID=14","4.9")</f>
        <v>4.9</v>
      </c>
      <c r="G6463" s="4" t="str">
        <f>HYPERLINK("http://141.218.60.56/~jnz1568/getInfo.php?workbook=12_04.xlsx&amp;sheet=U0&amp;row=6463&amp;col=7&amp;number=0.0272&amp;sourceID=14","0.0272")</f>
        <v>0.0272</v>
      </c>
    </row>
    <row r="6464" spans="1:7">
      <c r="A6464" s="3">
        <v>12</v>
      </c>
      <c r="B6464" s="3">
        <v>4</v>
      </c>
      <c r="C6464" s="3">
        <v>4</v>
      </c>
      <c r="D6464" s="3">
        <v>40</v>
      </c>
      <c r="E6464" s="3">
        <v>1</v>
      </c>
      <c r="F6464" s="4" t="str">
        <f>HYPERLINK("http://141.218.60.56/~jnz1568/getInfo.php?workbook=12_04.xlsx&amp;sheet=U0&amp;row=6464&amp;col=6&amp;number=3&amp;sourceID=14","3")</f>
        <v>3</v>
      </c>
      <c r="G6464" s="4" t="str">
        <f>HYPERLINK("http://141.218.60.56/~jnz1568/getInfo.php?workbook=12_04.xlsx&amp;sheet=U0&amp;row=6464&amp;col=7&amp;number=0.0578&amp;sourceID=14","0.0578")</f>
        <v>0.0578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HYPERLINK("http://141.218.60.56/~jnz1568/getInfo.php?workbook=12_04.xlsx&amp;sheet=U0&amp;row=6465&amp;col=6&amp;number=3.1&amp;sourceID=14","3.1")</f>
        <v>3.1</v>
      </c>
      <c r="G6465" s="4" t="str">
        <f>HYPERLINK("http://141.218.60.56/~jnz1568/getInfo.php?workbook=12_04.xlsx&amp;sheet=U0&amp;row=6465&amp;col=7&amp;number=0.0578&amp;sourceID=14","0.0578")</f>
        <v>0.0578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HYPERLINK("http://141.218.60.56/~jnz1568/getInfo.php?workbook=12_04.xlsx&amp;sheet=U0&amp;row=6466&amp;col=6&amp;number=3.2&amp;sourceID=14","3.2")</f>
        <v>3.2</v>
      </c>
      <c r="G6466" s="4" t="str">
        <f>HYPERLINK("http://141.218.60.56/~jnz1568/getInfo.php?workbook=12_04.xlsx&amp;sheet=U0&amp;row=6466&amp;col=7&amp;number=0.0577&amp;sourceID=14","0.0577")</f>
        <v>0.0577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HYPERLINK("http://141.218.60.56/~jnz1568/getInfo.php?workbook=12_04.xlsx&amp;sheet=U0&amp;row=6467&amp;col=6&amp;number=3.3&amp;sourceID=14","3.3")</f>
        <v>3.3</v>
      </c>
      <c r="G6467" s="4" t="str">
        <f>HYPERLINK("http://141.218.60.56/~jnz1568/getInfo.php?workbook=12_04.xlsx&amp;sheet=U0&amp;row=6467&amp;col=7&amp;number=0.0577&amp;sourceID=14","0.0577")</f>
        <v>0.0577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HYPERLINK("http://141.218.60.56/~jnz1568/getInfo.php?workbook=12_04.xlsx&amp;sheet=U0&amp;row=6468&amp;col=6&amp;number=3.4&amp;sourceID=14","3.4")</f>
        <v>3.4</v>
      </c>
      <c r="G6468" s="4" t="str">
        <f>HYPERLINK("http://141.218.60.56/~jnz1568/getInfo.php?workbook=12_04.xlsx&amp;sheet=U0&amp;row=6468&amp;col=7&amp;number=0.0577&amp;sourceID=14","0.0577")</f>
        <v>0.0577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HYPERLINK("http://141.218.60.56/~jnz1568/getInfo.php?workbook=12_04.xlsx&amp;sheet=U0&amp;row=6469&amp;col=6&amp;number=3.5&amp;sourceID=14","3.5")</f>
        <v>3.5</v>
      </c>
      <c r="G6469" s="4" t="str">
        <f>HYPERLINK("http://141.218.60.56/~jnz1568/getInfo.php?workbook=12_04.xlsx&amp;sheet=U0&amp;row=6469&amp;col=7&amp;number=0.0577&amp;sourceID=14","0.0577")</f>
        <v>0.0577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HYPERLINK("http://141.218.60.56/~jnz1568/getInfo.php?workbook=12_04.xlsx&amp;sheet=U0&amp;row=6470&amp;col=6&amp;number=3.6&amp;sourceID=14","3.6")</f>
        <v>3.6</v>
      </c>
      <c r="G6470" s="4" t="str">
        <f>HYPERLINK("http://141.218.60.56/~jnz1568/getInfo.php?workbook=12_04.xlsx&amp;sheet=U0&amp;row=6470&amp;col=7&amp;number=0.0577&amp;sourceID=14","0.0577")</f>
        <v>0.0577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HYPERLINK("http://141.218.60.56/~jnz1568/getInfo.php?workbook=12_04.xlsx&amp;sheet=U0&amp;row=6471&amp;col=6&amp;number=3.7&amp;sourceID=14","3.7")</f>
        <v>3.7</v>
      </c>
      <c r="G6471" s="4" t="str">
        <f>HYPERLINK("http://141.218.60.56/~jnz1568/getInfo.php?workbook=12_04.xlsx&amp;sheet=U0&amp;row=6471&amp;col=7&amp;number=0.0577&amp;sourceID=14","0.0577")</f>
        <v>0.0577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HYPERLINK("http://141.218.60.56/~jnz1568/getInfo.php?workbook=12_04.xlsx&amp;sheet=U0&amp;row=6472&amp;col=6&amp;number=3.8&amp;sourceID=14","3.8")</f>
        <v>3.8</v>
      </c>
      <c r="G6472" s="4" t="str">
        <f>HYPERLINK("http://141.218.60.56/~jnz1568/getInfo.php?workbook=12_04.xlsx&amp;sheet=U0&amp;row=6472&amp;col=7&amp;number=0.0576&amp;sourceID=14","0.0576")</f>
        <v>0.0576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HYPERLINK("http://141.218.60.56/~jnz1568/getInfo.php?workbook=12_04.xlsx&amp;sheet=U0&amp;row=6473&amp;col=6&amp;number=3.9&amp;sourceID=14","3.9")</f>
        <v>3.9</v>
      </c>
      <c r="G6473" s="4" t="str">
        <f>HYPERLINK("http://141.218.60.56/~jnz1568/getInfo.php?workbook=12_04.xlsx&amp;sheet=U0&amp;row=6473&amp;col=7&amp;number=0.0576&amp;sourceID=14","0.0576")</f>
        <v>0.0576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HYPERLINK("http://141.218.60.56/~jnz1568/getInfo.php?workbook=12_04.xlsx&amp;sheet=U0&amp;row=6474&amp;col=6&amp;number=4&amp;sourceID=14","4")</f>
        <v>4</v>
      </c>
      <c r="G6474" s="4" t="str">
        <f>HYPERLINK("http://141.218.60.56/~jnz1568/getInfo.php?workbook=12_04.xlsx&amp;sheet=U0&amp;row=6474&amp;col=7&amp;number=0.0576&amp;sourceID=14","0.0576")</f>
        <v>0.0576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HYPERLINK("http://141.218.60.56/~jnz1568/getInfo.php?workbook=12_04.xlsx&amp;sheet=U0&amp;row=6475&amp;col=6&amp;number=4.1&amp;sourceID=14","4.1")</f>
        <v>4.1</v>
      </c>
      <c r="G6475" s="4" t="str">
        <f>HYPERLINK("http://141.218.60.56/~jnz1568/getInfo.php?workbook=12_04.xlsx&amp;sheet=U0&amp;row=6475&amp;col=7&amp;number=0.0575&amp;sourceID=14","0.0575")</f>
        <v>0.0575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HYPERLINK("http://141.218.60.56/~jnz1568/getInfo.php?workbook=12_04.xlsx&amp;sheet=U0&amp;row=6476&amp;col=6&amp;number=4.2&amp;sourceID=14","4.2")</f>
        <v>4.2</v>
      </c>
      <c r="G6476" s="4" t="str">
        <f>HYPERLINK("http://141.218.60.56/~jnz1568/getInfo.php?workbook=12_04.xlsx&amp;sheet=U0&amp;row=6476&amp;col=7&amp;number=0.0574&amp;sourceID=14","0.0574")</f>
        <v>0.0574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HYPERLINK("http://141.218.60.56/~jnz1568/getInfo.php?workbook=12_04.xlsx&amp;sheet=U0&amp;row=6477&amp;col=6&amp;number=4.3&amp;sourceID=14","4.3")</f>
        <v>4.3</v>
      </c>
      <c r="G6477" s="4" t="str">
        <f>HYPERLINK("http://141.218.60.56/~jnz1568/getInfo.php?workbook=12_04.xlsx&amp;sheet=U0&amp;row=6477&amp;col=7&amp;number=0.0574&amp;sourceID=14","0.0574")</f>
        <v>0.0574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HYPERLINK("http://141.218.60.56/~jnz1568/getInfo.php?workbook=12_04.xlsx&amp;sheet=U0&amp;row=6478&amp;col=6&amp;number=4.4&amp;sourceID=14","4.4")</f>
        <v>4.4</v>
      </c>
      <c r="G6478" s="4" t="str">
        <f>HYPERLINK("http://141.218.60.56/~jnz1568/getInfo.php?workbook=12_04.xlsx&amp;sheet=U0&amp;row=6478&amp;col=7&amp;number=0.0573&amp;sourceID=14","0.0573")</f>
        <v>0.0573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HYPERLINK("http://141.218.60.56/~jnz1568/getInfo.php?workbook=12_04.xlsx&amp;sheet=U0&amp;row=6479&amp;col=6&amp;number=4.5&amp;sourceID=14","4.5")</f>
        <v>4.5</v>
      </c>
      <c r="G6479" s="4" t="str">
        <f>HYPERLINK("http://141.218.60.56/~jnz1568/getInfo.php?workbook=12_04.xlsx&amp;sheet=U0&amp;row=6479&amp;col=7&amp;number=0.0571&amp;sourceID=14","0.0571")</f>
        <v>0.0571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HYPERLINK("http://141.218.60.56/~jnz1568/getInfo.php?workbook=12_04.xlsx&amp;sheet=U0&amp;row=6480&amp;col=6&amp;number=4.6&amp;sourceID=14","4.6")</f>
        <v>4.6</v>
      </c>
      <c r="G6480" s="4" t="str">
        <f>HYPERLINK("http://141.218.60.56/~jnz1568/getInfo.php?workbook=12_04.xlsx&amp;sheet=U0&amp;row=6480&amp;col=7&amp;number=0.057&amp;sourceID=14","0.057")</f>
        <v>0.057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HYPERLINK("http://141.218.60.56/~jnz1568/getInfo.php?workbook=12_04.xlsx&amp;sheet=U0&amp;row=6481&amp;col=6&amp;number=4.7&amp;sourceID=14","4.7")</f>
        <v>4.7</v>
      </c>
      <c r="G6481" s="4" t="str">
        <f>HYPERLINK("http://141.218.60.56/~jnz1568/getInfo.php?workbook=12_04.xlsx&amp;sheet=U0&amp;row=6481&amp;col=7&amp;number=0.0568&amp;sourceID=14","0.0568")</f>
        <v>0.0568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HYPERLINK("http://141.218.60.56/~jnz1568/getInfo.php?workbook=12_04.xlsx&amp;sheet=U0&amp;row=6482&amp;col=6&amp;number=4.8&amp;sourceID=14","4.8")</f>
        <v>4.8</v>
      </c>
      <c r="G6482" s="4" t="str">
        <f>HYPERLINK("http://141.218.60.56/~jnz1568/getInfo.php?workbook=12_04.xlsx&amp;sheet=U0&amp;row=6482&amp;col=7&amp;number=0.0566&amp;sourceID=14","0.0566")</f>
        <v>0.0566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HYPERLINK("http://141.218.60.56/~jnz1568/getInfo.php?workbook=12_04.xlsx&amp;sheet=U0&amp;row=6483&amp;col=6&amp;number=4.9&amp;sourceID=14","4.9")</f>
        <v>4.9</v>
      </c>
      <c r="G6483" s="4" t="str">
        <f>HYPERLINK("http://141.218.60.56/~jnz1568/getInfo.php?workbook=12_04.xlsx&amp;sheet=U0&amp;row=6483&amp;col=7&amp;number=0.0563&amp;sourceID=14","0.0563")</f>
        <v>0.0563</v>
      </c>
    </row>
    <row r="6484" spans="1:7">
      <c r="A6484" s="3">
        <v>12</v>
      </c>
      <c r="B6484" s="3">
        <v>4</v>
      </c>
      <c r="C6484" s="3">
        <v>4</v>
      </c>
      <c r="D6484" s="3">
        <v>41</v>
      </c>
      <c r="E6484" s="3">
        <v>1</v>
      </c>
      <c r="F6484" s="4" t="str">
        <f>HYPERLINK("http://141.218.60.56/~jnz1568/getInfo.php?workbook=12_04.xlsx&amp;sheet=U0&amp;row=6484&amp;col=6&amp;number=3&amp;sourceID=14","3")</f>
        <v>3</v>
      </c>
      <c r="G6484" s="4" t="str">
        <f>HYPERLINK("http://141.218.60.56/~jnz1568/getInfo.php?workbook=12_04.xlsx&amp;sheet=U0&amp;row=6484&amp;col=7&amp;number=0.0278&amp;sourceID=14","0.0278")</f>
        <v>0.0278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HYPERLINK("http://141.218.60.56/~jnz1568/getInfo.php?workbook=12_04.xlsx&amp;sheet=U0&amp;row=6485&amp;col=6&amp;number=3.1&amp;sourceID=14","3.1")</f>
        <v>3.1</v>
      </c>
      <c r="G6485" s="4" t="str">
        <f>HYPERLINK("http://141.218.60.56/~jnz1568/getInfo.php?workbook=12_04.xlsx&amp;sheet=U0&amp;row=6485&amp;col=7&amp;number=0.0278&amp;sourceID=14","0.0278")</f>
        <v>0.0278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HYPERLINK("http://141.218.60.56/~jnz1568/getInfo.php?workbook=12_04.xlsx&amp;sheet=U0&amp;row=6486&amp;col=6&amp;number=3.2&amp;sourceID=14","3.2")</f>
        <v>3.2</v>
      </c>
      <c r="G6486" s="4" t="str">
        <f>HYPERLINK("http://141.218.60.56/~jnz1568/getInfo.php?workbook=12_04.xlsx&amp;sheet=U0&amp;row=6486&amp;col=7&amp;number=0.0278&amp;sourceID=14","0.0278")</f>
        <v>0.0278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HYPERLINK("http://141.218.60.56/~jnz1568/getInfo.php?workbook=12_04.xlsx&amp;sheet=U0&amp;row=6487&amp;col=6&amp;number=3.3&amp;sourceID=14","3.3")</f>
        <v>3.3</v>
      </c>
      <c r="G6487" s="4" t="str">
        <f>HYPERLINK("http://141.218.60.56/~jnz1568/getInfo.php?workbook=12_04.xlsx&amp;sheet=U0&amp;row=6487&amp;col=7&amp;number=0.0278&amp;sourceID=14","0.0278")</f>
        <v>0.0278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HYPERLINK("http://141.218.60.56/~jnz1568/getInfo.php?workbook=12_04.xlsx&amp;sheet=U0&amp;row=6488&amp;col=6&amp;number=3.4&amp;sourceID=14","3.4")</f>
        <v>3.4</v>
      </c>
      <c r="G6488" s="4" t="str">
        <f>HYPERLINK("http://141.218.60.56/~jnz1568/getInfo.php?workbook=12_04.xlsx&amp;sheet=U0&amp;row=6488&amp;col=7&amp;number=0.0279&amp;sourceID=14","0.0279")</f>
        <v>0.0279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HYPERLINK("http://141.218.60.56/~jnz1568/getInfo.php?workbook=12_04.xlsx&amp;sheet=U0&amp;row=6489&amp;col=6&amp;number=3.5&amp;sourceID=14","3.5")</f>
        <v>3.5</v>
      </c>
      <c r="G6489" s="4" t="str">
        <f>HYPERLINK("http://141.218.60.56/~jnz1568/getInfo.php?workbook=12_04.xlsx&amp;sheet=U0&amp;row=6489&amp;col=7&amp;number=0.0279&amp;sourceID=14","0.0279")</f>
        <v>0.0279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HYPERLINK("http://141.218.60.56/~jnz1568/getInfo.php?workbook=12_04.xlsx&amp;sheet=U0&amp;row=6490&amp;col=6&amp;number=3.6&amp;sourceID=14","3.6")</f>
        <v>3.6</v>
      </c>
      <c r="G6490" s="4" t="str">
        <f>HYPERLINK("http://141.218.60.56/~jnz1568/getInfo.php?workbook=12_04.xlsx&amp;sheet=U0&amp;row=6490&amp;col=7&amp;number=0.0279&amp;sourceID=14","0.0279")</f>
        <v>0.0279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HYPERLINK("http://141.218.60.56/~jnz1568/getInfo.php?workbook=12_04.xlsx&amp;sheet=U0&amp;row=6491&amp;col=6&amp;number=3.7&amp;sourceID=14","3.7")</f>
        <v>3.7</v>
      </c>
      <c r="G6491" s="4" t="str">
        <f>HYPERLINK("http://141.218.60.56/~jnz1568/getInfo.php?workbook=12_04.xlsx&amp;sheet=U0&amp;row=6491&amp;col=7&amp;number=0.0279&amp;sourceID=14","0.0279")</f>
        <v>0.0279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HYPERLINK("http://141.218.60.56/~jnz1568/getInfo.php?workbook=12_04.xlsx&amp;sheet=U0&amp;row=6492&amp;col=6&amp;number=3.8&amp;sourceID=14","3.8")</f>
        <v>3.8</v>
      </c>
      <c r="G6492" s="4" t="str">
        <f>HYPERLINK("http://141.218.60.56/~jnz1568/getInfo.php?workbook=12_04.xlsx&amp;sheet=U0&amp;row=6492&amp;col=7&amp;number=0.0279&amp;sourceID=14","0.0279")</f>
        <v>0.0279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HYPERLINK("http://141.218.60.56/~jnz1568/getInfo.php?workbook=12_04.xlsx&amp;sheet=U0&amp;row=6493&amp;col=6&amp;number=3.9&amp;sourceID=14","3.9")</f>
        <v>3.9</v>
      </c>
      <c r="G6493" s="4" t="str">
        <f>HYPERLINK("http://141.218.60.56/~jnz1568/getInfo.php?workbook=12_04.xlsx&amp;sheet=U0&amp;row=6493&amp;col=7&amp;number=0.028&amp;sourceID=14","0.028")</f>
        <v>0.028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HYPERLINK("http://141.218.60.56/~jnz1568/getInfo.php?workbook=12_04.xlsx&amp;sheet=U0&amp;row=6494&amp;col=6&amp;number=4&amp;sourceID=14","4")</f>
        <v>4</v>
      </c>
      <c r="G6494" s="4" t="str">
        <f>HYPERLINK("http://141.218.60.56/~jnz1568/getInfo.php?workbook=12_04.xlsx&amp;sheet=U0&amp;row=6494&amp;col=7&amp;number=0.028&amp;sourceID=14","0.028")</f>
        <v>0.028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HYPERLINK("http://141.218.60.56/~jnz1568/getInfo.php?workbook=12_04.xlsx&amp;sheet=U0&amp;row=6495&amp;col=6&amp;number=4.1&amp;sourceID=14","4.1")</f>
        <v>4.1</v>
      </c>
      <c r="G6495" s="4" t="str">
        <f>HYPERLINK("http://141.218.60.56/~jnz1568/getInfo.php?workbook=12_04.xlsx&amp;sheet=U0&amp;row=6495&amp;col=7&amp;number=0.0281&amp;sourceID=14","0.0281")</f>
        <v>0.0281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HYPERLINK("http://141.218.60.56/~jnz1568/getInfo.php?workbook=12_04.xlsx&amp;sheet=U0&amp;row=6496&amp;col=6&amp;number=4.2&amp;sourceID=14","4.2")</f>
        <v>4.2</v>
      </c>
      <c r="G6496" s="4" t="str">
        <f>HYPERLINK("http://141.218.60.56/~jnz1568/getInfo.php?workbook=12_04.xlsx&amp;sheet=U0&amp;row=6496&amp;col=7&amp;number=0.0282&amp;sourceID=14","0.0282")</f>
        <v>0.0282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HYPERLINK("http://141.218.60.56/~jnz1568/getInfo.php?workbook=12_04.xlsx&amp;sheet=U0&amp;row=6497&amp;col=6&amp;number=4.3&amp;sourceID=14","4.3")</f>
        <v>4.3</v>
      </c>
      <c r="G6497" s="4" t="str">
        <f>HYPERLINK("http://141.218.60.56/~jnz1568/getInfo.php?workbook=12_04.xlsx&amp;sheet=U0&amp;row=6497&amp;col=7&amp;number=0.0283&amp;sourceID=14","0.0283")</f>
        <v>0.0283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HYPERLINK("http://141.218.60.56/~jnz1568/getInfo.php?workbook=12_04.xlsx&amp;sheet=U0&amp;row=6498&amp;col=6&amp;number=4.4&amp;sourceID=14","4.4")</f>
        <v>4.4</v>
      </c>
      <c r="G6498" s="4" t="str">
        <f>HYPERLINK("http://141.218.60.56/~jnz1568/getInfo.php?workbook=12_04.xlsx&amp;sheet=U0&amp;row=6498&amp;col=7&amp;number=0.0284&amp;sourceID=14","0.0284")</f>
        <v>0.0284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HYPERLINK("http://141.218.60.56/~jnz1568/getInfo.php?workbook=12_04.xlsx&amp;sheet=U0&amp;row=6499&amp;col=6&amp;number=4.5&amp;sourceID=14","4.5")</f>
        <v>4.5</v>
      </c>
      <c r="G6499" s="4" t="str">
        <f>HYPERLINK("http://141.218.60.56/~jnz1568/getInfo.php?workbook=12_04.xlsx&amp;sheet=U0&amp;row=6499&amp;col=7&amp;number=0.0285&amp;sourceID=14","0.0285")</f>
        <v>0.0285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HYPERLINK("http://141.218.60.56/~jnz1568/getInfo.php?workbook=12_04.xlsx&amp;sheet=U0&amp;row=6500&amp;col=6&amp;number=4.6&amp;sourceID=14","4.6")</f>
        <v>4.6</v>
      </c>
      <c r="G6500" s="4" t="str">
        <f>HYPERLINK("http://141.218.60.56/~jnz1568/getInfo.php?workbook=12_04.xlsx&amp;sheet=U0&amp;row=6500&amp;col=7&amp;number=0.0287&amp;sourceID=14","0.0287")</f>
        <v>0.0287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HYPERLINK("http://141.218.60.56/~jnz1568/getInfo.php?workbook=12_04.xlsx&amp;sheet=U0&amp;row=6501&amp;col=6&amp;number=4.7&amp;sourceID=14","4.7")</f>
        <v>4.7</v>
      </c>
      <c r="G6501" s="4" t="str">
        <f>HYPERLINK("http://141.218.60.56/~jnz1568/getInfo.php?workbook=12_04.xlsx&amp;sheet=U0&amp;row=6501&amp;col=7&amp;number=0.0289&amp;sourceID=14","0.0289")</f>
        <v>0.0289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HYPERLINK("http://141.218.60.56/~jnz1568/getInfo.php?workbook=12_04.xlsx&amp;sheet=U0&amp;row=6502&amp;col=6&amp;number=4.8&amp;sourceID=14","4.8")</f>
        <v>4.8</v>
      </c>
      <c r="G6502" s="4" t="str">
        <f>HYPERLINK("http://141.218.60.56/~jnz1568/getInfo.php?workbook=12_04.xlsx&amp;sheet=U0&amp;row=6502&amp;col=7&amp;number=0.0292&amp;sourceID=14","0.0292")</f>
        <v>0.0292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HYPERLINK("http://141.218.60.56/~jnz1568/getInfo.php?workbook=12_04.xlsx&amp;sheet=U0&amp;row=6503&amp;col=6&amp;number=4.9&amp;sourceID=14","4.9")</f>
        <v>4.9</v>
      </c>
      <c r="G6503" s="4" t="str">
        <f>HYPERLINK("http://141.218.60.56/~jnz1568/getInfo.php?workbook=12_04.xlsx&amp;sheet=U0&amp;row=6503&amp;col=7&amp;number=0.0295&amp;sourceID=14","0.0295")</f>
        <v>0.0295</v>
      </c>
    </row>
    <row r="6504" spans="1:7">
      <c r="A6504" s="3">
        <v>12</v>
      </c>
      <c r="B6504" s="3">
        <v>4</v>
      </c>
      <c r="C6504" s="3">
        <v>4</v>
      </c>
      <c r="D6504" s="3">
        <v>42</v>
      </c>
      <c r="E6504" s="3">
        <v>1</v>
      </c>
      <c r="F6504" s="4" t="str">
        <f>HYPERLINK("http://141.218.60.56/~jnz1568/getInfo.php?workbook=12_04.xlsx&amp;sheet=U0&amp;row=6504&amp;col=6&amp;number=3&amp;sourceID=14","3")</f>
        <v>3</v>
      </c>
      <c r="G6504" s="4" t="str">
        <f>HYPERLINK("http://141.218.60.56/~jnz1568/getInfo.php?workbook=12_04.xlsx&amp;sheet=U0&amp;row=6504&amp;col=7&amp;number=0.0232&amp;sourceID=14","0.0232")</f>
        <v>0.0232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HYPERLINK("http://141.218.60.56/~jnz1568/getInfo.php?workbook=12_04.xlsx&amp;sheet=U0&amp;row=6505&amp;col=6&amp;number=3.1&amp;sourceID=14","3.1")</f>
        <v>3.1</v>
      </c>
      <c r="G6505" s="4" t="str">
        <f>HYPERLINK("http://141.218.60.56/~jnz1568/getInfo.php?workbook=12_04.xlsx&amp;sheet=U0&amp;row=6505&amp;col=7&amp;number=0.0232&amp;sourceID=14","0.0232")</f>
        <v>0.0232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HYPERLINK("http://141.218.60.56/~jnz1568/getInfo.php?workbook=12_04.xlsx&amp;sheet=U0&amp;row=6506&amp;col=6&amp;number=3.2&amp;sourceID=14","3.2")</f>
        <v>3.2</v>
      </c>
      <c r="G6506" s="4" t="str">
        <f>HYPERLINK("http://141.218.60.56/~jnz1568/getInfo.php?workbook=12_04.xlsx&amp;sheet=U0&amp;row=6506&amp;col=7&amp;number=0.0232&amp;sourceID=14","0.0232")</f>
        <v>0.0232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HYPERLINK("http://141.218.60.56/~jnz1568/getInfo.php?workbook=12_04.xlsx&amp;sheet=U0&amp;row=6507&amp;col=6&amp;number=3.3&amp;sourceID=14","3.3")</f>
        <v>3.3</v>
      </c>
      <c r="G6507" s="4" t="str">
        <f>HYPERLINK("http://141.218.60.56/~jnz1568/getInfo.php?workbook=12_04.xlsx&amp;sheet=U0&amp;row=6507&amp;col=7&amp;number=0.0232&amp;sourceID=14","0.0232")</f>
        <v>0.0232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HYPERLINK("http://141.218.60.56/~jnz1568/getInfo.php?workbook=12_04.xlsx&amp;sheet=U0&amp;row=6508&amp;col=6&amp;number=3.4&amp;sourceID=14","3.4")</f>
        <v>3.4</v>
      </c>
      <c r="G6508" s="4" t="str">
        <f>HYPERLINK("http://141.218.60.56/~jnz1568/getInfo.php?workbook=12_04.xlsx&amp;sheet=U0&amp;row=6508&amp;col=7&amp;number=0.0232&amp;sourceID=14","0.0232")</f>
        <v>0.0232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HYPERLINK("http://141.218.60.56/~jnz1568/getInfo.php?workbook=12_04.xlsx&amp;sheet=U0&amp;row=6509&amp;col=6&amp;number=3.5&amp;sourceID=14","3.5")</f>
        <v>3.5</v>
      </c>
      <c r="G6509" s="4" t="str">
        <f>HYPERLINK("http://141.218.60.56/~jnz1568/getInfo.php?workbook=12_04.xlsx&amp;sheet=U0&amp;row=6509&amp;col=7&amp;number=0.0232&amp;sourceID=14","0.0232")</f>
        <v>0.0232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HYPERLINK("http://141.218.60.56/~jnz1568/getInfo.php?workbook=12_04.xlsx&amp;sheet=U0&amp;row=6510&amp;col=6&amp;number=3.6&amp;sourceID=14","3.6")</f>
        <v>3.6</v>
      </c>
      <c r="G6510" s="4" t="str">
        <f>HYPERLINK("http://141.218.60.56/~jnz1568/getInfo.php?workbook=12_04.xlsx&amp;sheet=U0&amp;row=6510&amp;col=7&amp;number=0.0232&amp;sourceID=14","0.0232")</f>
        <v>0.0232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HYPERLINK("http://141.218.60.56/~jnz1568/getInfo.php?workbook=12_04.xlsx&amp;sheet=U0&amp;row=6511&amp;col=6&amp;number=3.7&amp;sourceID=14","3.7")</f>
        <v>3.7</v>
      </c>
      <c r="G6511" s="4" t="str">
        <f>HYPERLINK("http://141.218.60.56/~jnz1568/getInfo.php?workbook=12_04.xlsx&amp;sheet=U0&amp;row=6511&amp;col=7&amp;number=0.0233&amp;sourceID=14","0.0233")</f>
        <v>0.0233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HYPERLINK("http://141.218.60.56/~jnz1568/getInfo.php?workbook=12_04.xlsx&amp;sheet=U0&amp;row=6512&amp;col=6&amp;number=3.8&amp;sourceID=14","3.8")</f>
        <v>3.8</v>
      </c>
      <c r="G6512" s="4" t="str">
        <f>HYPERLINK("http://141.218.60.56/~jnz1568/getInfo.php?workbook=12_04.xlsx&amp;sheet=U0&amp;row=6512&amp;col=7&amp;number=0.0233&amp;sourceID=14","0.0233")</f>
        <v>0.0233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HYPERLINK("http://141.218.60.56/~jnz1568/getInfo.php?workbook=12_04.xlsx&amp;sheet=U0&amp;row=6513&amp;col=6&amp;number=3.9&amp;sourceID=14","3.9")</f>
        <v>3.9</v>
      </c>
      <c r="G6513" s="4" t="str">
        <f>HYPERLINK("http://141.218.60.56/~jnz1568/getInfo.php?workbook=12_04.xlsx&amp;sheet=U0&amp;row=6513&amp;col=7&amp;number=0.0233&amp;sourceID=14","0.0233")</f>
        <v>0.0233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HYPERLINK("http://141.218.60.56/~jnz1568/getInfo.php?workbook=12_04.xlsx&amp;sheet=U0&amp;row=6514&amp;col=6&amp;number=4&amp;sourceID=14","4")</f>
        <v>4</v>
      </c>
      <c r="G6514" s="4" t="str">
        <f>HYPERLINK("http://141.218.60.56/~jnz1568/getInfo.php?workbook=12_04.xlsx&amp;sheet=U0&amp;row=6514&amp;col=7&amp;number=0.0233&amp;sourceID=14","0.0233")</f>
        <v>0.0233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HYPERLINK("http://141.218.60.56/~jnz1568/getInfo.php?workbook=12_04.xlsx&amp;sheet=U0&amp;row=6515&amp;col=6&amp;number=4.1&amp;sourceID=14","4.1")</f>
        <v>4.1</v>
      </c>
      <c r="G6515" s="4" t="str">
        <f>HYPERLINK("http://141.218.60.56/~jnz1568/getInfo.php?workbook=12_04.xlsx&amp;sheet=U0&amp;row=6515&amp;col=7&amp;number=0.0233&amp;sourceID=14","0.0233")</f>
        <v>0.0233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HYPERLINK("http://141.218.60.56/~jnz1568/getInfo.php?workbook=12_04.xlsx&amp;sheet=U0&amp;row=6516&amp;col=6&amp;number=4.2&amp;sourceID=14","4.2")</f>
        <v>4.2</v>
      </c>
      <c r="G6516" s="4" t="str">
        <f>HYPERLINK("http://141.218.60.56/~jnz1568/getInfo.php?workbook=12_04.xlsx&amp;sheet=U0&amp;row=6516&amp;col=7&amp;number=0.0234&amp;sourceID=14","0.0234")</f>
        <v>0.0234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HYPERLINK("http://141.218.60.56/~jnz1568/getInfo.php?workbook=12_04.xlsx&amp;sheet=U0&amp;row=6517&amp;col=6&amp;number=4.3&amp;sourceID=14","4.3")</f>
        <v>4.3</v>
      </c>
      <c r="G6517" s="4" t="str">
        <f>HYPERLINK("http://141.218.60.56/~jnz1568/getInfo.php?workbook=12_04.xlsx&amp;sheet=U0&amp;row=6517&amp;col=7&amp;number=0.0234&amp;sourceID=14","0.0234")</f>
        <v>0.0234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HYPERLINK("http://141.218.60.56/~jnz1568/getInfo.php?workbook=12_04.xlsx&amp;sheet=U0&amp;row=6518&amp;col=6&amp;number=4.4&amp;sourceID=14","4.4")</f>
        <v>4.4</v>
      </c>
      <c r="G6518" s="4" t="str">
        <f>HYPERLINK("http://141.218.60.56/~jnz1568/getInfo.php?workbook=12_04.xlsx&amp;sheet=U0&amp;row=6518&amp;col=7&amp;number=0.0235&amp;sourceID=14","0.0235")</f>
        <v>0.0235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HYPERLINK("http://141.218.60.56/~jnz1568/getInfo.php?workbook=12_04.xlsx&amp;sheet=U0&amp;row=6519&amp;col=6&amp;number=4.5&amp;sourceID=14","4.5")</f>
        <v>4.5</v>
      </c>
      <c r="G6519" s="4" t="str">
        <f>HYPERLINK("http://141.218.60.56/~jnz1568/getInfo.php?workbook=12_04.xlsx&amp;sheet=U0&amp;row=6519&amp;col=7&amp;number=0.0236&amp;sourceID=14","0.0236")</f>
        <v>0.0236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HYPERLINK("http://141.218.60.56/~jnz1568/getInfo.php?workbook=12_04.xlsx&amp;sheet=U0&amp;row=6520&amp;col=6&amp;number=4.6&amp;sourceID=14","4.6")</f>
        <v>4.6</v>
      </c>
      <c r="G6520" s="4" t="str">
        <f>HYPERLINK("http://141.218.60.56/~jnz1568/getInfo.php?workbook=12_04.xlsx&amp;sheet=U0&amp;row=6520&amp;col=7&amp;number=0.0236&amp;sourceID=14","0.0236")</f>
        <v>0.0236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HYPERLINK("http://141.218.60.56/~jnz1568/getInfo.php?workbook=12_04.xlsx&amp;sheet=U0&amp;row=6521&amp;col=6&amp;number=4.7&amp;sourceID=14","4.7")</f>
        <v>4.7</v>
      </c>
      <c r="G6521" s="4" t="str">
        <f>HYPERLINK("http://141.218.60.56/~jnz1568/getInfo.php?workbook=12_04.xlsx&amp;sheet=U0&amp;row=6521&amp;col=7&amp;number=0.0237&amp;sourceID=14","0.0237")</f>
        <v>0.0237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HYPERLINK("http://141.218.60.56/~jnz1568/getInfo.php?workbook=12_04.xlsx&amp;sheet=U0&amp;row=6522&amp;col=6&amp;number=4.8&amp;sourceID=14","4.8")</f>
        <v>4.8</v>
      </c>
      <c r="G6522" s="4" t="str">
        <f>HYPERLINK("http://141.218.60.56/~jnz1568/getInfo.php?workbook=12_04.xlsx&amp;sheet=U0&amp;row=6522&amp;col=7&amp;number=0.0239&amp;sourceID=14","0.0239")</f>
        <v>0.0239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HYPERLINK("http://141.218.60.56/~jnz1568/getInfo.php?workbook=12_04.xlsx&amp;sheet=U0&amp;row=6523&amp;col=6&amp;number=4.9&amp;sourceID=14","4.9")</f>
        <v>4.9</v>
      </c>
      <c r="G6523" s="4" t="str">
        <f>HYPERLINK("http://141.218.60.56/~jnz1568/getInfo.php?workbook=12_04.xlsx&amp;sheet=U0&amp;row=6523&amp;col=7&amp;number=0.024&amp;sourceID=14","0.024")</f>
        <v>0.024</v>
      </c>
    </row>
    <row r="6524" spans="1:7">
      <c r="A6524" s="3">
        <v>12</v>
      </c>
      <c r="B6524" s="3">
        <v>4</v>
      </c>
      <c r="C6524" s="3">
        <v>4</v>
      </c>
      <c r="D6524" s="3">
        <v>43</v>
      </c>
      <c r="E6524" s="3">
        <v>1</v>
      </c>
      <c r="F6524" s="4" t="str">
        <f>HYPERLINK("http://141.218.60.56/~jnz1568/getInfo.php?workbook=12_04.xlsx&amp;sheet=U0&amp;row=6524&amp;col=6&amp;number=3&amp;sourceID=14","3")</f>
        <v>3</v>
      </c>
      <c r="G6524" s="4" t="str">
        <f>HYPERLINK("http://141.218.60.56/~jnz1568/getInfo.php?workbook=12_04.xlsx&amp;sheet=U0&amp;row=6524&amp;col=7&amp;number=0.00898&amp;sourceID=14","0.00898")</f>
        <v>0.00898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HYPERLINK("http://141.218.60.56/~jnz1568/getInfo.php?workbook=12_04.xlsx&amp;sheet=U0&amp;row=6525&amp;col=6&amp;number=3.1&amp;sourceID=14","3.1")</f>
        <v>3.1</v>
      </c>
      <c r="G6525" s="4" t="str">
        <f>HYPERLINK("http://141.218.60.56/~jnz1568/getInfo.php?workbook=12_04.xlsx&amp;sheet=U0&amp;row=6525&amp;col=7&amp;number=0.00898&amp;sourceID=14","0.00898")</f>
        <v>0.00898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HYPERLINK("http://141.218.60.56/~jnz1568/getInfo.php?workbook=12_04.xlsx&amp;sheet=U0&amp;row=6526&amp;col=6&amp;number=3.2&amp;sourceID=14","3.2")</f>
        <v>3.2</v>
      </c>
      <c r="G6526" s="4" t="str">
        <f>HYPERLINK("http://141.218.60.56/~jnz1568/getInfo.php?workbook=12_04.xlsx&amp;sheet=U0&amp;row=6526&amp;col=7&amp;number=0.00898&amp;sourceID=14","0.00898")</f>
        <v>0.00898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HYPERLINK("http://141.218.60.56/~jnz1568/getInfo.php?workbook=12_04.xlsx&amp;sheet=U0&amp;row=6527&amp;col=6&amp;number=3.3&amp;sourceID=14","3.3")</f>
        <v>3.3</v>
      </c>
      <c r="G6527" s="4" t="str">
        <f>HYPERLINK("http://141.218.60.56/~jnz1568/getInfo.php?workbook=12_04.xlsx&amp;sheet=U0&amp;row=6527&amp;col=7&amp;number=0.00898&amp;sourceID=14","0.00898")</f>
        <v>0.00898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HYPERLINK("http://141.218.60.56/~jnz1568/getInfo.php?workbook=12_04.xlsx&amp;sheet=U0&amp;row=6528&amp;col=6&amp;number=3.4&amp;sourceID=14","3.4")</f>
        <v>3.4</v>
      </c>
      <c r="G6528" s="4" t="str">
        <f>HYPERLINK("http://141.218.60.56/~jnz1568/getInfo.php?workbook=12_04.xlsx&amp;sheet=U0&amp;row=6528&amp;col=7&amp;number=0.00898&amp;sourceID=14","0.00898")</f>
        <v>0.00898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HYPERLINK("http://141.218.60.56/~jnz1568/getInfo.php?workbook=12_04.xlsx&amp;sheet=U0&amp;row=6529&amp;col=6&amp;number=3.5&amp;sourceID=14","3.5")</f>
        <v>3.5</v>
      </c>
      <c r="G6529" s="4" t="str">
        <f>HYPERLINK("http://141.218.60.56/~jnz1568/getInfo.php?workbook=12_04.xlsx&amp;sheet=U0&amp;row=6529&amp;col=7&amp;number=0.00898&amp;sourceID=14","0.00898")</f>
        <v>0.00898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HYPERLINK("http://141.218.60.56/~jnz1568/getInfo.php?workbook=12_04.xlsx&amp;sheet=U0&amp;row=6530&amp;col=6&amp;number=3.6&amp;sourceID=14","3.6")</f>
        <v>3.6</v>
      </c>
      <c r="G6530" s="4" t="str">
        <f>HYPERLINK("http://141.218.60.56/~jnz1568/getInfo.php?workbook=12_04.xlsx&amp;sheet=U0&amp;row=6530&amp;col=7&amp;number=0.00898&amp;sourceID=14","0.00898")</f>
        <v>0.00898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HYPERLINK("http://141.218.60.56/~jnz1568/getInfo.php?workbook=12_04.xlsx&amp;sheet=U0&amp;row=6531&amp;col=6&amp;number=3.7&amp;sourceID=14","3.7")</f>
        <v>3.7</v>
      </c>
      <c r="G6531" s="4" t="str">
        <f>HYPERLINK("http://141.218.60.56/~jnz1568/getInfo.php?workbook=12_04.xlsx&amp;sheet=U0&amp;row=6531&amp;col=7&amp;number=0.00898&amp;sourceID=14","0.00898")</f>
        <v>0.00898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HYPERLINK("http://141.218.60.56/~jnz1568/getInfo.php?workbook=12_04.xlsx&amp;sheet=U0&amp;row=6532&amp;col=6&amp;number=3.8&amp;sourceID=14","3.8")</f>
        <v>3.8</v>
      </c>
      <c r="G6532" s="4" t="str">
        <f>HYPERLINK("http://141.218.60.56/~jnz1568/getInfo.php?workbook=12_04.xlsx&amp;sheet=U0&amp;row=6532&amp;col=7&amp;number=0.00899&amp;sourceID=14","0.00899")</f>
        <v>0.00899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HYPERLINK("http://141.218.60.56/~jnz1568/getInfo.php?workbook=12_04.xlsx&amp;sheet=U0&amp;row=6533&amp;col=6&amp;number=3.9&amp;sourceID=14","3.9")</f>
        <v>3.9</v>
      </c>
      <c r="G6533" s="4" t="str">
        <f>HYPERLINK("http://141.218.60.56/~jnz1568/getInfo.php?workbook=12_04.xlsx&amp;sheet=U0&amp;row=6533&amp;col=7&amp;number=0.00899&amp;sourceID=14","0.00899")</f>
        <v>0.00899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HYPERLINK("http://141.218.60.56/~jnz1568/getInfo.php?workbook=12_04.xlsx&amp;sheet=U0&amp;row=6534&amp;col=6&amp;number=4&amp;sourceID=14","4")</f>
        <v>4</v>
      </c>
      <c r="G6534" s="4" t="str">
        <f>HYPERLINK("http://141.218.60.56/~jnz1568/getInfo.php?workbook=12_04.xlsx&amp;sheet=U0&amp;row=6534&amp;col=7&amp;number=0.009&amp;sourceID=14","0.009")</f>
        <v>0.009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HYPERLINK("http://141.218.60.56/~jnz1568/getInfo.php?workbook=12_04.xlsx&amp;sheet=U0&amp;row=6535&amp;col=6&amp;number=4.1&amp;sourceID=14","4.1")</f>
        <v>4.1</v>
      </c>
      <c r="G6535" s="4" t="str">
        <f>HYPERLINK("http://141.218.60.56/~jnz1568/getInfo.php?workbook=12_04.xlsx&amp;sheet=U0&amp;row=6535&amp;col=7&amp;number=0.009&amp;sourceID=14","0.009")</f>
        <v>0.009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HYPERLINK("http://141.218.60.56/~jnz1568/getInfo.php?workbook=12_04.xlsx&amp;sheet=U0&amp;row=6536&amp;col=6&amp;number=4.2&amp;sourceID=14","4.2")</f>
        <v>4.2</v>
      </c>
      <c r="G6536" s="4" t="str">
        <f>HYPERLINK("http://141.218.60.56/~jnz1568/getInfo.php?workbook=12_04.xlsx&amp;sheet=U0&amp;row=6536&amp;col=7&amp;number=0.00901&amp;sourceID=14","0.00901")</f>
        <v>0.00901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HYPERLINK("http://141.218.60.56/~jnz1568/getInfo.php?workbook=12_04.xlsx&amp;sheet=U0&amp;row=6537&amp;col=6&amp;number=4.3&amp;sourceID=14","4.3")</f>
        <v>4.3</v>
      </c>
      <c r="G6537" s="4" t="str">
        <f>HYPERLINK("http://141.218.60.56/~jnz1568/getInfo.php?workbook=12_04.xlsx&amp;sheet=U0&amp;row=6537&amp;col=7&amp;number=0.00902&amp;sourceID=14","0.00902")</f>
        <v>0.00902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HYPERLINK("http://141.218.60.56/~jnz1568/getInfo.php?workbook=12_04.xlsx&amp;sheet=U0&amp;row=6538&amp;col=6&amp;number=4.4&amp;sourceID=14","4.4")</f>
        <v>4.4</v>
      </c>
      <c r="G6538" s="4" t="str">
        <f>HYPERLINK("http://141.218.60.56/~jnz1568/getInfo.php?workbook=12_04.xlsx&amp;sheet=U0&amp;row=6538&amp;col=7&amp;number=0.00903&amp;sourceID=14","0.00903")</f>
        <v>0.00903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HYPERLINK("http://141.218.60.56/~jnz1568/getInfo.php?workbook=12_04.xlsx&amp;sheet=U0&amp;row=6539&amp;col=6&amp;number=4.5&amp;sourceID=14","4.5")</f>
        <v>4.5</v>
      </c>
      <c r="G6539" s="4" t="str">
        <f>HYPERLINK("http://141.218.60.56/~jnz1568/getInfo.php?workbook=12_04.xlsx&amp;sheet=U0&amp;row=6539&amp;col=7&amp;number=0.00904&amp;sourceID=14","0.00904")</f>
        <v>0.00904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HYPERLINK("http://141.218.60.56/~jnz1568/getInfo.php?workbook=12_04.xlsx&amp;sheet=U0&amp;row=6540&amp;col=6&amp;number=4.6&amp;sourceID=14","4.6")</f>
        <v>4.6</v>
      </c>
      <c r="G6540" s="4" t="str">
        <f>HYPERLINK("http://141.218.60.56/~jnz1568/getInfo.php?workbook=12_04.xlsx&amp;sheet=U0&amp;row=6540&amp;col=7&amp;number=0.00906&amp;sourceID=14","0.00906")</f>
        <v>0.00906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HYPERLINK("http://141.218.60.56/~jnz1568/getInfo.php?workbook=12_04.xlsx&amp;sheet=U0&amp;row=6541&amp;col=6&amp;number=4.7&amp;sourceID=14","4.7")</f>
        <v>4.7</v>
      </c>
      <c r="G6541" s="4" t="str">
        <f>HYPERLINK("http://141.218.60.56/~jnz1568/getInfo.php?workbook=12_04.xlsx&amp;sheet=U0&amp;row=6541&amp;col=7&amp;number=0.00908&amp;sourceID=14","0.00908")</f>
        <v>0.00908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HYPERLINK("http://141.218.60.56/~jnz1568/getInfo.php?workbook=12_04.xlsx&amp;sheet=U0&amp;row=6542&amp;col=6&amp;number=4.8&amp;sourceID=14","4.8")</f>
        <v>4.8</v>
      </c>
      <c r="G6542" s="4" t="str">
        <f>HYPERLINK("http://141.218.60.56/~jnz1568/getInfo.php?workbook=12_04.xlsx&amp;sheet=U0&amp;row=6542&amp;col=7&amp;number=0.00911&amp;sourceID=14","0.00911")</f>
        <v>0.00911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HYPERLINK("http://141.218.60.56/~jnz1568/getInfo.php?workbook=12_04.xlsx&amp;sheet=U0&amp;row=6543&amp;col=6&amp;number=4.9&amp;sourceID=14","4.9")</f>
        <v>4.9</v>
      </c>
      <c r="G6543" s="4" t="str">
        <f>HYPERLINK("http://141.218.60.56/~jnz1568/getInfo.php?workbook=12_04.xlsx&amp;sheet=U0&amp;row=6543&amp;col=7&amp;number=0.00914&amp;sourceID=14","0.00914")</f>
        <v>0.00914</v>
      </c>
    </row>
    <row r="6544" spans="1:7">
      <c r="A6544" s="3">
        <v>12</v>
      </c>
      <c r="B6544" s="3">
        <v>4</v>
      </c>
      <c r="C6544" s="3">
        <v>4</v>
      </c>
      <c r="D6544" s="3">
        <v>44</v>
      </c>
      <c r="E6544" s="3">
        <v>1</v>
      </c>
      <c r="F6544" s="4" t="str">
        <f>HYPERLINK("http://141.218.60.56/~jnz1568/getInfo.php?workbook=12_04.xlsx&amp;sheet=U0&amp;row=6544&amp;col=6&amp;number=3&amp;sourceID=14","3")</f>
        <v>3</v>
      </c>
      <c r="G6544" s="4" t="str">
        <f>HYPERLINK("http://141.218.60.56/~jnz1568/getInfo.php?workbook=12_04.xlsx&amp;sheet=U0&amp;row=6544&amp;col=7&amp;number=0.00409&amp;sourceID=14","0.00409")</f>
        <v>0.00409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HYPERLINK("http://141.218.60.56/~jnz1568/getInfo.php?workbook=12_04.xlsx&amp;sheet=U0&amp;row=6545&amp;col=6&amp;number=3.1&amp;sourceID=14","3.1")</f>
        <v>3.1</v>
      </c>
      <c r="G6545" s="4" t="str">
        <f>HYPERLINK("http://141.218.60.56/~jnz1568/getInfo.php?workbook=12_04.xlsx&amp;sheet=U0&amp;row=6545&amp;col=7&amp;number=0.00409&amp;sourceID=14","0.00409")</f>
        <v>0.00409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HYPERLINK("http://141.218.60.56/~jnz1568/getInfo.php?workbook=12_04.xlsx&amp;sheet=U0&amp;row=6546&amp;col=6&amp;number=3.2&amp;sourceID=14","3.2")</f>
        <v>3.2</v>
      </c>
      <c r="G6546" s="4" t="str">
        <f>HYPERLINK("http://141.218.60.56/~jnz1568/getInfo.php?workbook=12_04.xlsx&amp;sheet=U0&amp;row=6546&amp;col=7&amp;number=0.00409&amp;sourceID=14","0.00409")</f>
        <v>0.00409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HYPERLINK("http://141.218.60.56/~jnz1568/getInfo.php?workbook=12_04.xlsx&amp;sheet=U0&amp;row=6547&amp;col=6&amp;number=3.3&amp;sourceID=14","3.3")</f>
        <v>3.3</v>
      </c>
      <c r="G6547" s="4" t="str">
        <f>HYPERLINK("http://141.218.60.56/~jnz1568/getInfo.php?workbook=12_04.xlsx&amp;sheet=U0&amp;row=6547&amp;col=7&amp;number=0.00409&amp;sourceID=14","0.00409")</f>
        <v>0.00409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HYPERLINK("http://141.218.60.56/~jnz1568/getInfo.php?workbook=12_04.xlsx&amp;sheet=U0&amp;row=6548&amp;col=6&amp;number=3.4&amp;sourceID=14","3.4")</f>
        <v>3.4</v>
      </c>
      <c r="G6548" s="4" t="str">
        <f>HYPERLINK("http://141.218.60.56/~jnz1568/getInfo.php?workbook=12_04.xlsx&amp;sheet=U0&amp;row=6548&amp;col=7&amp;number=0.00408&amp;sourceID=14","0.00408")</f>
        <v>0.00408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HYPERLINK("http://141.218.60.56/~jnz1568/getInfo.php?workbook=12_04.xlsx&amp;sheet=U0&amp;row=6549&amp;col=6&amp;number=3.5&amp;sourceID=14","3.5")</f>
        <v>3.5</v>
      </c>
      <c r="G6549" s="4" t="str">
        <f>HYPERLINK("http://141.218.60.56/~jnz1568/getInfo.php?workbook=12_04.xlsx&amp;sheet=U0&amp;row=6549&amp;col=7&amp;number=0.00408&amp;sourceID=14","0.00408")</f>
        <v>0.00408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HYPERLINK("http://141.218.60.56/~jnz1568/getInfo.php?workbook=12_04.xlsx&amp;sheet=U0&amp;row=6550&amp;col=6&amp;number=3.6&amp;sourceID=14","3.6")</f>
        <v>3.6</v>
      </c>
      <c r="G6550" s="4" t="str">
        <f>HYPERLINK("http://141.218.60.56/~jnz1568/getInfo.php?workbook=12_04.xlsx&amp;sheet=U0&amp;row=6550&amp;col=7&amp;number=0.00408&amp;sourceID=14","0.00408")</f>
        <v>0.00408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HYPERLINK("http://141.218.60.56/~jnz1568/getInfo.php?workbook=12_04.xlsx&amp;sheet=U0&amp;row=6551&amp;col=6&amp;number=3.7&amp;sourceID=14","3.7")</f>
        <v>3.7</v>
      </c>
      <c r="G6551" s="4" t="str">
        <f>HYPERLINK("http://141.218.60.56/~jnz1568/getInfo.php?workbook=12_04.xlsx&amp;sheet=U0&amp;row=6551&amp;col=7&amp;number=0.00407&amp;sourceID=14","0.00407")</f>
        <v>0.00407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HYPERLINK("http://141.218.60.56/~jnz1568/getInfo.php?workbook=12_04.xlsx&amp;sheet=U0&amp;row=6552&amp;col=6&amp;number=3.8&amp;sourceID=14","3.8")</f>
        <v>3.8</v>
      </c>
      <c r="G6552" s="4" t="str">
        <f>HYPERLINK("http://141.218.60.56/~jnz1568/getInfo.php?workbook=12_04.xlsx&amp;sheet=U0&amp;row=6552&amp;col=7&amp;number=0.00407&amp;sourceID=14","0.00407")</f>
        <v>0.00407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HYPERLINK("http://141.218.60.56/~jnz1568/getInfo.php?workbook=12_04.xlsx&amp;sheet=U0&amp;row=6553&amp;col=6&amp;number=3.9&amp;sourceID=14","3.9")</f>
        <v>3.9</v>
      </c>
      <c r="G6553" s="4" t="str">
        <f>HYPERLINK("http://141.218.60.56/~jnz1568/getInfo.php?workbook=12_04.xlsx&amp;sheet=U0&amp;row=6553&amp;col=7&amp;number=0.00406&amp;sourceID=14","0.00406")</f>
        <v>0.00406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HYPERLINK("http://141.218.60.56/~jnz1568/getInfo.php?workbook=12_04.xlsx&amp;sheet=U0&amp;row=6554&amp;col=6&amp;number=4&amp;sourceID=14","4")</f>
        <v>4</v>
      </c>
      <c r="G6554" s="4" t="str">
        <f>HYPERLINK("http://141.218.60.56/~jnz1568/getInfo.php?workbook=12_04.xlsx&amp;sheet=U0&amp;row=6554&amp;col=7&amp;number=0.00405&amp;sourceID=14","0.00405")</f>
        <v>0.00405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HYPERLINK("http://141.218.60.56/~jnz1568/getInfo.php?workbook=12_04.xlsx&amp;sheet=U0&amp;row=6555&amp;col=6&amp;number=4.1&amp;sourceID=14","4.1")</f>
        <v>4.1</v>
      </c>
      <c r="G6555" s="4" t="str">
        <f>HYPERLINK("http://141.218.60.56/~jnz1568/getInfo.php?workbook=12_04.xlsx&amp;sheet=U0&amp;row=6555&amp;col=7&amp;number=0.00404&amp;sourceID=14","0.00404")</f>
        <v>0.00404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HYPERLINK("http://141.218.60.56/~jnz1568/getInfo.php?workbook=12_04.xlsx&amp;sheet=U0&amp;row=6556&amp;col=6&amp;number=4.2&amp;sourceID=14","4.2")</f>
        <v>4.2</v>
      </c>
      <c r="G6556" s="4" t="str">
        <f>HYPERLINK("http://141.218.60.56/~jnz1568/getInfo.php?workbook=12_04.xlsx&amp;sheet=U0&amp;row=6556&amp;col=7&amp;number=0.00402&amp;sourceID=14","0.00402")</f>
        <v>0.00402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HYPERLINK("http://141.218.60.56/~jnz1568/getInfo.php?workbook=12_04.xlsx&amp;sheet=U0&amp;row=6557&amp;col=6&amp;number=4.3&amp;sourceID=14","4.3")</f>
        <v>4.3</v>
      </c>
      <c r="G6557" s="4" t="str">
        <f>HYPERLINK("http://141.218.60.56/~jnz1568/getInfo.php?workbook=12_04.xlsx&amp;sheet=U0&amp;row=6557&amp;col=7&amp;number=0.00401&amp;sourceID=14","0.00401")</f>
        <v>0.00401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HYPERLINK("http://141.218.60.56/~jnz1568/getInfo.php?workbook=12_04.xlsx&amp;sheet=U0&amp;row=6558&amp;col=6&amp;number=4.4&amp;sourceID=14","4.4")</f>
        <v>4.4</v>
      </c>
      <c r="G6558" s="4" t="str">
        <f>HYPERLINK("http://141.218.60.56/~jnz1568/getInfo.php?workbook=12_04.xlsx&amp;sheet=U0&amp;row=6558&amp;col=7&amp;number=0.00398&amp;sourceID=14","0.00398")</f>
        <v>0.00398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HYPERLINK("http://141.218.60.56/~jnz1568/getInfo.php?workbook=12_04.xlsx&amp;sheet=U0&amp;row=6559&amp;col=6&amp;number=4.5&amp;sourceID=14","4.5")</f>
        <v>4.5</v>
      </c>
      <c r="G6559" s="4" t="str">
        <f>HYPERLINK("http://141.218.60.56/~jnz1568/getInfo.php?workbook=12_04.xlsx&amp;sheet=U0&amp;row=6559&amp;col=7&amp;number=0.00395&amp;sourceID=14","0.00395")</f>
        <v>0.00395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HYPERLINK("http://141.218.60.56/~jnz1568/getInfo.php?workbook=12_04.xlsx&amp;sheet=U0&amp;row=6560&amp;col=6&amp;number=4.6&amp;sourceID=14","4.6")</f>
        <v>4.6</v>
      </c>
      <c r="G6560" s="4" t="str">
        <f>HYPERLINK("http://141.218.60.56/~jnz1568/getInfo.php?workbook=12_04.xlsx&amp;sheet=U0&amp;row=6560&amp;col=7&amp;number=0.00392&amp;sourceID=14","0.00392")</f>
        <v>0.00392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HYPERLINK("http://141.218.60.56/~jnz1568/getInfo.php?workbook=12_04.xlsx&amp;sheet=U0&amp;row=6561&amp;col=6&amp;number=4.7&amp;sourceID=14","4.7")</f>
        <v>4.7</v>
      </c>
      <c r="G6561" s="4" t="str">
        <f>HYPERLINK("http://141.218.60.56/~jnz1568/getInfo.php?workbook=12_04.xlsx&amp;sheet=U0&amp;row=6561&amp;col=7&amp;number=0.00387&amp;sourceID=14","0.00387")</f>
        <v>0.00387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HYPERLINK("http://141.218.60.56/~jnz1568/getInfo.php?workbook=12_04.xlsx&amp;sheet=U0&amp;row=6562&amp;col=6&amp;number=4.8&amp;sourceID=14","4.8")</f>
        <v>4.8</v>
      </c>
      <c r="G6562" s="4" t="str">
        <f>HYPERLINK("http://141.218.60.56/~jnz1568/getInfo.php?workbook=12_04.xlsx&amp;sheet=U0&amp;row=6562&amp;col=7&amp;number=0.00382&amp;sourceID=14","0.00382")</f>
        <v>0.00382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HYPERLINK("http://141.218.60.56/~jnz1568/getInfo.php?workbook=12_04.xlsx&amp;sheet=U0&amp;row=6563&amp;col=6&amp;number=4.9&amp;sourceID=14","4.9")</f>
        <v>4.9</v>
      </c>
      <c r="G6563" s="4" t="str">
        <f>HYPERLINK("http://141.218.60.56/~jnz1568/getInfo.php?workbook=12_04.xlsx&amp;sheet=U0&amp;row=6563&amp;col=7&amp;number=0.00375&amp;sourceID=14","0.00375")</f>
        <v>0.00375</v>
      </c>
    </row>
    <row r="6564" spans="1:7">
      <c r="A6564" s="3">
        <v>12</v>
      </c>
      <c r="B6564" s="3">
        <v>4</v>
      </c>
      <c r="C6564" s="3">
        <v>4</v>
      </c>
      <c r="D6564" s="3">
        <v>45</v>
      </c>
      <c r="E6564" s="3">
        <v>1</v>
      </c>
      <c r="F6564" s="4" t="str">
        <f>HYPERLINK("http://141.218.60.56/~jnz1568/getInfo.php?workbook=12_04.xlsx&amp;sheet=U0&amp;row=6564&amp;col=6&amp;number=3&amp;sourceID=14","3")</f>
        <v>3</v>
      </c>
      <c r="G6564" s="4" t="str">
        <f>HYPERLINK("http://141.218.60.56/~jnz1568/getInfo.php?workbook=12_04.xlsx&amp;sheet=U0&amp;row=6564&amp;col=7&amp;number=0.0172&amp;sourceID=14","0.0172")</f>
        <v>0.0172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HYPERLINK("http://141.218.60.56/~jnz1568/getInfo.php?workbook=12_04.xlsx&amp;sheet=U0&amp;row=6565&amp;col=6&amp;number=3.1&amp;sourceID=14","3.1")</f>
        <v>3.1</v>
      </c>
      <c r="G6565" s="4" t="str">
        <f>HYPERLINK("http://141.218.60.56/~jnz1568/getInfo.php?workbook=12_04.xlsx&amp;sheet=U0&amp;row=6565&amp;col=7&amp;number=0.0172&amp;sourceID=14","0.0172")</f>
        <v>0.0172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HYPERLINK("http://141.218.60.56/~jnz1568/getInfo.php?workbook=12_04.xlsx&amp;sheet=U0&amp;row=6566&amp;col=6&amp;number=3.2&amp;sourceID=14","3.2")</f>
        <v>3.2</v>
      </c>
      <c r="G6566" s="4" t="str">
        <f>HYPERLINK("http://141.218.60.56/~jnz1568/getInfo.php?workbook=12_04.xlsx&amp;sheet=U0&amp;row=6566&amp;col=7&amp;number=0.0172&amp;sourceID=14","0.0172")</f>
        <v>0.0172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HYPERLINK("http://141.218.60.56/~jnz1568/getInfo.php?workbook=12_04.xlsx&amp;sheet=U0&amp;row=6567&amp;col=6&amp;number=3.3&amp;sourceID=14","3.3")</f>
        <v>3.3</v>
      </c>
      <c r="G6567" s="4" t="str">
        <f>HYPERLINK("http://141.218.60.56/~jnz1568/getInfo.php?workbook=12_04.xlsx&amp;sheet=U0&amp;row=6567&amp;col=7&amp;number=0.0173&amp;sourceID=14","0.0173")</f>
        <v>0.0173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HYPERLINK("http://141.218.60.56/~jnz1568/getInfo.php?workbook=12_04.xlsx&amp;sheet=U0&amp;row=6568&amp;col=6&amp;number=3.4&amp;sourceID=14","3.4")</f>
        <v>3.4</v>
      </c>
      <c r="G6568" s="4" t="str">
        <f>HYPERLINK("http://141.218.60.56/~jnz1568/getInfo.php?workbook=12_04.xlsx&amp;sheet=U0&amp;row=6568&amp;col=7&amp;number=0.0173&amp;sourceID=14","0.0173")</f>
        <v>0.0173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HYPERLINK("http://141.218.60.56/~jnz1568/getInfo.php?workbook=12_04.xlsx&amp;sheet=U0&amp;row=6569&amp;col=6&amp;number=3.5&amp;sourceID=14","3.5")</f>
        <v>3.5</v>
      </c>
      <c r="G6569" s="4" t="str">
        <f>HYPERLINK("http://141.218.60.56/~jnz1568/getInfo.php?workbook=12_04.xlsx&amp;sheet=U0&amp;row=6569&amp;col=7&amp;number=0.0173&amp;sourceID=14","0.0173")</f>
        <v>0.0173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HYPERLINK("http://141.218.60.56/~jnz1568/getInfo.php?workbook=12_04.xlsx&amp;sheet=U0&amp;row=6570&amp;col=6&amp;number=3.6&amp;sourceID=14","3.6")</f>
        <v>3.6</v>
      </c>
      <c r="G6570" s="4" t="str">
        <f>HYPERLINK("http://141.218.60.56/~jnz1568/getInfo.php?workbook=12_04.xlsx&amp;sheet=U0&amp;row=6570&amp;col=7&amp;number=0.0174&amp;sourceID=14","0.0174")</f>
        <v>0.0174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HYPERLINK("http://141.218.60.56/~jnz1568/getInfo.php?workbook=12_04.xlsx&amp;sheet=U0&amp;row=6571&amp;col=6&amp;number=3.7&amp;sourceID=14","3.7")</f>
        <v>3.7</v>
      </c>
      <c r="G6571" s="4" t="str">
        <f>HYPERLINK("http://141.218.60.56/~jnz1568/getInfo.php?workbook=12_04.xlsx&amp;sheet=U0&amp;row=6571&amp;col=7&amp;number=0.0174&amp;sourceID=14","0.0174")</f>
        <v>0.0174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HYPERLINK("http://141.218.60.56/~jnz1568/getInfo.php?workbook=12_04.xlsx&amp;sheet=U0&amp;row=6572&amp;col=6&amp;number=3.8&amp;sourceID=14","3.8")</f>
        <v>3.8</v>
      </c>
      <c r="G6572" s="4" t="str">
        <f>HYPERLINK("http://141.218.60.56/~jnz1568/getInfo.php?workbook=12_04.xlsx&amp;sheet=U0&amp;row=6572&amp;col=7&amp;number=0.0175&amp;sourceID=14","0.0175")</f>
        <v>0.0175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HYPERLINK("http://141.218.60.56/~jnz1568/getInfo.php?workbook=12_04.xlsx&amp;sheet=U0&amp;row=6573&amp;col=6&amp;number=3.9&amp;sourceID=14","3.9")</f>
        <v>3.9</v>
      </c>
      <c r="G6573" s="4" t="str">
        <f>HYPERLINK("http://141.218.60.56/~jnz1568/getInfo.php?workbook=12_04.xlsx&amp;sheet=U0&amp;row=6573&amp;col=7&amp;number=0.0176&amp;sourceID=14","0.0176")</f>
        <v>0.0176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HYPERLINK("http://141.218.60.56/~jnz1568/getInfo.php?workbook=12_04.xlsx&amp;sheet=U0&amp;row=6574&amp;col=6&amp;number=4&amp;sourceID=14","4")</f>
        <v>4</v>
      </c>
      <c r="G6574" s="4" t="str">
        <f>HYPERLINK("http://141.218.60.56/~jnz1568/getInfo.php?workbook=12_04.xlsx&amp;sheet=U0&amp;row=6574&amp;col=7&amp;number=0.0178&amp;sourceID=14","0.0178")</f>
        <v>0.0178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HYPERLINK("http://141.218.60.56/~jnz1568/getInfo.php?workbook=12_04.xlsx&amp;sheet=U0&amp;row=6575&amp;col=6&amp;number=4.1&amp;sourceID=14","4.1")</f>
        <v>4.1</v>
      </c>
      <c r="G6575" s="4" t="str">
        <f>HYPERLINK("http://141.218.60.56/~jnz1568/getInfo.php?workbook=12_04.xlsx&amp;sheet=U0&amp;row=6575&amp;col=7&amp;number=0.0179&amp;sourceID=14","0.0179")</f>
        <v>0.0179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HYPERLINK("http://141.218.60.56/~jnz1568/getInfo.php?workbook=12_04.xlsx&amp;sheet=U0&amp;row=6576&amp;col=6&amp;number=4.2&amp;sourceID=14","4.2")</f>
        <v>4.2</v>
      </c>
      <c r="G6576" s="4" t="str">
        <f>HYPERLINK("http://141.218.60.56/~jnz1568/getInfo.php?workbook=12_04.xlsx&amp;sheet=U0&amp;row=6576&amp;col=7&amp;number=0.0181&amp;sourceID=14","0.0181")</f>
        <v>0.0181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HYPERLINK("http://141.218.60.56/~jnz1568/getInfo.php?workbook=12_04.xlsx&amp;sheet=U0&amp;row=6577&amp;col=6&amp;number=4.3&amp;sourceID=14","4.3")</f>
        <v>4.3</v>
      </c>
      <c r="G6577" s="4" t="str">
        <f>HYPERLINK("http://141.218.60.56/~jnz1568/getInfo.php?workbook=12_04.xlsx&amp;sheet=U0&amp;row=6577&amp;col=7&amp;number=0.0184&amp;sourceID=14","0.0184")</f>
        <v>0.0184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HYPERLINK("http://141.218.60.56/~jnz1568/getInfo.php?workbook=12_04.xlsx&amp;sheet=U0&amp;row=6578&amp;col=6&amp;number=4.4&amp;sourceID=14","4.4")</f>
        <v>4.4</v>
      </c>
      <c r="G6578" s="4" t="str">
        <f>HYPERLINK("http://141.218.60.56/~jnz1568/getInfo.php?workbook=12_04.xlsx&amp;sheet=U0&amp;row=6578&amp;col=7&amp;number=0.0187&amp;sourceID=14","0.0187")</f>
        <v>0.0187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HYPERLINK("http://141.218.60.56/~jnz1568/getInfo.php?workbook=12_04.xlsx&amp;sheet=U0&amp;row=6579&amp;col=6&amp;number=4.5&amp;sourceID=14","4.5")</f>
        <v>4.5</v>
      </c>
      <c r="G6579" s="4" t="str">
        <f>HYPERLINK("http://141.218.60.56/~jnz1568/getInfo.php?workbook=12_04.xlsx&amp;sheet=U0&amp;row=6579&amp;col=7&amp;number=0.0191&amp;sourceID=14","0.0191")</f>
        <v>0.0191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HYPERLINK("http://141.218.60.56/~jnz1568/getInfo.php?workbook=12_04.xlsx&amp;sheet=U0&amp;row=6580&amp;col=6&amp;number=4.6&amp;sourceID=14","4.6")</f>
        <v>4.6</v>
      </c>
      <c r="G6580" s="4" t="str">
        <f>HYPERLINK("http://141.218.60.56/~jnz1568/getInfo.php?workbook=12_04.xlsx&amp;sheet=U0&amp;row=6580&amp;col=7&amp;number=0.0195&amp;sourceID=14","0.0195")</f>
        <v>0.0195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HYPERLINK("http://141.218.60.56/~jnz1568/getInfo.php?workbook=12_04.xlsx&amp;sheet=U0&amp;row=6581&amp;col=6&amp;number=4.7&amp;sourceID=14","4.7")</f>
        <v>4.7</v>
      </c>
      <c r="G6581" s="4" t="str">
        <f>HYPERLINK("http://141.218.60.56/~jnz1568/getInfo.php?workbook=12_04.xlsx&amp;sheet=U0&amp;row=6581&amp;col=7&amp;number=0.0201&amp;sourceID=14","0.0201")</f>
        <v>0.0201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HYPERLINK("http://141.218.60.56/~jnz1568/getInfo.php?workbook=12_04.xlsx&amp;sheet=U0&amp;row=6582&amp;col=6&amp;number=4.8&amp;sourceID=14","4.8")</f>
        <v>4.8</v>
      </c>
      <c r="G6582" s="4" t="str">
        <f>HYPERLINK("http://141.218.60.56/~jnz1568/getInfo.php?workbook=12_04.xlsx&amp;sheet=U0&amp;row=6582&amp;col=7&amp;number=0.0208&amp;sourceID=14","0.0208")</f>
        <v>0.0208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HYPERLINK("http://141.218.60.56/~jnz1568/getInfo.php?workbook=12_04.xlsx&amp;sheet=U0&amp;row=6583&amp;col=6&amp;number=4.9&amp;sourceID=14","4.9")</f>
        <v>4.9</v>
      </c>
      <c r="G6583" s="4" t="str">
        <f>HYPERLINK("http://141.218.60.56/~jnz1568/getInfo.php?workbook=12_04.xlsx&amp;sheet=U0&amp;row=6583&amp;col=7&amp;number=0.0216&amp;sourceID=14","0.0216")</f>
        <v>0.0216</v>
      </c>
    </row>
    <row r="6584" spans="1:7">
      <c r="A6584" s="3">
        <v>12</v>
      </c>
      <c r="B6584" s="3">
        <v>4</v>
      </c>
      <c r="C6584" s="3">
        <v>4</v>
      </c>
      <c r="D6584" s="3">
        <v>46</v>
      </c>
      <c r="E6584" s="3">
        <v>1</v>
      </c>
      <c r="F6584" s="4" t="str">
        <f>HYPERLINK("http://141.218.60.56/~jnz1568/getInfo.php?workbook=12_04.xlsx&amp;sheet=U0&amp;row=6584&amp;col=6&amp;number=3&amp;sourceID=14","3")</f>
        <v>3</v>
      </c>
      <c r="G6584" s="4" t="str">
        <f>HYPERLINK("http://141.218.60.56/~jnz1568/getInfo.php?workbook=12_04.xlsx&amp;sheet=U0&amp;row=6584&amp;col=7&amp;number=0.00826&amp;sourceID=14","0.00826")</f>
        <v>0.00826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HYPERLINK("http://141.218.60.56/~jnz1568/getInfo.php?workbook=12_04.xlsx&amp;sheet=U0&amp;row=6585&amp;col=6&amp;number=3.1&amp;sourceID=14","3.1")</f>
        <v>3.1</v>
      </c>
      <c r="G6585" s="4" t="str">
        <f>HYPERLINK("http://141.218.60.56/~jnz1568/getInfo.php?workbook=12_04.xlsx&amp;sheet=U0&amp;row=6585&amp;col=7&amp;number=0.00827&amp;sourceID=14","0.00827")</f>
        <v>0.00827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HYPERLINK("http://141.218.60.56/~jnz1568/getInfo.php?workbook=12_04.xlsx&amp;sheet=U0&amp;row=6586&amp;col=6&amp;number=3.2&amp;sourceID=14","3.2")</f>
        <v>3.2</v>
      </c>
      <c r="G6586" s="4" t="str">
        <f>HYPERLINK("http://141.218.60.56/~jnz1568/getInfo.php?workbook=12_04.xlsx&amp;sheet=U0&amp;row=6586&amp;col=7&amp;number=0.00828&amp;sourceID=14","0.00828")</f>
        <v>0.00828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HYPERLINK("http://141.218.60.56/~jnz1568/getInfo.php?workbook=12_04.xlsx&amp;sheet=U0&amp;row=6587&amp;col=6&amp;number=3.3&amp;sourceID=14","3.3")</f>
        <v>3.3</v>
      </c>
      <c r="G6587" s="4" t="str">
        <f>HYPERLINK("http://141.218.60.56/~jnz1568/getInfo.php?workbook=12_04.xlsx&amp;sheet=U0&amp;row=6587&amp;col=7&amp;number=0.00828&amp;sourceID=14","0.00828")</f>
        <v>0.00828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HYPERLINK("http://141.218.60.56/~jnz1568/getInfo.php?workbook=12_04.xlsx&amp;sheet=U0&amp;row=6588&amp;col=6&amp;number=3.4&amp;sourceID=14","3.4")</f>
        <v>3.4</v>
      </c>
      <c r="G6588" s="4" t="str">
        <f>HYPERLINK("http://141.218.60.56/~jnz1568/getInfo.php?workbook=12_04.xlsx&amp;sheet=U0&amp;row=6588&amp;col=7&amp;number=0.00829&amp;sourceID=14","0.00829")</f>
        <v>0.00829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HYPERLINK("http://141.218.60.56/~jnz1568/getInfo.php?workbook=12_04.xlsx&amp;sheet=U0&amp;row=6589&amp;col=6&amp;number=3.5&amp;sourceID=14","3.5")</f>
        <v>3.5</v>
      </c>
      <c r="G6589" s="4" t="str">
        <f>HYPERLINK("http://141.218.60.56/~jnz1568/getInfo.php?workbook=12_04.xlsx&amp;sheet=U0&amp;row=6589&amp;col=7&amp;number=0.00831&amp;sourceID=14","0.00831")</f>
        <v>0.00831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HYPERLINK("http://141.218.60.56/~jnz1568/getInfo.php?workbook=12_04.xlsx&amp;sheet=U0&amp;row=6590&amp;col=6&amp;number=3.6&amp;sourceID=14","3.6")</f>
        <v>3.6</v>
      </c>
      <c r="G6590" s="4" t="str">
        <f>HYPERLINK("http://141.218.60.56/~jnz1568/getInfo.php?workbook=12_04.xlsx&amp;sheet=U0&amp;row=6590&amp;col=7&amp;number=0.00832&amp;sourceID=14","0.00832")</f>
        <v>0.00832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HYPERLINK("http://141.218.60.56/~jnz1568/getInfo.php?workbook=12_04.xlsx&amp;sheet=U0&amp;row=6591&amp;col=6&amp;number=3.7&amp;sourceID=14","3.7")</f>
        <v>3.7</v>
      </c>
      <c r="G6591" s="4" t="str">
        <f>HYPERLINK("http://141.218.60.56/~jnz1568/getInfo.php?workbook=12_04.xlsx&amp;sheet=U0&amp;row=6591&amp;col=7&amp;number=0.00834&amp;sourceID=14","0.00834")</f>
        <v>0.00834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HYPERLINK("http://141.218.60.56/~jnz1568/getInfo.php?workbook=12_04.xlsx&amp;sheet=U0&amp;row=6592&amp;col=6&amp;number=3.8&amp;sourceID=14","3.8")</f>
        <v>3.8</v>
      </c>
      <c r="G6592" s="4" t="str">
        <f>HYPERLINK("http://141.218.60.56/~jnz1568/getInfo.php?workbook=12_04.xlsx&amp;sheet=U0&amp;row=6592&amp;col=7&amp;number=0.00837&amp;sourceID=14","0.00837")</f>
        <v>0.00837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HYPERLINK("http://141.218.60.56/~jnz1568/getInfo.php?workbook=12_04.xlsx&amp;sheet=U0&amp;row=6593&amp;col=6&amp;number=3.9&amp;sourceID=14","3.9")</f>
        <v>3.9</v>
      </c>
      <c r="G6593" s="4" t="str">
        <f>HYPERLINK("http://141.218.60.56/~jnz1568/getInfo.php?workbook=12_04.xlsx&amp;sheet=U0&amp;row=6593&amp;col=7&amp;number=0.0084&amp;sourceID=14","0.0084")</f>
        <v>0.0084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HYPERLINK("http://141.218.60.56/~jnz1568/getInfo.php?workbook=12_04.xlsx&amp;sheet=U0&amp;row=6594&amp;col=6&amp;number=4&amp;sourceID=14","4")</f>
        <v>4</v>
      </c>
      <c r="G6594" s="4" t="str">
        <f>HYPERLINK("http://141.218.60.56/~jnz1568/getInfo.php?workbook=12_04.xlsx&amp;sheet=U0&amp;row=6594&amp;col=7&amp;number=0.00844&amp;sourceID=14","0.00844")</f>
        <v>0.00844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HYPERLINK("http://141.218.60.56/~jnz1568/getInfo.php?workbook=12_04.xlsx&amp;sheet=U0&amp;row=6595&amp;col=6&amp;number=4.1&amp;sourceID=14","4.1")</f>
        <v>4.1</v>
      </c>
      <c r="G6595" s="4" t="str">
        <f>HYPERLINK("http://141.218.60.56/~jnz1568/getInfo.php?workbook=12_04.xlsx&amp;sheet=U0&amp;row=6595&amp;col=7&amp;number=0.00849&amp;sourceID=14","0.00849")</f>
        <v>0.00849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HYPERLINK("http://141.218.60.56/~jnz1568/getInfo.php?workbook=12_04.xlsx&amp;sheet=U0&amp;row=6596&amp;col=6&amp;number=4.2&amp;sourceID=14","4.2")</f>
        <v>4.2</v>
      </c>
      <c r="G6596" s="4" t="str">
        <f>HYPERLINK("http://141.218.60.56/~jnz1568/getInfo.php?workbook=12_04.xlsx&amp;sheet=U0&amp;row=6596&amp;col=7&amp;number=0.00855&amp;sourceID=14","0.00855")</f>
        <v>0.00855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HYPERLINK("http://141.218.60.56/~jnz1568/getInfo.php?workbook=12_04.xlsx&amp;sheet=U0&amp;row=6597&amp;col=6&amp;number=4.3&amp;sourceID=14","4.3")</f>
        <v>4.3</v>
      </c>
      <c r="G6597" s="4" t="str">
        <f>HYPERLINK("http://141.218.60.56/~jnz1568/getInfo.php?workbook=12_04.xlsx&amp;sheet=U0&amp;row=6597&amp;col=7&amp;number=0.00863&amp;sourceID=14","0.00863")</f>
        <v>0.00863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HYPERLINK("http://141.218.60.56/~jnz1568/getInfo.php?workbook=12_04.xlsx&amp;sheet=U0&amp;row=6598&amp;col=6&amp;number=4.4&amp;sourceID=14","4.4")</f>
        <v>4.4</v>
      </c>
      <c r="G6598" s="4" t="str">
        <f>HYPERLINK("http://141.218.60.56/~jnz1568/getInfo.php?workbook=12_04.xlsx&amp;sheet=U0&amp;row=6598&amp;col=7&amp;number=0.00872&amp;sourceID=14","0.00872")</f>
        <v>0.00872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HYPERLINK("http://141.218.60.56/~jnz1568/getInfo.php?workbook=12_04.xlsx&amp;sheet=U0&amp;row=6599&amp;col=6&amp;number=4.5&amp;sourceID=14","4.5")</f>
        <v>4.5</v>
      </c>
      <c r="G6599" s="4" t="str">
        <f>HYPERLINK("http://141.218.60.56/~jnz1568/getInfo.php?workbook=12_04.xlsx&amp;sheet=U0&amp;row=6599&amp;col=7&amp;number=0.00884&amp;sourceID=14","0.00884")</f>
        <v>0.00884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HYPERLINK("http://141.218.60.56/~jnz1568/getInfo.php?workbook=12_04.xlsx&amp;sheet=U0&amp;row=6600&amp;col=6&amp;number=4.6&amp;sourceID=14","4.6")</f>
        <v>4.6</v>
      </c>
      <c r="G6600" s="4" t="str">
        <f>HYPERLINK("http://141.218.60.56/~jnz1568/getInfo.php?workbook=12_04.xlsx&amp;sheet=U0&amp;row=6600&amp;col=7&amp;number=0.00899&amp;sourceID=14","0.00899")</f>
        <v>0.00899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HYPERLINK("http://141.218.60.56/~jnz1568/getInfo.php?workbook=12_04.xlsx&amp;sheet=U0&amp;row=6601&amp;col=6&amp;number=4.7&amp;sourceID=14","4.7")</f>
        <v>4.7</v>
      </c>
      <c r="G6601" s="4" t="str">
        <f>HYPERLINK("http://141.218.60.56/~jnz1568/getInfo.php?workbook=12_04.xlsx&amp;sheet=U0&amp;row=6601&amp;col=7&amp;number=0.00916&amp;sourceID=14","0.00916")</f>
        <v>0.00916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HYPERLINK("http://141.218.60.56/~jnz1568/getInfo.php?workbook=12_04.xlsx&amp;sheet=U0&amp;row=6602&amp;col=6&amp;number=4.8&amp;sourceID=14","4.8")</f>
        <v>4.8</v>
      </c>
      <c r="G6602" s="4" t="str">
        <f>HYPERLINK("http://141.218.60.56/~jnz1568/getInfo.php?workbook=12_04.xlsx&amp;sheet=U0&amp;row=6602&amp;col=7&amp;number=0.00937&amp;sourceID=14","0.00937")</f>
        <v>0.00937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HYPERLINK("http://141.218.60.56/~jnz1568/getInfo.php?workbook=12_04.xlsx&amp;sheet=U0&amp;row=6603&amp;col=6&amp;number=4.9&amp;sourceID=14","4.9")</f>
        <v>4.9</v>
      </c>
      <c r="G6603" s="4" t="str">
        <f>HYPERLINK("http://141.218.60.56/~jnz1568/getInfo.php?workbook=12_04.xlsx&amp;sheet=U0&amp;row=6603&amp;col=7&amp;number=0.00961&amp;sourceID=14","0.00961")</f>
        <v>0.00961</v>
      </c>
    </row>
    <row r="6604" spans="1:7">
      <c r="A6604" s="3">
        <v>12</v>
      </c>
      <c r="B6604" s="3">
        <v>4</v>
      </c>
      <c r="C6604" s="3">
        <v>4</v>
      </c>
      <c r="D6604" s="3">
        <v>47</v>
      </c>
      <c r="E6604" s="3">
        <v>1</v>
      </c>
      <c r="F6604" s="4" t="str">
        <f>HYPERLINK("http://141.218.60.56/~jnz1568/getInfo.php?workbook=12_04.xlsx&amp;sheet=U0&amp;row=6604&amp;col=6&amp;number=3&amp;sourceID=14","3")</f>
        <v>3</v>
      </c>
      <c r="G6604" s="4" t="str">
        <f>HYPERLINK("http://141.218.60.56/~jnz1568/getInfo.php?workbook=12_04.xlsx&amp;sheet=U0&amp;row=6604&amp;col=7&amp;number=0.0863&amp;sourceID=14","0.0863")</f>
        <v>0.0863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HYPERLINK("http://141.218.60.56/~jnz1568/getInfo.php?workbook=12_04.xlsx&amp;sheet=U0&amp;row=6605&amp;col=6&amp;number=3.1&amp;sourceID=14","3.1")</f>
        <v>3.1</v>
      </c>
      <c r="G6605" s="4" t="str">
        <f>HYPERLINK("http://141.218.60.56/~jnz1568/getInfo.php?workbook=12_04.xlsx&amp;sheet=U0&amp;row=6605&amp;col=7&amp;number=0.0862&amp;sourceID=14","0.0862")</f>
        <v>0.0862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HYPERLINK("http://141.218.60.56/~jnz1568/getInfo.php?workbook=12_04.xlsx&amp;sheet=U0&amp;row=6606&amp;col=6&amp;number=3.2&amp;sourceID=14","3.2")</f>
        <v>3.2</v>
      </c>
      <c r="G6606" s="4" t="str">
        <f>HYPERLINK("http://141.218.60.56/~jnz1568/getInfo.php?workbook=12_04.xlsx&amp;sheet=U0&amp;row=6606&amp;col=7&amp;number=0.0861&amp;sourceID=14","0.0861")</f>
        <v>0.0861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HYPERLINK("http://141.218.60.56/~jnz1568/getInfo.php?workbook=12_04.xlsx&amp;sheet=U0&amp;row=6607&amp;col=6&amp;number=3.3&amp;sourceID=14","3.3")</f>
        <v>3.3</v>
      </c>
      <c r="G6607" s="4" t="str">
        <f>HYPERLINK("http://141.218.60.56/~jnz1568/getInfo.php?workbook=12_04.xlsx&amp;sheet=U0&amp;row=6607&amp;col=7&amp;number=0.0859&amp;sourceID=14","0.0859")</f>
        <v>0.0859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HYPERLINK("http://141.218.60.56/~jnz1568/getInfo.php?workbook=12_04.xlsx&amp;sheet=U0&amp;row=6608&amp;col=6&amp;number=3.4&amp;sourceID=14","3.4")</f>
        <v>3.4</v>
      </c>
      <c r="G6608" s="4" t="str">
        <f>HYPERLINK("http://141.218.60.56/~jnz1568/getInfo.php?workbook=12_04.xlsx&amp;sheet=U0&amp;row=6608&amp;col=7&amp;number=0.0857&amp;sourceID=14","0.0857")</f>
        <v>0.0857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HYPERLINK("http://141.218.60.56/~jnz1568/getInfo.php?workbook=12_04.xlsx&amp;sheet=U0&amp;row=6609&amp;col=6&amp;number=3.5&amp;sourceID=14","3.5")</f>
        <v>3.5</v>
      </c>
      <c r="G6609" s="4" t="str">
        <f>HYPERLINK("http://141.218.60.56/~jnz1568/getInfo.php?workbook=12_04.xlsx&amp;sheet=U0&amp;row=6609&amp;col=7&amp;number=0.0854&amp;sourceID=14","0.0854")</f>
        <v>0.0854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HYPERLINK("http://141.218.60.56/~jnz1568/getInfo.php?workbook=12_04.xlsx&amp;sheet=U0&amp;row=6610&amp;col=6&amp;number=3.6&amp;sourceID=14","3.6")</f>
        <v>3.6</v>
      </c>
      <c r="G6610" s="4" t="str">
        <f>HYPERLINK("http://141.218.60.56/~jnz1568/getInfo.php?workbook=12_04.xlsx&amp;sheet=U0&amp;row=6610&amp;col=7&amp;number=0.0851&amp;sourceID=14","0.0851")</f>
        <v>0.0851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HYPERLINK("http://141.218.60.56/~jnz1568/getInfo.php?workbook=12_04.xlsx&amp;sheet=U0&amp;row=6611&amp;col=6&amp;number=3.7&amp;sourceID=14","3.7")</f>
        <v>3.7</v>
      </c>
      <c r="G6611" s="4" t="str">
        <f>HYPERLINK("http://141.218.60.56/~jnz1568/getInfo.php?workbook=12_04.xlsx&amp;sheet=U0&amp;row=6611&amp;col=7&amp;number=0.0847&amp;sourceID=14","0.0847")</f>
        <v>0.0847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HYPERLINK("http://141.218.60.56/~jnz1568/getInfo.php?workbook=12_04.xlsx&amp;sheet=U0&amp;row=6612&amp;col=6&amp;number=3.8&amp;sourceID=14","3.8")</f>
        <v>3.8</v>
      </c>
      <c r="G6612" s="4" t="str">
        <f>HYPERLINK("http://141.218.60.56/~jnz1568/getInfo.php?workbook=12_04.xlsx&amp;sheet=U0&amp;row=6612&amp;col=7&amp;number=0.0841&amp;sourceID=14","0.0841")</f>
        <v>0.0841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HYPERLINK("http://141.218.60.56/~jnz1568/getInfo.php?workbook=12_04.xlsx&amp;sheet=U0&amp;row=6613&amp;col=6&amp;number=3.9&amp;sourceID=14","3.9")</f>
        <v>3.9</v>
      </c>
      <c r="G6613" s="4" t="str">
        <f>HYPERLINK("http://141.218.60.56/~jnz1568/getInfo.php?workbook=12_04.xlsx&amp;sheet=U0&amp;row=6613&amp;col=7&amp;number=0.0834&amp;sourceID=14","0.0834")</f>
        <v>0.0834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HYPERLINK("http://141.218.60.56/~jnz1568/getInfo.php?workbook=12_04.xlsx&amp;sheet=U0&amp;row=6614&amp;col=6&amp;number=4&amp;sourceID=14","4")</f>
        <v>4</v>
      </c>
      <c r="G6614" s="4" t="str">
        <f>HYPERLINK("http://141.218.60.56/~jnz1568/getInfo.php?workbook=12_04.xlsx&amp;sheet=U0&amp;row=6614&amp;col=7&amp;number=0.0826&amp;sourceID=14","0.0826")</f>
        <v>0.0826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HYPERLINK("http://141.218.60.56/~jnz1568/getInfo.php?workbook=12_04.xlsx&amp;sheet=U0&amp;row=6615&amp;col=6&amp;number=4.1&amp;sourceID=14","4.1")</f>
        <v>4.1</v>
      </c>
      <c r="G6615" s="4" t="str">
        <f>HYPERLINK("http://141.218.60.56/~jnz1568/getInfo.php?workbook=12_04.xlsx&amp;sheet=U0&amp;row=6615&amp;col=7&amp;number=0.0815&amp;sourceID=14","0.0815")</f>
        <v>0.0815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HYPERLINK("http://141.218.60.56/~jnz1568/getInfo.php?workbook=12_04.xlsx&amp;sheet=U0&amp;row=6616&amp;col=6&amp;number=4.2&amp;sourceID=14","4.2")</f>
        <v>4.2</v>
      </c>
      <c r="G6616" s="4" t="str">
        <f>HYPERLINK("http://141.218.60.56/~jnz1568/getInfo.php?workbook=12_04.xlsx&amp;sheet=U0&amp;row=6616&amp;col=7&amp;number=0.0802&amp;sourceID=14","0.0802")</f>
        <v>0.0802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HYPERLINK("http://141.218.60.56/~jnz1568/getInfo.php?workbook=12_04.xlsx&amp;sheet=U0&amp;row=6617&amp;col=6&amp;number=4.3&amp;sourceID=14","4.3")</f>
        <v>4.3</v>
      </c>
      <c r="G6617" s="4" t="str">
        <f>HYPERLINK("http://141.218.60.56/~jnz1568/getInfo.php?workbook=12_04.xlsx&amp;sheet=U0&amp;row=6617&amp;col=7&amp;number=0.0786&amp;sourceID=14","0.0786")</f>
        <v>0.0786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HYPERLINK("http://141.218.60.56/~jnz1568/getInfo.php?workbook=12_04.xlsx&amp;sheet=U0&amp;row=6618&amp;col=6&amp;number=4.4&amp;sourceID=14","4.4")</f>
        <v>4.4</v>
      </c>
      <c r="G6618" s="4" t="str">
        <f>HYPERLINK("http://141.218.60.56/~jnz1568/getInfo.php?workbook=12_04.xlsx&amp;sheet=U0&amp;row=6618&amp;col=7&amp;number=0.0765&amp;sourceID=14","0.0765")</f>
        <v>0.0765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HYPERLINK("http://141.218.60.56/~jnz1568/getInfo.php?workbook=12_04.xlsx&amp;sheet=U0&amp;row=6619&amp;col=6&amp;number=4.5&amp;sourceID=14","4.5")</f>
        <v>4.5</v>
      </c>
      <c r="G6619" s="4" t="str">
        <f>HYPERLINK("http://141.218.60.56/~jnz1568/getInfo.php?workbook=12_04.xlsx&amp;sheet=U0&amp;row=6619&amp;col=7&amp;number=0.0739&amp;sourceID=14","0.0739")</f>
        <v>0.0739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HYPERLINK("http://141.218.60.56/~jnz1568/getInfo.php?workbook=12_04.xlsx&amp;sheet=U0&amp;row=6620&amp;col=6&amp;number=4.6&amp;sourceID=14","4.6")</f>
        <v>4.6</v>
      </c>
      <c r="G6620" s="4" t="str">
        <f>HYPERLINK("http://141.218.60.56/~jnz1568/getInfo.php?workbook=12_04.xlsx&amp;sheet=U0&amp;row=6620&amp;col=7&amp;number=0.0708&amp;sourceID=14","0.0708")</f>
        <v>0.0708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HYPERLINK("http://141.218.60.56/~jnz1568/getInfo.php?workbook=12_04.xlsx&amp;sheet=U0&amp;row=6621&amp;col=6&amp;number=4.7&amp;sourceID=14","4.7")</f>
        <v>4.7</v>
      </c>
      <c r="G6621" s="4" t="str">
        <f>HYPERLINK("http://141.218.60.56/~jnz1568/getInfo.php?workbook=12_04.xlsx&amp;sheet=U0&amp;row=6621&amp;col=7&amp;number=0.0669&amp;sourceID=14","0.0669")</f>
        <v>0.0669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HYPERLINK("http://141.218.60.56/~jnz1568/getInfo.php?workbook=12_04.xlsx&amp;sheet=U0&amp;row=6622&amp;col=6&amp;number=4.8&amp;sourceID=14","4.8")</f>
        <v>4.8</v>
      </c>
      <c r="G6622" s="4" t="str">
        <f>HYPERLINK("http://141.218.60.56/~jnz1568/getInfo.php?workbook=12_04.xlsx&amp;sheet=U0&amp;row=6622&amp;col=7&amp;number=0.0622&amp;sourceID=14","0.0622")</f>
        <v>0.0622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HYPERLINK("http://141.218.60.56/~jnz1568/getInfo.php?workbook=12_04.xlsx&amp;sheet=U0&amp;row=6623&amp;col=6&amp;number=4.9&amp;sourceID=14","4.9")</f>
        <v>4.9</v>
      </c>
      <c r="G6623" s="4" t="str">
        <f>HYPERLINK("http://141.218.60.56/~jnz1568/getInfo.php?workbook=12_04.xlsx&amp;sheet=U0&amp;row=6623&amp;col=7&amp;number=0.0565&amp;sourceID=14","0.0565")</f>
        <v>0.0565</v>
      </c>
    </row>
    <row r="6624" spans="1:7">
      <c r="A6624" s="3">
        <v>12</v>
      </c>
      <c r="B6624" s="3">
        <v>4</v>
      </c>
      <c r="C6624" s="3">
        <v>4</v>
      </c>
      <c r="D6624" s="3">
        <v>48</v>
      </c>
      <c r="E6624" s="3">
        <v>1</v>
      </c>
      <c r="F6624" s="4" t="str">
        <f>HYPERLINK("http://141.218.60.56/~jnz1568/getInfo.php?workbook=12_04.xlsx&amp;sheet=U0&amp;row=6624&amp;col=6&amp;number=3&amp;sourceID=14","3")</f>
        <v>3</v>
      </c>
      <c r="G6624" s="4" t="str">
        <f>HYPERLINK("http://141.218.60.56/~jnz1568/getInfo.php?workbook=12_04.xlsx&amp;sheet=U0&amp;row=6624&amp;col=7&amp;number=0.019&amp;sourceID=14","0.019")</f>
        <v>0.019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HYPERLINK("http://141.218.60.56/~jnz1568/getInfo.php?workbook=12_04.xlsx&amp;sheet=U0&amp;row=6625&amp;col=6&amp;number=3.1&amp;sourceID=14","3.1")</f>
        <v>3.1</v>
      </c>
      <c r="G6625" s="4" t="str">
        <f>HYPERLINK("http://141.218.60.56/~jnz1568/getInfo.php?workbook=12_04.xlsx&amp;sheet=U0&amp;row=6625&amp;col=7&amp;number=0.019&amp;sourceID=14","0.019")</f>
        <v>0.019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HYPERLINK("http://141.218.60.56/~jnz1568/getInfo.php?workbook=12_04.xlsx&amp;sheet=U0&amp;row=6626&amp;col=6&amp;number=3.2&amp;sourceID=14","3.2")</f>
        <v>3.2</v>
      </c>
      <c r="G6626" s="4" t="str">
        <f>HYPERLINK("http://141.218.60.56/~jnz1568/getInfo.php?workbook=12_04.xlsx&amp;sheet=U0&amp;row=6626&amp;col=7&amp;number=0.019&amp;sourceID=14","0.019")</f>
        <v>0.019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HYPERLINK("http://141.218.60.56/~jnz1568/getInfo.php?workbook=12_04.xlsx&amp;sheet=U0&amp;row=6627&amp;col=6&amp;number=3.3&amp;sourceID=14","3.3")</f>
        <v>3.3</v>
      </c>
      <c r="G6627" s="4" t="str">
        <f>HYPERLINK("http://141.218.60.56/~jnz1568/getInfo.php?workbook=12_04.xlsx&amp;sheet=U0&amp;row=6627&amp;col=7&amp;number=0.0189&amp;sourceID=14","0.0189")</f>
        <v>0.0189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HYPERLINK("http://141.218.60.56/~jnz1568/getInfo.php?workbook=12_04.xlsx&amp;sheet=U0&amp;row=6628&amp;col=6&amp;number=3.4&amp;sourceID=14","3.4")</f>
        <v>3.4</v>
      </c>
      <c r="G6628" s="4" t="str">
        <f>HYPERLINK("http://141.218.60.56/~jnz1568/getInfo.php?workbook=12_04.xlsx&amp;sheet=U0&amp;row=6628&amp;col=7&amp;number=0.0189&amp;sourceID=14","0.0189")</f>
        <v>0.0189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HYPERLINK("http://141.218.60.56/~jnz1568/getInfo.php?workbook=12_04.xlsx&amp;sheet=U0&amp;row=6629&amp;col=6&amp;number=3.5&amp;sourceID=14","3.5")</f>
        <v>3.5</v>
      </c>
      <c r="G6629" s="4" t="str">
        <f>HYPERLINK("http://141.218.60.56/~jnz1568/getInfo.php?workbook=12_04.xlsx&amp;sheet=U0&amp;row=6629&amp;col=7&amp;number=0.0188&amp;sourceID=14","0.0188")</f>
        <v>0.0188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HYPERLINK("http://141.218.60.56/~jnz1568/getInfo.php?workbook=12_04.xlsx&amp;sheet=U0&amp;row=6630&amp;col=6&amp;number=3.6&amp;sourceID=14","3.6")</f>
        <v>3.6</v>
      </c>
      <c r="G6630" s="4" t="str">
        <f>HYPERLINK("http://141.218.60.56/~jnz1568/getInfo.php?workbook=12_04.xlsx&amp;sheet=U0&amp;row=6630&amp;col=7&amp;number=0.0187&amp;sourceID=14","0.0187")</f>
        <v>0.0187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HYPERLINK("http://141.218.60.56/~jnz1568/getInfo.php?workbook=12_04.xlsx&amp;sheet=U0&amp;row=6631&amp;col=6&amp;number=3.7&amp;sourceID=14","3.7")</f>
        <v>3.7</v>
      </c>
      <c r="G6631" s="4" t="str">
        <f>HYPERLINK("http://141.218.60.56/~jnz1568/getInfo.php?workbook=12_04.xlsx&amp;sheet=U0&amp;row=6631&amp;col=7&amp;number=0.0186&amp;sourceID=14","0.0186")</f>
        <v>0.0186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HYPERLINK("http://141.218.60.56/~jnz1568/getInfo.php?workbook=12_04.xlsx&amp;sheet=U0&amp;row=6632&amp;col=6&amp;number=3.8&amp;sourceID=14","3.8")</f>
        <v>3.8</v>
      </c>
      <c r="G6632" s="4" t="str">
        <f>HYPERLINK("http://141.218.60.56/~jnz1568/getInfo.php?workbook=12_04.xlsx&amp;sheet=U0&amp;row=6632&amp;col=7&amp;number=0.0184&amp;sourceID=14","0.0184")</f>
        <v>0.0184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HYPERLINK("http://141.218.60.56/~jnz1568/getInfo.php?workbook=12_04.xlsx&amp;sheet=U0&amp;row=6633&amp;col=6&amp;number=3.9&amp;sourceID=14","3.9")</f>
        <v>3.9</v>
      </c>
      <c r="G6633" s="4" t="str">
        <f>HYPERLINK("http://141.218.60.56/~jnz1568/getInfo.php?workbook=12_04.xlsx&amp;sheet=U0&amp;row=6633&amp;col=7&amp;number=0.0182&amp;sourceID=14","0.0182")</f>
        <v>0.0182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HYPERLINK("http://141.218.60.56/~jnz1568/getInfo.php?workbook=12_04.xlsx&amp;sheet=U0&amp;row=6634&amp;col=6&amp;number=4&amp;sourceID=14","4")</f>
        <v>4</v>
      </c>
      <c r="G6634" s="4" t="str">
        <f>HYPERLINK("http://141.218.60.56/~jnz1568/getInfo.php?workbook=12_04.xlsx&amp;sheet=U0&amp;row=6634&amp;col=7&amp;number=0.018&amp;sourceID=14","0.018")</f>
        <v>0.018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HYPERLINK("http://141.218.60.56/~jnz1568/getInfo.php?workbook=12_04.xlsx&amp;sheet=U0&amp;row=6635&amp;col=6&amp;number=4.1&amp;sourceID=14","4.1")</f>
        <v>4.1</v>
      </c>
      <c r="G6635" s="4" t="str">
        <f>HYPERLINK("http://141.218.60.56/~jnz1568/getInfo.php?workbook=12_04.xlsx&amp;sheet=U0&amp;row=6635&amp;col=7&amp;number=0.0177&amp;sourceID=14","0.0177")</f>
        <v>0.0177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HYPERLINK("http://141.218.60.56/~jnz1568/getInfo.php?workbook=12_04.xlsx&amp;sheet=U0&amp;row=6636&amp;col=6&amp;number=4.2&amp;sourceID=14","4.2")</f>
        <v>4.2</v>
      </c>
      <c r="G6636" s="4" t="str">
        <f>HYPERLINK("http://141.218.60.56/~jnz1568/getInfo.php?workbook=12_04.xlsx&amp;sheet=U0&amp;row=6636&amp;col=7&amp;number=0.0173&amp;sourceID=14","0.0173")</f>
        <v>0.0173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HYPERLINK("http://141.218.60.56/~jnz1568/getInfo.php?workbook=12_04.xlsx&amp;sheet=U0&amp;row=6637&amp;col=6&amp;number=4.3&amp;sourceID=14","4.3")</f>
        <v>4.3</v>
      </c>
      <c r="G6637" s="4" t="str">
        <f>HYPERLINK("http://141.218.60.56/~jnz1568/getInfo.php?workbook=12_04.xlsx&amp;sheet=U0&amp;row=6637&amp;col=7&amp;number=0.0169&amp;sourceID=14","0.0169")</f>
        <v>0.0169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HYPERLINK("http://141.218.60.56/~jnz1568/getInfo.php?workbook=12_04.xlsx&amp;sheet=U0&amp;row=6638&amp;col=6&amp;number=4.4&amp;sourceID=14","4.4")</f>
        <v>4.4</v>
      </c>
      <c r="G6638" s="4" t="str">
        <f>HYPERLINK("http://141.218.60.56/~jnz1568/getInfo.php?workbook=12_04.xlsx&amp;sheet=U0&amp;row=6638&amp;col=7&amp;number=0.0163&amp;sourceID=14","0.0163")</f>
        <v>0.0163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HYPERLINK("http://141.218.60.56/~jnz1568/getInfo.php?workbook=12_04.xlsx&amp;sheet=U0&amp;row=6639&amp;col=6&amp;number=4.5&amp;sourceID=14","4.5")</f>
        <v>4.5</v>
      </c>
      <c r="G6639" s="4" t="str">
        <f>HYPERLINK("http://141.218.60.56/~jnz1568/getInfo.php?workbook=12_04.xlsx&amp;sheet=U0&amp;row=6639&amp;col=7&amp;number=0.0156&amp;sourceID=14","0.0156")</f>
        <v>0.0156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HYPERLINK("http://141.218.60.56/~jnz1568/getInfo.php?workbook=12_04.xlsx&amp;sheet=U0&amp;row=6640&amp;col=6&amp;number=4.6&amp;sourceID=14","4.6")</f>
        <v>4.6</v>
      </c>
      <c r="G6640" s="4" t="str">
        <f>HYPERLINK("http://141.218.60.56/~jnz1568/getInfo.php?workbook=12_04.xlsx&amp;sheet=U0&amp;row=6640&amp;col=7&amp;number=0.0147&amp;sourceID=14","0.0147")</f>
        <v>0.0147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HYPERLINK("http://141.218.60.56/~jnz1568/getInfo.php?workbook=12_04.xlsx&amp;sheet=U0&amp;row=6641&amp;col=6&amp;number=4.7&amp;sourceID=14","4.7")</f>
        <v>4.7</v>
      </c>
      <c r="G6641" s="4" t="str">
        <f>HYPERLINK("http://141.218.60.56/~jnz1568/getInfo.php?workbook=12_04.xlsx&amp;sheet=U0&amp;row=6641&amp;col=7&amp;number=0.0137&amp;sourceID=14","0.0137")</f>
        <v>0.0137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HYPERLINK("http://141.218.60.56/~jnz1568/getInfo.php?workbook=12_04.xlsx&amp;sheet=U0&amp;row=6642&amp;col=6&amp;number=4.8&amp;sourceID=14","4.8")</f>
        <v>4.8</v>
      </c>
      <c r="G6642" s="4" t="str">
        <f>HYPERLINK("http://141.218.60.56/~jnz1568/getInfo.php?workbook=12_04.xlsx&amp;sheet=U0&amp;row=6642&amp;col=7&amp;number=0.0124&amp;sourceID=14","0.0124")</f>
        <v>0.0124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HYPERLINK("http://141.218.60.56/~jnz1568/getInfo.php?workbook=12_04.xlsx&amp;sheet=U0&amp;row=6643&amp;col=6&amp;number=4.9&amp;sourceID=14","4.9")</f>
        <v>4.9</v>
      </c>
      <c r="G6643" s="4" t="str">
        <f>HYPERLINK("http://141.218.60.56/~jnz1568/getInfo.php?workbook=12_04.xlsx&amp;sheet=U0&amp;row=6643&amp;col=7&amp;number=0.011&amp;sourceID=14","0.011")</f>
        <v>0.011</v>
      </c>
    </row>
    <row r="6644" spans="1:7">
      <c r="A6644" s="3">
        <v>12</v>
      </c>
      <c r="B6644" s="3">
        <v>4</v>
      </c>
      <c r="C6644" s="3">
        <v>4</v>
      </c>
      <c r="D6644" s="3">
        <v>49</v>
      </c>
      <c r="E6644" s="3">
        <v>1</v>
      </c>
      <c r="F6644" s="4" t="str">
        <f>HYPERLINK("http://141.218.60.56/~jnz1568/getInfo.php?workbook=12_04.xlsx&amp;sheet=U0&amp;row=6644&amp;col=6&amp;number=3&amp;sourceID=14","3")</f>
        <v>3</v>
      </c>
      <c r="G6644" s="4" t="str">
        <f>HYPERLINK("http://141.218.60.56/~jnz1568/getInfo.php?workbook=12_04.xlsx&amp;sheet=U0&amp;row=6644&amp;col=7&amp;number=0.00971&amp;sourceID=14","0.00971")</f>
        <v>0.00971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HYPERLINK("http://141.218.60.56/~jnz1568/getInfo.php?workbook=12_04.xlsx&amp;sheet=U0&amp;row=6645&amp;col=6&amp;number=3.1&amp;sourceID=14","3.1")</f>
        <v>3.1</v>
      </c>
      <c r="G6645" s="4" t="str">
        <f>HYPERLINK("http://141.218.60.56/~jnz1568/getInfo.php?workbook=12_04.xlsx&amp;sheet=U0&amp;row=6645&amp;col=7&amp;number=0.00969&amp;sourceID=14","0.00969")</f>
        <v>0.00969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HYPERLINK("http://141.218.60.56/~jnz1568/getInfo.php?workbook=12_04.xlsx&amp;sheet=U0&amp;row=6646&amp;col=6&amp;number=3.2&amp;sourceID=14","3.2")</f>
        <v>3.2</v>
      </c>
      <c r="G6646" s="4" t="str">
        <f>HYPERLINK("http://141.218.60.56/~jnz1568/getInfo.php?workbook=12_04.xlsx&amp;sheet=U0&amp;row=6646&amp;col=7&amp;number=0.00967&amp;sourceID=14","0.00967")</f>
        <v>0.00967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HYPERLINK("http://141.218.60.56/~jnz1568/getInfo.php?workbook=12_04.xlsx&amp;sheet=U0&amp;row=6647&amp;col=6&amp;number=3.3&amp;sourceID=14","3.3")</f>
        <v>3.3</v>
      </c>
      <c r="G6647" s="4" t="str">
        <f>HYPERLINK("http://141.218.60.56/~jnz1568/getInfo.php?workbook=12_04.xlsx&amp;sheet=U0&amp;row=6647&amp;col=7&amp;number=0.00964&amp;sourceID=14","0.00964")</f>
        <v>0.00964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HYPERLINK("http://141.218.60.56/~jnz1568/getInfo.php?workbook=12_04.xlsx&amp;sheet=U0&amp;row=6648&amp;col=6&amp;number=3.4&amp;sourceID=14","3.4")</f>
        <v>3.4</v>
      </c>
      <c r="G6648" s="4" t="str">
        <f>HYPERLINK("http://141.218.60.56/~jnz1568/getInfo.php?workbook=12_04.xlsx&amp;sheet=U0&amp;row=6648&amp;col=7&amp;number=0.0096&amp;sourceID=14","0.0096")</f>
        <v>0.0096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HYPERLINK("http://141.218.60.56/~jnz1568/getInfo.php?workbook=12_04.xlsx&amp;sheet=U0&amp;row=6649&amp;col=6&amp;number=3.5&amp;sourceID=14","3.5")</f>
        <v>3.5</v>
      </c>
      <c r="G6649" s="4" t="str">
        <f>HYPERLINK("http://141.218.60.56/~jnz1568/getInfo.php?workbook=12_04.xlsx&amp;sheet=U0&amp;row=6649&amp;col=7&amp;number=0.00956&amp;sourceID=14","0.00956")</f>
        <v>0.00956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HYPERLINK("http://141.218.60.56/~jnz1568/getInfo.php?workbook=12_04.xlsx&amp;sheet=U0&amp;row=6650&amp;col=6&amp;number=3.6&amp;sourceID=14","3.6")</f>
        <v>3.6</v>
      </c>
      <c r="G6650" s="4" t="str">
        <f>HYPERLINK("http://141.218.60.56/~jnz1568/getInfo.php?workbook=12_04.xlsx&amp;sheet=U0&amp;row=6650&amp;col=7&amp;number=0.0095&amp;sourceID=14","0.0095")</f>
        <v>0.0095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HYPERLINK("http://141.218.60.56/~jnz1568/getInfo.php?workbook=12_04.xlsx&amp;sheet=U0&amp;row=6651&amp;col=6&amp;number=3.7&amp;sourceID=14","3.7")</f>
        <v>3.7</v>
      </c>
      <c r="G6651" s="4" t="str">
        <f>HYPERLINK("http://141.218.60.56/~jnz1568/getInfo.php?workbook=12_04.xlsx&amp;sheet=U0&amp;row=6651&amp;col=7&amp;number=0.00942&amp;sourceID=14","0.00942")</f>
        <v>0.00942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HYPERLINK("http://141.218.60.56/~jnz1568/getInfo.php?workbook=12_04.xlsx&amp;sheet=U0&amp;row=6652&amp;col=6&amp;number=3.8&amp;sourceID=14","3.8")</f>
        <v>3.8</v>
      </c>
      <c r="G6652" s="4" t="str">
        <f>HYPERLINK("http://141.218.60.56/~jnz1568/getInfo.php?workbook=12_04.xlsx&amp;sheet=U0&amp;row=6652&amp;col=7&amp;number=0.00933&amp;sourceID=14","0.00933")</f>
        <v>0.00933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HYPERLINK("http://141.218.60.56/~jnz1568/getInfo.php?workbook=12_04.xlsx&amp;sheet=U0&amp;row=6653&amp;col=6&amp;number=3.9&amp;sourceID=14","3.9")</f>
        <v>3.9</v>
      </c>
      <c r="G6653" s="4" t="str">
        <f>HYPERLINK("http://141.218.60.56/~jnz1568/getInfo.php?workbook=12_04.xlsx&amp;sheet=U0&amp;row=6653&amp;col=7&amp;number=0.00921&amp;sourceID=14","0.00921")</f>
        <v>0.00921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HYPERLINK("http://141.218.60.56/~jnz1568/getInfo.php?workbook=12_04.xlsx&amp;sheet=U0&amp;row=6654&amp;col=6&amp;number=4&amp;sourceID=14","4")</f>
        <v>4</v>
      </c>
      <c r="G6654" s="4" t="str">
        <f>HYPERLINK("http://141.218.60.56/~jnz1568/getInfo.php?workbook=12_04.xlsx&amp;sheet=U0&amp;row=6654&amp;col=7&amp;number=0.00907&amp;sourceID=14","0.00907")</f>
        <v>0.00907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HYPERLINK("http://141.218.60.56/~jnz1568/getInfo.php?workbook=12_04.xlsx&amp;sheet=U0&amp;row=6655&amp;col=6&amp;number=4.1&amp;sourceID=14","4.1")</f>
        <v>4.1</v>
      </c>
      <c r="G6655" s="4" t="str">
        <f>HYPERLINK("http://141.218.60.56/~jnz1568/getInfo.php?workbook=12_04.xlsx&amp;sheet=U0&amp;row=6655&amp;col=7&amp;number=0.00889&amp;sourceID=14","0.00889")</f>
        <v>0.00889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HYPERLINK("http://141.218.60.56/~jnz1568/getInfo.php?workbook=12_04.xlsx&amp;sheet=U0&amp;row=6656&amp;col=6&amp;number=4.2&amp;sourceID=14","4.2")</f>
        <v>4.2</v>
      </c>
      <c r="G6656" s="4" t="str">
        <f>HYPERLINK("http://141.218.60.56/~jnz1568/getInfo.php?workbook=12_04.xlsx&amp;sheet=U0&amp;row=6656&amp;col=7&amp;number=0.00867&amp;sourceID=14","0.00867")</f>
        <v>0.00867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HYPERLINK("http://141.218.60.56/~jnz1568/getInfo.php?workbook=12_04.xlsx&amp;sheet=U0&amp;row=6657&amp;col=6&amp;number=4.3&amp;sourceID=14","4.3")</f>
        <v>4.3</v>
      </c>
      <c r="G6657" s="4" t="str">
        <f>HYPERLINK("http://141.218.60.56/~jnz1568/getInfo.php?workbook=12_04.xlsx&amp;sheet=U0&amp;row=6657&amp;col=7&amp;number=0.0084&amp;sourceID=14","0.0084")</f>
        <v>0.0084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HYPERLINK("http://141.218.60.56/~jnz1568/getInfo.php?workbook=12_04.xlsx&amp;sheet=U0&amp;row=6658&amp;col=6&amp;number=4.4&amp;sourceID=14","4.4")</f>
        <v>4.4</v>
      </c>
      <c r="G6658" s="4" t="str">
        <f>HYPERLINK("http://141.218.60.56/~jnz1568/getInfo.php?workbook=12_04.xlsx&amp;sheet=U0&amp;row=6658&amp;col=7&amp;number=0.00808&amp;sourceID=14","0.00808")</f>
        <v>0.00808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HYPERLINK("http://141.218.60.56/~jnz1568/getInfo.php?workbook=12_04.xlsx&amp;sheet=U0&amp;row=6659&amp;col=6&amp;number=4.5&amp;sourceID=14","4.5")</f>
        <v>4.5</v>
      </c>
      <c r="G6659" s="4" t="str">
        <f>HYPERLINK("http://141.218.60.56/~jnz1568/getInfo.php?workbook=12_04.xlsx&amp;sheet=U0&amp;row=6659&amp;col=7&amp;number=0.0077&amp;sourceID=14","0.0077")</f>
        <v>0.0077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HYPERLINK("http://141.218.60.56/~jnz1568/getInfo.php?workbook=12_04.xlsx&amp;sheet=U0&amp;row=6660&amp;col=6&amp;number=4.6&amp;sourceID=14","4.6")</f>
        <v>4.6</v>
      </c>
      <c r="G6660" s="4" t="str">
        <f>HYPERLINK("http://141.218.60.56/~jnz1568/getInfo.php?workbook=12_04.xlsx&amp;sheet=U0&amp;row=6660&amp;col=7&amp;number=0.00727&amp;sourceID=14","0.00727")</f>
        <v>0.00727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HYPERLINK("http://141.218.60.56/~jnz1568/getInfo.php?workbook=12_04.xlsx&amp;sheet=U0&amp;row=6661&amp;col=6&amp;number=4.7&amp;sourceID=14","4.7")</f>
        <v>4.7</v>
      </c>
      <c r="G6661" s="4" t="str">
        <f>HYPERLINK("http://141.218.60.56/~jnz1568/getInfo.php?workbook=12_04.xlsx&amp;sheet=U0&amp;row=6661&amp;col=7&amp;number=0.00679&amp;sourceID=14","0.00679")</f>
        <v>0.00679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HYPERLINK("http://141.218.60.56/~jnz1568/getInfo.php?workbook=12_04.xlsx&amp;sheet=U0&amp;row=6662&amp;col=6&amp;number=4.8&amp;sourceID=14","4.8")</f>
        <v>4.8</v>
      </c>
      <c r="G6662" s="4" t="str">
        <f>HYPERLINK("http://141.218.60.56/~jnz1568/getInfo.php?workbook=12_04.xlsx&amp;sheet=U0&amp;row=6662&amp;col=7&amp;number=0.00631&amp;sourceID=14","0.00631")</f>
        <v>0.00631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HYPERLINK("http://141.218.60.56/~jnz1568/getInfo.php?workbook=12_04.xlsx&amp;sheet=U0&amp;row=6663&amp;col=6&amp;number=4.9&amp;sourceID=14","4.9")</f>
        <v>4.9</v>
      </c>
      <c r="G6663" s="4" t="str">
        <f>HYPERLINK("http://141.218.60.56/~jnz1568/getInfo.php?workbook=12_04.xlsx&amp;sheet=U0&amp;row=6663&amp;col=7&amp;number=0.00587&amp;sourceID=14","0.00587")</f>
        <v>0.00587</v>
      </c>
    </row>
    <row r="6664" spans="1:7">
      <c r="A6664" s="3">
        <v>12</v>
      </c>
      <c r="B6664" s="3">
        <v>4</v>
      </c>
      <c r="C6664" s="3">
        <v>4</v>
      </c>
      <c r="D6664" s="3">
        <v>50</v>
      </c>
      <c r="E6664" s="3">
        <v>1</v>
      </c>
      <c r="F6664" s="4" t="str">
        <f>HYPERLINK("http://141.218.60.56/~jnz1568/getInfo.php?workbook=12_04.xlsx&amp;sheet=U0&amp;row=6664&amp;col=6&amp;number=3&amp;sourceID=14","3")</f>
        <v>3</v>
      </c>
      <c r="G6664" s="4" t="str">
        <f>HYPERLINK("http://141.218.60.56/~jnz1568/getInfo.php?workbook=12_04.xlsx&amp;sheet=U0&amp;row=6664&amp;col=7&amp;number=0.0353&amp;sourceID=14","0.0353")</f>
        <v>0.0353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HYPERLINK("http://141.218.60.56/~jnz1568/getInfo.php?workbook=12_04.xlsx&amp;sheet=U0&amp;row=6665&amp;col=6&amp;number=3.1&amp;sourceID=14","3.1")</f>
        <v>3.1</v>
      </c>
      <c r="G6665" s="4" t="str">
        <f>HYPERLINK("http://141.218.60.56/~jnz1568/getInfo.php?workbook=12_04.xlsx&amp;sheet=U0&amp;row=6665&amp;col=7&amp;number=0.0352&amp;sourceID=14","0.0352")</f>
        <v>0.0352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HYPERLINK("http://141.218.60.56/~jnz1568/getInfo.php?workbook=12_04.xlsx&amp;sheet=U0&amp;row=6666&amp;col=6&amp;number=3.2&amp;sourceID=14","3.2")</f>
        <v>3.2</v>
      </c>
      <c r="G6666" s="4" t="str">
        <f>HYPERLINK("http://141.218.60.56/~jnz1568/getInfo.php?workbook=12_04.xlsx&amp;sheet=U0&amp;row=6666&amp;col=7&amp;number=0.0351&amp;sourceID=14","0.0351")</f>
        <v>0.0351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HYPERLINK("http://141.218.60.56/~jnz1568/getInfo.php?workbook=12_04.xlsx&amp;sheet=U0&amp;row=6667&amp;col=6&amp;number=3.3&amp;sourceID=14","3.3")</f>
        <v>3.3</v>
      </c>
      <c r="G6667" s="4" t="str">
        <f>HYPERLINK("http://141.218.60.56/~jnz1568/getInfo.php?workbook=12_04.xlsx&amp;sheet=U0&amp;row=6667&amp;col=7&amp;number=0.035&amp;sourceID=14","0.035")</f>
        <v>0.035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HYPERLINK("http://141.218.60.56/~jnz1568/getInfo.php?workbook=12_04.xlsx&amp;sheet=U0&amp;row=6668&amp;col=6&amp;number=3.4&amp;sourceID=14","3.4")</f>
        <v>3.4</v>
      </c>
      <c r="G6668" s="4" t="str">
        <f>HYPERLINK("http://141.218.60.56/~jnz1568/getInfo.php?workbook=12_04.xlsx&amp;sheet=U0&amp;row=6668&amp;col=7&amp;number=0.0349&amp;sourceID=14","0.0349")</f>
        <v>0.0349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HYPERLINK("http://141.218.60.56/~jnz1568/getInfo.php?workbook=12_04.xlsx&amp;sheet=U0&amp;row=6669&amp;col=6&amp;number=3.5&amp;sourceID=14","3.5")</f>
        <v>3.5</v>
      </c>
      <c r="G6669" s="4" t="str">
        <f>HYPERLINK("http://141.218.60.56/~jnz1568/getInfo.php?workbook=12_04.xlsx&amp;sheet=U0&amp;row=6669&amp;col=7&amp;number=0.0347&amp;sourceID=14","0.0347")</f>
        <v>0.0347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HYPERLINK("http://141.218.60.56/~jnz1568/getInfo.php?workbook=12_04.xlsx&amp;sheet=U0&amp;row=6670&amp;col=6&amp;number=3.6&amp;sourceID=14","3.6")</f>
        <v>3.6</v>
      </c>
      <c r="G6670" s="4" t="str">
        <f>HYPERLINK("http://141.218.60.56/~jnz1568/getInfo.php?workbook=12_04.xlsx&amp;sheet=U0&amp;row=6670&amp;col=7&amp;number=0.0345&amp;sourceID=14","0.0345")</f>
        <v>0.0345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HYPERLINK("http://141.218.60.56/~jnz1568/getInfo.php?workbook=12_04.xlsx&amp;sheet=U0&amp;row=6671&amp;col=6&amp;number=3.7&amp;sourceID=14","3.7")</f>
        <v>3.7</v>
      </c>
      <c r="G6671" s="4" t="str">
        <f>HYPERLINK("http://141.218.60.56/~jnz1568/getInfo.php?workbook=12_04.xlsx&amp;sheet=U0&amp;row=6671&amp;col=7&amp;number=0.0342&amp;sourceID=14","0.0342")</f>
        <v>0.0342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HYPERLINK("http://141.218.60.56/~jnz1568/getInfo.php?workbook=12_04.xlsx&amp;sheet=U0&amp;row=6672&amp;col=6&amp;number=3.8&amp;sourceID=14","3.8")</f>
        <v>3.8</v>
      </c>
      <c r="G6672" s="4" t="str">
        <f>HYPERLINK("http://141.218.60.56/~jnz1568/getInfo.php?workbook=12_04.xlsx&amp;sheet=U0&amp;row=6672&amp;col=7&amp;number=0.0339&amp;sourceID=14","0.0339")</f>
        <v>0.0339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HYPERLINK("http://141.218.60.56/~jnz1568/getInfo.php?workbook=12_04.xlsx&amp;sheet=U0&amp;row=6673&amp;col=6&amp;number=3.9&amp;sourceID=14","3.9")</f>
        <v>3.9</v>
      </c>
      <c r="G6673" s="4" t="str">
        <f>HYPERLINK("http://141.218.60.56/~jnz1568/getInfo.php?workbook=12_04.xlsx&amp;sheet=U0&amp;row=6673&amp;col=7&amp;number=0.0335&amp;sourceID=14","0.0335")</f>
        <v>0.0335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HYPERLINK("http://141.218.60.56/~jnz1568/getInfo.php?workbook=12_04.xlsx&amp;sheet=U0&amp;row=6674&amp;col=6&amp;number=4&amp;sourceID=14","4")</f>
        <v>4</v>
      </c>
      <c r="G6674" s="4" t="str">
        <f>HYPERLINK("http://141.218.60.56/~jnz1568/getInfo.php?workbook=12_04.xlsx&amp;sheet=U0&amp;row=6674&amp;col=7&amp;number=0.033&amp;sourceID=14","0.033")</f>
        <v>0.033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HYPERLINK("http://141.218.60.56/~jnz1568/getInfo.php?workbook=12_04.xlsx&amp;sheet=U0&amp;row=6675&amp;col=6&amp;number=4.1&amp;sourceID=14","4.1")</f>
        <v>4.1</v>
      </c>
      <c r="G6675" s="4" t="str">
        <f>HYPERLINK("http://141.218.60.56/~jnz1568/getInfo.php?workbook=12_04.xlsx&amp;sheet=U0&amp;row=6675&amp;col=7&amp;number=0.0323&amp;sourceID=14","0.0323")</f>
        <v>0.0323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HYPERLINK("http://141.218.60.56/~jnz1568/getInfo.php?workbook=12_04.xlsx&amp;sheet=U0&amp;row=6676&amp;col=6&amp;number=4.2&amp;sourceID=14","4.2")</f>
        <v>4.2</v>
      </c>
      <c r="G6676" s="4" t="str">
        <f>HYPERLINK("http://141.218.60.56/~jnz1568/getInfo.php?workbook=12_04.xlsx&amp;sheet=U0&amp;row=6676&amp;col=7&amp;number=0.0315&amp;sourceID=14","0.0315")</f>
        <v>0.0315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HYPERLINK("http://141.218.60.56/~jnz1568/getInfo.php?workbook=12_04.xlsx&amp;sheet=U0&amp;row=6677&amp;col=6&amp;number=4.3&amp;sourceID=14","4.3")</f>
        <v>4.3</v>
      </c>
      <c r="G6677" s="4" t="str">
        <f>HYPERLINK("http://141.218.60.56/~jnz1568/getInfo.php?workbook=12_04.xlsx&amp;sheet=U0&amp;row=6677&amp;col=7&amp;number=0.0306&amp;sourceID=14","0.0306")</f>
        <v>0.0306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HYPERLINK("http://141.218.60.56/~jnz1568/getInfo.php?workbook=12_04.xlsx&amp;sheet=U0&amp;row=6678&amp;col=6&amp;number=4.4&amp;sourceID=14","4.4")</f>
        <v>4.4</v>
      </c>
      <c r="G6678" s="4" t="str">
        <f>HYPERLINK("http://141.218.60.56/~jnz1568/getInfo.php?workbook=12_04.xlsx&amp;sheet=U0&amp;row=6678&amp;col=7&amp;number=0.0294&amp;sourceID=14","0.0294")</f>
        <v>0.0294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HYPERLINK("http://141.218.60.56/~jnz1568/getInfo.php?workbook=12_04.xlsx&amp;sheet=U0&amp;row=6679&amp;col=6&amp;number=4.5&amp;sourceID=14","4.5")</f>
        <v>4.5</v>
      </c>
      <c r="G6679" s="4" t="str">
        <f>HYPERLINK("http://141.218.60.56/~jnz1568/getInfo.php?workbook=12_04.xlsx&amp;sheet=U0&amp;row=6679&amp;col=7&amp;number=0.0279&amp;sourceID=14","0.0279")</f>
        <v>0.0279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HYPERLINK("http://141.218.60.56/~jnz1568/getInfo.php?workbook=12_04.xlsx&amp;sheet=U0&amp;row=6680&amp;col=6&amp;number=4.6&amp;sourceID=14","4.6")</f>
        <v>4.6</v>
      </c>
      <c r="G6680" s="4" t="str">
        <f>HYPERLINK("http://141.218.60.56/~jnz1568/getInfo.php?workbook=12_04.xlsx&amp;sheet=U0&amp;row=6680&amp;col=7&amp;number=0.0262&amp;sourceID=14","0.0262")</f>
        <v>0.0262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HYPERLINK("http://141.218.60.56/~jnz1568/getInfo.php?workbook=12_04.xlsx&amp;sheet=U0&amp;row=6681&amp;col=6&amp;number=4.7&amp;sourceID=14","4.7")</f>
        <v>4.7</v>
      </c>
      <c r="G6681" s="4" t="str">
        <f>HYPERLINK("http://141.218.60.56/~jnz1568/getInfo.php?workbook=12_04.xlsx&amp;sheet=U0&amp;row=6681&amp;col=7&amp;number=0.0243&amp;sourceID=14","0.0243")</f>
        <v>0.0243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HYPERLINK("http://141.218.60.56/~jnz1568/getInfo.php?workbook=12_04.xlsx&amp;sheet=U0&amp;row=6682&amp;col=6&amp;number=4.8&amp;sourceID=14","4.8")</f>
        <v>4.8</v>
      </c>
      <c r="G6682" s="4" t="str">
        <f>HYPERLINK("http://141.218.60.56/~jnz1568/getInfo.php?workbook=12_04.xlsx&amp;sheet=U0&amp;row=6682&amp;col=7&amp;number=0.0221&amp;sourceID=14","0.0221")</f>
        <v>0.0221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HYPERLINK("http://141.218.60.56/~jnz1568/getInfo.php?workbook=12_04.xlsx&amp;sheet=U0&amp;row=6683&amp;col=6&amp;number=4.9&amp;sourceID=14","4.9")</f>
        <v>4.9</v>
      </c>
      <c r="G6683" s="4" t="str">
        <f>HYPERLINK("http://141.218.60.56/~jnz1568/getInfo.php?workbook=12_04.xlsx&amp;sheet=U0&amp;row=6683&amp;col=7&amp;number=0.0199&amp;sourceID=14","0.0199")</f>
        <v>0.0199</v>
      </c>
    </row>
    <row r="6684" spans="1:7">
      <c r="A6684" s="3">
        <v>12</v>
      </c>
      <c r="B6684" s="3">
        <v>4</v>
      </c>
      <c r="C6684" s="3">
        <v>4</v>
      </c>
      <c r="D6684" s="3">
        <v>51</v>
      </c>
      <c r="E6684" s="3">
        <v>1</v>
      </c>
      <c r="F6684" s="4" t="str">
        <f>HYPERLINK("http://141.218.60.56/~jnz1568/getInfo.php?workbook=12_04.xlsx&amp;sheet=U0&amp;row=6684&amp;col=6&amp;number=3&amp;sourceID=14","3")</f>
        <v>3</v>
      </c>
      <c r="G6684" s="4" t="str">
        <f>HYPERLINK("http://141.218.60.56/~jnz1568/getInfo.php?workbook=12_04.xlsx&amp;sheet=U0&amp;row=6684&amp;col=7&amp;number=0.133&amp;sourceID=14","0.133")</f>
        <v>0.133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HYPERLINK("http://141.218.60.56/~jnz1568/getInfo.php?workbook=12_04.xlsx&amp;sheet=U0&amp;row=6685&amp;col=6&amp;number=3.1&amp;sourceID=14","3.1")</f>
        <v>3.1</v>
      </c>
      <c r="G6685" s="4" t="str">
        <f>HYPERLINK("http://141.218.60.56/~jnz1568/getInfo.php?workbook=12_04.xlsx&amp;sheet=U0&amp;row=6685&amp;col=7&amp;number=0.133&amp;sourceID=14","0.133")</f>
        <v>0.133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HYPERLINK("http://141.218.60.56/~jnz1568/getInfo.php?workbook=12_04.xlsx&amp;sheet=U0&amp;row=6686&amp;col=6&amp;number=3.2&amp;sourceID=14","3.2")</f>
        <v>3.2</v>
      </c>
      <c r="G6686" s="4" t="str">
        <f>HYPERLINK("http://141.218.60.56/~jnz1568/getInfo.php?workbook=12_04.xlsx&amp;sheet=U0&amp;row=6686&amp;col=7&amp;number=0.133&amp;sourceID=14","0.133")</f>
        <v>0.133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HYPERLINK("http://141.218.60.56/~jnz1568/getInfo.php?workbook=12_04.xlsx&amp;sheet=U0&amp;row=6687&amp;col=6&amp;number=3.3&amp;sourceID=14","3.3")</f>
        <v>3.3</v>
      </c>
      <c r="G6687" s="4" t="str">
        <f>HYPERLINK("http://141.218.60.56/~jnz1568/getInfo.php?workbook=12_04.xlsx&amp;sheet=U0&amp;row=6687&amp;col=7&amp;number=0.132&amp;sourceID=14","0.132")</f>
        <v>0.132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HYPERLINK("http://141.218.60.56/~jnz1568/getInfo.php?workbook=12_04.xlsx&amp;sheet=U0&amp;row=6688&amp;col=6&amp;number=3.4&amp;sourceID=14","3.4")</f>
        <v>3.4</v>
      </c>
      <c r="G6688" s="4" t="str">
        <f>HYPERLINK("http://141.218.60.56/~jnz1568/getInfo.php?workbook=12_04.xlsx&amp;sheet=U0&amp;row=6688&amp;col=7&amp;number=0.132&amp;sourceID=14","0.132")</f>
        <v>0.132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HYPERLINK("http://141.218.60.56/~jnz1568/getInfo.php?workbook=12_04.xlsx&amp;sheet=U0&amp;row=6689&amp;col=6&amp;number=3.5&amp;sourceID=14","3.5")</f>
        <v>3.5</v>
      </c>
      <c r="G6689" s="4" t="str">
        <f>HYPERLINK("http://141.218.60.56/~jnz1568/getInfo.php?workbook=12_04.xlsx&amp;sheet=U0&amp;row=6689&amp;col=7&amp;number=0.131&amp;sourceID=14","0.131")</f>
        <v>0.131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HYPERLINK("http://141.218.60.56/~jnz1568/getInfo.php?workbook=12_04.xlsx&amp;sheet=U0&amp;row=6690&amp;col=6&amp;number=3.6&amp;sourceID=14","3.6")</f>
        <v>3.6</v>
      </c>
      <c r="G6690" s="4" t="str">
        <f>HYPERLINK("http://141.218.60.56/~jnz1568/getInfo.php?workbook=12_04.xlsx&amp;sheet=U0&amp;row=6690&amp;col=7&amp;number=0.13&amp;sourceID=14","0.13")</f>
        <v>0.13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HYPERLINK("http://141.218.60.56/~jnz1568/getInfo.php?workbook=12_04.xlsx&amp;sheet=U0&amp;row=6691&amp;col=6&amp;number=3.7&amp;sourceID=14","3.7")</f>
        <v>3.7</v>
      </c>
      <c r="G6691" s="4" t="str">
        <f>HYPERLINK("http://141.218.60.56/~jnz1568/getInfo.php?workbook=12_04.xlsx&amp;sheet=U0&amp;row=6691&amp;col=7&amp;number=0.13&amp;sourceID=14","0.13")</f>
        <v>0.13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HYPERLINK("http://141.218.60.56/~jnz1568/getInfo.php?workbook=12_04.xlsx&amp;sheet=U0&amp;row=6692&amp;col=6&amp;number=3.8&amp;sourceID=14","3.8")</f>
        <v>3.8</v>
      </c>
      <c r="G6692" s="4" t="str">
        <f>HYPERLINK("http://141.218.60.56/~jnz1568/getInfo.php?workbook=12_04.xlsx&amp;sheet=U0&amp;row=6692&amp;col=7&amp;number=0.128&amp;sourceID=14","0.128")</f>
        <v>0.128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HYPERLINK("http://141.218.60.56/~jnz1568/getInfo.php?workbook=12_04.xlsx&amp;sheet=U0&amp;row=6693&amp;col=6&amp;number=3.9&amp;sourceID=14","3.9")</f>
        <v>3.9</v>
      </c>
      <c r="G6693" s="4" t="str">
        <f>HYPERLINK("http://141.218.60.56/~jnz1568/getInfo.php?workbook=12_04.xlsx&amp;sheet=U0&amp;row=6693&amp;col=7&amp;number=0.127&amp;sourceID=14","0.127")</f>
        <v>0.127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HYPERLINK("http://141.218.60.56/~jnz1568/getInfo.php?workbook=12_04.xlsx&amp;sheet=U0&amp;row=6694&amp;col=6&amp;number=4&amp;sourceID=14","4")</f>
        <v>4</v>
      </c>
      <c r="G6694" s="4" t="str">
        <f>HYPERLINK("http://141.218.60.56/~jnz1568/getInfo.php?workbook=12_04.xlsx&amp;sheet=U0&amp;row=6694&amp;col=7&amp;number=0.125&amp;sourceID=14","0.125")</f>
        <v>0.125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HYPERLINK("http://141.218.60.56/~jnz1568/getInfo.php?workbook=12_04.xlsx&amp;sheet=U0&amp;row=6695&amp;col=6&amp;number=4.1&amp;sourceID=14","4.1")</f>
        <v>4.1</v>
      </c>
      <c r="G6695" s="4" t="str">
        <f>HYPERLINK("http://141.218.60.56/~jnz1568/getInfo.php?workbook=12_04.xlsx&amp;sheet=U0&amp;row=6695&amp;col=7&amp;number=0.123&amp;sourceID=14","0.123")</f>
        <v>0.123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HYPERLINK("http://141.218.60.56/~jnz1568/getInfo.php?workbook=12_04.xlsx&amp;sheet=U0&amp;row=6696&amp;col=6&amp;number=4.2&amp;sourceID=14","4.2")</f>
        <v>4.2</v>
      </c>
      <c r="G6696" s="4" t="str">
        <f>HYPERLINK("http://141.218.60.56/~jnz1568/getInfo.php?workbook=12_04.xlsx&amp;sheet=U0&amp;row=6696&amp;col=7&amp;number=0.12&amp;sourceID=14","0.12")</f>
        <v>0.12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HYPERLINK("http://141.218.60.56/~jnz1568/getInfo.php?workbook=12_04.xlsx&amp;sheet=U0&amp;row=6697&amp;col=6&amp;number=4.3&amp;sourceID=14","4.3")</f>
        <v>4.3</v>
      </c>
      <c r="G6697" s="4" t="str">
        <f>HYPERLINK("http://141.218.60.56/~jnz1568/getInfo.php?workbook=12_04.xlsx&amp;sheet=U0&amp;row=6697&amp;col=7&amp;number=0.117&amp;sourceID=14","0.117")</f>
        <v>0.117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HYPERLINK("http://141.218.60.56/~jnz1568/getInfo.php?workbook=12_04.xlsx&amp;sheet=U0&amp;row=6698&amp;col=6&amp;number=4.4&amp;sourceID=14","4.4")</f>
        <v>4.4</v>
      </c>
      <c r="G6698" s="4" t="str">
        <f>HYPERLINK("http://141.218.60.56/~jnz1568/getInfo.php?workbook=12_04.xlsx&amp;sheet=U0&amp;row=6698&amp;col=7&amp;number=0.113&amp;sourceID=14","0.113")</f>
        <v>0.113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HYPERLINK("http://141.218.60.56/~jnz1568/getInfo.php?workbook=12_04.xlsx&amp;sheet=U0&amp;row=6699&amp;col=6&amp;number=4.5&amp;sourceID=14","4.5")</f>
        <v>4.5</v>
      </c>
      <c r="G6699" s="4" t="str">
        <f>HYPERLINK("http://141.218.60.56/~jnz1568/getInfo.php?workbook=12_04.xlsx&amp;sheet=U0&amp;row=6699&amp;col=7&amp;number=0.108&amp;sourceID=14","0.108")</f>
        <v>0.108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HYPERLINK("http://141.218.60.56/~jnz1568/getInfo.php?workbook=12_04.xlsx&amp;sheet=U0&amp;row=6700&amp;col=6&amp;number=4.6&amp;sourceID=14","4.6")</f>
        <v>4.6</v>
      </c>
      <c r="G6700" s="4" t="str">
        <f>HYPERLINK("http://141.218.60.56/~jnz1568/getInfo.php?workbook=12_04.xlsx&amp;sheet=U0&amp;row=6700&amp;col=7&amp;number=0.103&amp;sourceID=14","0.103")</f>
        <v>0.103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HYPERLINK("http://141.218.60.56/~jnz1568/getInfo.php?workbook=12_04.xlsx&amp;sheet=U0&amp;row=6701&amp;col=6&amp;number=4.7&amp;sourceID=14","4.7")</f>
        <v>4.7</v>
      </c>
      <c r="G6701" s="4" t="str">
        <f>HYPERLINK("http://141.218.60.56/~jnz1568/getInfo.php?workbook=12_04.xlsx&amp;sheet=U0&amp;row=6701&amp;col=7&amp;number=0.0961&amp;sourceID=14","0.0961")</f>
        <v>0.0961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HYPERLINK("http://141.218.60.56/~jnz1568/getInfo.php?workbook=12_04.xlsx&amp;sheet=U0&amp;row=6702&amp;col=6&amp;number=4.8&amp;sourceID=14","4.8")</f>
        <v>4.8</v>
      </c>
      <c r="G6702" s="4" t="str">
        <f>HYPERLINK("http://141.218.60.56/~jnz1568/getInfo.php?workbook=12_04.xlsx&amp;sheet=U0&amp;row=6702&amp;col=7&amp;number=0.089&amp;sourceID=14","0.089")</f>
        <v>0.089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HYPERLINK("http://141.218.60.56/~jnz1568/getInfo.php?workbook=12_04.xlsx&amp;sheet=U0&amp;row=6703&amp;col=6&amp;number=4.9&amp;sourceID=14","4.9")</f>
        <v>4.9</v>
      </c>
      <c r="G6703" s="4" t="str">
        <f>HYPERLINK("http://141.218.60.56/~jnz1568/getInfo.php?workbook=12_04.xlsx&amp;sheet=U0&amp;row=6703&amp;col=7&amp;number=0.0819&amp;sourceID=14","0.0819")</f>
        <v>0.0819</v>
      </c>
    </row>
    <row r="6704" spans="1:7">
      <c r="A6704" s="3">
        <v>12</v>
      </c>
      <c r="B6704" s="3">
        <v>4</v>
      </c>
      <c r="C6704" s="3">
        <v>4</v>
      </c>
      <c r="D6704" s="3">
        <v>52</v>
      </c>
      <c r="E6704" s="3">
        <v>1</v>
      </c>
      <c r="F6704" s="4" t="str">
        <f>HYPERLINK("http://141.218.60.56/~jnz1568/getInfo.php?workbook=12_04.xlsx&amp;sheet=U0&amp;row=6704&amp;col=6&amp;number=3&amp;sourceID=14","3")</f>
        <v>3</v>
      </c>
      <c r="G6704" s="4" t="str">
        <f>HYPERLINK("http://141.218.60.56/~jnz1568/getInfo.php?workbook=12_04.xlsx&amp;sheet=U0&amp;row=6704&amp;col=7&amp;number=0.0386&amp;sourceID=14","0.0386")</f>
        <v>0.0386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HYPERLINK("http://141.218.60.56/~jnz1568/getInfo.php?workbook=12_04.xlsx&amp;sheet=U0&amp;row=6705&amp;col=6&amp;number=3.1&amp;sourceID=14","3.1")</f>
        <v>3.1</v>
      </c>
      <c r="G6705" s="4" t="str">
        <f>HYPERLINK("http://141.218.60.56/~jnz1568/getInfo.php?workbook=12_04.xlsx&amp;sheet=U0&amp;row=6705&amp;col=7&amp;number=0.0385&amp;sourceID=14","0.0385")</f>
        <v>0.0385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HYPERLINK("http://141.218.60.56/~jnz1568/getInfo.php?workbook=12_04.xlsx&amp;sheet=U0&amp;row=6706&amp;col=6&amp;number=3.2&amp;sourceID=14","3.2")</f>
        <v>3.2</v>
      </c>
      <c r="G6706" s="4" t="str">
        <f>HYPERLINK("http://141.218.60.56/~jnz1568/getInfo.php?workbook=12_04.xlsx&amp;sheet=U0&amp;row=6706&amp;col=7&amp;number=0.0385&amp;sourceID=14","0.0385")</f>
        <v>0.0385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HYPERLINK("http://141.218.60.56/~jnz1568/getInfo.php?workbook=12_04.xlsx&amp;sheet=U0&amp;row=6707&amp;col=6&amp;number=3.3&amp;sourceID=14","3.3")</f>
        <v>3.3</v>
      </c>
      <c r="G6707" s="4" t="str">
        <f>HYPERLINK("http://141.218.60.56/~jnz1568/getInfo.php?workbook=12_04.xlsx&amp;sheet=U0&amp;row=6707&amp;col=7&amp;number=0.0384&amp;sourceID=14","0.0384")</f>
        <v>0.0384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HYPERLINK("http://141.218.60.56/~jnz1568/getInfo.php?workbook=12_04.xlsx&amp;sheet=U0&amp;row=6708&amp;col=6&amp;number=3.4&amp;sourceID=14","3.4")</f>
        <v>3.4</v>
      </c>
      <c r="G6708" s="4" t="str">
        <f>HYPERLINK("http://141.218.60.56/~jnz1568/getInfo.php?workbook=12_04.xlsx&amp;sheet=U0&amp;row=6708&amp;col=7&amp;number=0.0383&amp;sourceID=14","0.0383")</f>
        <v>0.0383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HYPERLINK("http://141.218.60.56/~jnz1568/getInfo.php?workbook=12_04.xlsx&amp;sheet=U0&amp;row=6709&amp;col=6&amp;number=3.5&amp;sourceID=14","3.5")</f>
        <v>3.5</v>
      </c>
      <c r="G6709" s="4" t="str">
        <f>HYPERLINK("http://141.218.60.56/~jnz1568/getInfo.php?workbook=12_04.xlsx&amp;sheet=U0&amp;row=6709&amp;col=7&amp;number=0.0381&amp;sourceID=14","0.0381")</f>
        <v>0.0381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HYPERLINK("http://141.218.60.56/~jnz1568/getInfo.php?workbook=12_04.xlsx&amp;sheet=U0&amp;row=6710&amp;col=6&amp;number=3.6&amp;sourceID=14","3.6")</f>
        <v>3.6</v>
      </c>
      <c r="G6710" s="4" t="str">
        <f>HYPERLINK("http://141.218.60.56/~jnz1568/getInfo.php?workbook=12_04.xlsx&amp;sheet=U0&amp;row=6710&amp;col=7&amp;number=0.038&amp;sourceID=14","0.038")</f>
        <v>0.038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HYPERLINK("http://141.218.60.56/~jnz1568/getInfo.php?workbook=12_04.xlsx&amp;sheet=U0&amp;row=6711&amp;col=6&amp;number=3.7&amp;sourceID=14","3.7")</f>
        <v>3.7</v>
      </c>
      <c r="G6711" s="4" t="str">
        <f>HYPERLINK("http://141.218.60.56/~jnz1568/getInfo.php?workbook=12_04.xlsx&amp;sheet=U0&amp;row=6711&amp;col=7&amp;number=0.0378&amp;sourceID=14","0.0378")</f>
        <v>0.0378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HYPERLINK("http://141.218.60.56/~jnz1568/getInfo.php?workbook=12_04.xlsx&amp;sheet=U0&amp;row=6712&amp;col=6&amp;number=3.8&amp;sourceID=14","3.8")</f>
        <v>3.8</v>
      </c>
      <c r="G6712" s="4" t="str">
        <f>HYPERLINK("http://141.218.60.56/~jnz1568/getInfo.php?workbook=12_04.xlsx&amp;sheet=U0&amp;row=6712&amp;col=7&amp;number=0.0375&amp;sourceID=14","0.0375")</f>
        <v>0.0375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HYPERLINK("http://141.218.60.56/~jnz1568/getInfo.php?workbook=12_04.xlsx&amp;sheet=U0&amp;row=6713&amp;col=6&amp;number=3.9&amp;sourceID=14","3.9")</f>
        <v>3.9</v>
      </c>
      <c r="G6713" s="4" t="str">
        <f>HYPERLINK("http://141.218.60.56/~jnz1568/getInfo.php?workbook=12_04.xlsx&amp;sheet=U0&amp;row=6713&amp;col=7&amp;number=0.0372&amp;sourceID=14","0.0372")</f>
        <v>0.0372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HYPERLINK("http://141.218.60.56/~jnz1568/getInfo.php?workbook=12_04.xlsx&amp;sheet=U0&amp;row=6714&amp;col=6&amp;number=4&amp;sourceID=14","4")</f>
        <v>4</v>
      </c>
      <c r="G6714" s="4" t="str">
        <f>HYPERLINK("http://141.218.60.56/~jnz1568/getInfo.php?workbook=12_04.xlsx&amp;sheet=U0&amp;row=6714&amp;col=7&amp;number=0.0368&amp;sourceID=14","0.0368")</f>
        <v>0.0368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HYPERLINK("http://141.218.60.56/~jnz1568/getInfo.php?workbook=12_04.xlsx&amp;sheet=U0&amp;row=6715&amp;col=6&amp;number=4.1&amp;sourceID=14","4.1")</f>
        <v>4.1</v>
      </c>
      <c r="G6715" s="4" t="str">
        <f>HYPERLINK("http://141.218.60.56/~jnz1568/getInfo.php?workbook=12_04.xlsx&amp;sheet=U0&amp;row=6715&amp;col=7&amp;number=0.0362&amp;sourceID=14","0.0362")</f>
        <v>0.0362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HYPERLINK("http://141.218.60.56/~jnz1568/getInfo.php?workbook=12_04.xlsx&amp;sheet=U0&amp;row=6716&amp;col=6&amp;number=4.2&amp;sourceID=14","4.2")</f>
        <v>4.2</v>
      </c>
      <c r="G6716" s="4" t="str">
        <f>HYPERLINK("http://141.218.60.56/~jnz1568/getInfo.php?workbook=12_04.xlsx&amp;sheet=U0&amp;row=6716&amp;col=7&amp;number=0.0356&amp;sourceID=14","0.0356")</f>
        <v>0.0356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HYPERLINK("http://141.218.60.56/~jnz1568/getInfo.php?workbook=12_04.xlsx&amp;sheet=U0&amp;row=6717&amp;col=6&amp;number=4.3&amp;sourceID=14","4.3")</f>
        <v>4.3</v>
      </c>
      <c r="G6717" s="4" t="str">
        <f>HYPERLINK("http://141.218.60.56/~jnz1568/getInfo.php?workbook=12_04.xlsx&amp;sheet=U0&amp;row=6717&amp;col=7&amp;number=0.0348&amp;sourceID=14","0.0348")</f>
        <v>0.0348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HYPERLINK("http://141.218.60.56/~jnz1568/getInfo.php?workbook=12_04.xlsx&amp;sheet=U0&amp;row=6718&amp;col=6&amp;number=4.4&amp;sourceID=14","4.4")</f>
        <v>4.4</v>
      </c>
      <c r="G6718" s="4" t="str">
        <f>HYPERLINK("http://141.218.60.56/~jnz1568/getInfo.php?workbook=12_04.xlsx&amp;sheet=U0&amp;row=6718&amp;col=7&amp;number=0.0338&amp;sourceID=14","0.0338")</f>
        <v>0.0338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HYPERLINK("http://141.218.60.56/~jnz1568/getInfo.php?workbook=12_04.xlsx&amp;sheet=U0&amp;row=6719&amp;col=6&amp;number=4.5&amp;sourceID=14","4.5")</f>
        <v>4.5</v>
      </c>
      <c r="G6719" s="4" t="str">
        <f>HYPERLINK("http://141.218.60.56/~jnz1568/getInfo.php?workbook=12_04.xlsx&amp;sheet=U0&amp;row=6719&amp;col=7&amp;number=0.0326&amp;sourceID=14","0.0326")</f>
        <v>0.0326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HYPERLINK("http://141.218.60.56/~jnz1568/getInfo.php?workbook=12_04.xlsx&amp;sheet=U0&amp;row=6720&amp;col=6&amp;number=4.6&amp;sourceID=14","4.6")</f>
        <v>4.6</v>
      </c>
      <c r="G6720" s="4" t="str">
        <f>HYPERLINK("http://141.218.60.56/~jnz1568/getInfo.php?workbook=12_04.xlsx&amp;sheet=U0&amp;row=6720&amp;col=7&amp;number=0.0311&amp;sourceID=14","0.0311")</f>
        <v>0.0311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HYPERLINK("http://141.218.60.56/~jnz1568/getInfo.php?workbook=12_04.xlsx&amp;sheet=U0&amp;row=6721&amp;col=6&amp;number=4.7&amp;sourceID=14","4.7")</f>
        <v>4.7</v>
      </c>
      <c r="G6721" s="4" t="str">
        <f>HYPERLINK("http://141.218.60.56/~jnz1568/getInfo.php?workbook=12_04.xlsx&amp;sheet=U0&amp;row=6721&amp;col=7&amp;number=0.0292&amp;sourceID=14","0.0292")</f>
        <v>0.0292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HYPERLINK("http://141.218.60.56/~jnz1568/getInfo.php?workbook=12_04.xlsx&amp;sheet=U0&amp;row=6722&amp;col=6&amp;number=4.8&amp;sourceID=14","4.8")</f>
        <v>4.8</v>
      </c>
      <c r="G6722" s="4" t="str">
        <f>HYPERLINK("http://141.218.60.56/~jnz1568/getInfo.php?workbook=12_04.xlsx&amp;sheet=U0&amp;row=6722&amp;col=7&amp;number=0.027&amp;sourceID=14","0.027")</f>
        <v>0.027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HYPERLINK("http://141.218.60.56/~jnz1568/getInfo.php?workbook=12_04.xlsx&amp;sheet=U0&amp;row=6723&amp;col=6&amp;number=4.9&amp;sourceID=14","4.9")</f>
        <v>4.9</v>
      </c>
      <c r="G6723" s="4" t="str">
        <f>HYPERLINK("http://141.218.60.56/~jnz1568/getInfo.php?workbook=12_04.xlsx&amp;sheet=U0&amp;row=6723&amp;col=7&amp;number=0.0245&amp;sourceID=14","0.0245")</f>
        <v>0.0245</v>
      </c>
    </row>
    <row r="6724" spans="1:7">
      <c r="A6724" s="3">
        <v>12</v>
      </c>
      <c r="B6724" s="3">
        <v>4</v>
      </c>
      <c r="C6724" s="3">
        <v>4</v>
      </c>
      <c r="D6724" s="3">
        <v>53</v>
      </c>
      <c r="E6724" s="3">
        <v>1</v>
      </c>
      <c r="F6724" s="4" t="str">
        <f>HYPERLINK("http://141.218.60.56/~jnz1568/getInfo.php?workbook=12_04.xlsx&amp;sheet=U0&amp;row=6724&amp;col=6&amp;number=3&amp;sourceID=14","3")</f>
        <v>3</v>
      </c>
      <c r="G6724" s="4" t="str">
        <f>HYPERLINK("http://141.218.60.56/~jnz1568/getInfo.php?workbook=12_04.xlsx&amp;sheet=U0&amp;row=6724&amp;col=7&amp;number=0.0152&amp;sourceID=14","0.0152")</f>
        <v>0.0152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HYPERLINK("http://141.218.60.56/~jnz1568/getInfo.php?workbook=12_04.xlsx&amp;sheet=U0&amp;row=6725&amp;col=6&amp;number=3.1&amp;sourceID=14","3.1")</f>
        <v>3.1</v>
      </c>
      <c r="G6725" s="4" t="str">
        <f>HYPERLINK("http://141.218.60.56/~jnz1568/getInfo.php?workbook=12_04.xlsx&amp;sheet=U0&amp;row=6725&amp;col=7&amp;number=0.0152&amp;sourceID=14","0.0152")</f>
        <v>0.0152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HYPERLINK("http://141.218.60.56/~jnz1568/getInfo.php?workbook=12_04.xlsx&amp;sheet=U0&amp;row=6726&amp;col=6&amp;number=3.2&amp;sourceID=14","3.2")</f>
        <v>3.2</v>
      </c>
      <c r="G6726" s="4" t="str">
        <f>HYPERLINK("http://141.218.60.56/~jnz1568/getInfo.php?workbook=12_04.xlsx&amp;sheet=U0&amp;row=6726&amp;col=7&amp;number=0.0151&amp;sourceID=14","0.0151")</f>
        <v>0.0151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HYPERLINK("http://141.218.60.56/~jnz1568/getInfo.php?workbook=12_04.xlsx&amp;sheet=U0&amp;row=6727&amp;col=6&amp;number=3.3&amp;sourceID=14","3.3")</f>
        <v>3.3</v>
      </c>
      <c r="G6727" s="4" t="str">
        <f>HYPERLINK("http://141.218.60.56/~jnz1568/getInfo.php?workbook=12_04.xlsx&amp;sheet=U0&amp;row=6727&amp;col=7&amp;number=0.0151&amp;sourceID=14","0.0151")</f>
        <v>0.0151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HYPERLINK("http://141.218.60.56/~jnz1568/getInfo.php?workbook=12_04.xlsx&amp;sheet=U0&amp;row=6728&amp;col=6&amp;number=3.4&amp;sourceID=14","3.4")</f>
        <v>3.4</v>
      </c>
      <c r="G6728" s="4" t="str">
        <f>HYPERLINK("http://141.218.60.56/~jnz1568/getInfo.php?workbook=12_04.xlsx&amp;sheet=U0&amp;row=6728&amp;col=7&amp;number=0.0151&amp;sourceID=14","0.0151")</f>
        <v>0.0151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HYPERLINK("http://141.218.60.56/~jnz1568/getInfo.php?workbook=12_04.xlsx&amp;sheet=U0&amp;row=6729&amp;col=6&amp;number=3.5&amp;sourceID=14","3.5")</f>
        <v>3.5</v>
      </c>
      <c r="G6729" s="4" t="str">
        <f>HYPERLINK("http://141.218.60.56/~jnz1568/getInfo.php?workbook=12_04.xlsx&amp;sheet=U0&amp;row=6729&amp;col=7&amp;number=0.0151&amp;sourceID=14","0.0151")</f>
        <v>0.0151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HYPERLINK("http://141.218.60.56/~jnz1568/getInfo.php?workbook=12_04.xlsx&amp;sheet=U0&amp;row=6730&amp;col=6&amp;number=3.6&amp;sourceID=14","3.6")</f>
        <v>3.6</v>
      </c>
      <c r="G6730" s="4" t="str">
        <f>HYPERLINK("http://141.218.60.56/~jnz1568/getInfo.php?workbook=12_04.xlsx&amp;sheet=U0&amp;row=6730&amp;col=7&amp;number=0.0151&amp;sourceID=14","0.0151")</f>
        <v>0.0151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HYPERLINK("http://141.218.60.56/~jnz1568/getInfo.php?workbook=12_04.xlsx&amp;sheet=U0&amp;row=6731&amp;col=6&amp;number=3.7&amp;sourceID=14","3.7")</f>
        <v>3.7</v>
      </c>
      <c r="G6731" s="4" t="str">
        <f>HYPERLINK("http://141.218.60.56/~jnz1568/getInfo.php?workbook=12_04.xlsx&amp;sheet=U0&amp;row=6731&amp;col=7&amp;number=0.0151&amp;sourceID=14","0.0151")</f>
        <v>0.0151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HYPERLINK("http://141.218.60.56/~jnz1568/getInfo.php?workbook=12_04.xlsx&amp;sheet=U0&amp;row=6732&amp;col=6&amp;number=3.8&amp;sourceID=14","3.8")</f>
        <v>3.8</v>
      </c>
      <c r="G6732" s="4" t="str">
        <f>HYPERLINK("http://141.218.60.56/~jnz1568/getInfo.php?workbook=12_04.xlsx&amp;sheet=U0&amp;row=6732&amp;col=7&amp;number=0.015&amp;sourceID=14","0.015")</f>
        <v>0.015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HYPERLINK("http://141.218.60.56/~jnz1568/getInfo.php?workbook=12_04.xlsx&amp;sheet=U0&amp;row=6733&amp;col=6&amp;number=3.9&amp;sourceID=14","3.9")</f>
        <v>3.9</v>
      </c>
      <c r="G6733" s="4" t="str">
        <f>HYPERLINK("http://141.218.60.56/~jnz1568/getInfo.php?workbook=12_04.xlsx&amp;sheet=U0&amp;row=6733&amp;col=7&amp;number=0.015&amp;sourceID=14","0.015")</f>
        <v>0.015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HYPERLINK("http://141.218.60.56/~jnz1568/getInfo.php?workbook=12_04.xlsx&amp;sheet=U0&amp;row=6734&amp;col=6&amp;number=4&amp;sourceID=14","4")</f>
        <v>4</v>
      </c>
      <c r="G6734" s="4" t="str">
        <f>HYPERLINK("http://141.218.60.56/~jnz1568/getInfo.php?workbook=12_04.xlsx&amp;sheet=U0&amp;row=6734&amp;col=7&amp;number=0.0149&amp;sourceID=14","0.0149")</f>
        <v>0.0149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HYPERLINK("http://141.218.60.56/~jnz1568/getInfo.php?workbook=12_04.xlsx&amp;sheet=U0&amp;row=6735&amp;col=6&amp;number=4.1&amp;sourceID=14","4.1")</f>
        <v>4.1</v>
      </c>
      <c r="G6735" s="4" t="str">
        <f>HYPERLINK("http://141.218.60.56/~jnz1568/getInfo.php?workbook=12_04.xlsx&amp;sheet=U0&amp;row=6735&amp;col=7&amp;number=0.0149&amp;sourceID=14","0.0149")</f>
        <v>0.0149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HYPERLINK("http://141.218.60.56/~jnz1568/getInfo.php?workbook=12_04.xlsx&amp;sheet=U0&amp;row=6736&amp;col=6&amp;number=4.2&amp;sourceID=14","4.2")</f>
        <v>4.2</v>
      </c>
      <c r="G6736" s="4" t="str">
        <f>HYPERLINK("http://141.218.60.56/~jnz1568/getInfo.php?workbook=12_04.xlsx&amp;sheet=U0&amp;row=6736&amp;col=7&amp;number=0.0148&amp;sourceID=14","0.0148")</f>
        <v>0.0148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HYPERLINK("http://141.218.60.56/~jnz1568/getInfo.php?workbook=12_04.xlsx&amp;sheet=U0&amp;row=6737&amp;col=6&amp;number=4.3&amp;sourceID=14","4.3")</f>
        <v>4.3</v>
      </c>
      <c r="G6737" s="4" t="str">
        <f>HYPERLINK("http://141.218.60.56/~jnz1568/getInfo.php?workbook=12_04.xlsx&amp;sheet=U0&amp;row=6737&amp;col=7&amp;number=0.0147&amp;sourceID=14","0.0147")</f>
        <v>0.0147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HYPERLINK("http://141.218.60.56/~jnz1568/getInfo.php?workbook=12_04.xlsx&amp;sheet=U0&amp;row=6738&amp;col=6&amp;number=4.4&amp;sourceID=14","4.4")</f>
        <v>4.4</v>
      </c>
      <c r="G6738" s="4" t="str">
        <f>HYPERLINK("http://141.218.60.56/~jnz1568/getInfo.php?workbook=12_04.xlsx&amp;sheet=U0&amp;row=6738&amp;col=7&amp;number=0.0146&amp;sourceID=14","0.0146")</f>
        <v>0.0146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HYPERLINK("http://141.218.60.56/~jnz1568/getInfo.php?workbook=12_04.xlsx&amp;sheet=U0&amp;row=6739&amp;col=6&amp;number=4.5&amp;sourceID=14","4.5")</f>
        <v>4.5</v>
      </c>
      <c r="G6739" s="4" t="str">
        <f>HYPERLINK("http://141.218.60.56/~jnz1568/getInfo.php?workbook=12_04.xlsx&amp;sheet=U0&amp;row=6739&amp;col=7&amp;number=0.0144&amp;sourceID=14","0.0144")</f>
        <v>0.0144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HYPERLINK("http://141.218.60.56/~jnz1568/getInfo.php?workbook=12_04.xlsx&amp;sheet=U0&amp;row=6740&amp;col=6&amp;number=4.6&amp;sourceID=14","4.6")</f>
        <v>4.6</v>
      </c>
      <c r="G6740" s="4" t="str">
        <f>HYPERLINK("http://141.218.60.56/~jnz1568/getInfo.php?workbook=12_04.xlsx&amp;sheet=U0&amp;row=6740&amp;col=7&amp;number=0.0142&amp;sourceID=14","0.0142")</f>
        <v>0.0142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HYPERLINK("http://141.218.60.56/~jnz1568/getInfo.php?workbook=12_04.xlsx&amp;sheet=U0&amp;row=6741&amp;col=6&amp;number=4.7&amp;sourceID=14","4.7")</f>
        <v>4.7</v>
      </c>
      <c r="G6741" s="4" t="str">
        <f>HYPERLINK("http://141.218.60.56/~jnz1568/getInfo.php?workbook=12_04.xlsx&amp;sheet=U0&amp;row=6741&amp;col=7&amp;number=0.014&amp;sourceID=14","0.014")</f>
        <v>0.014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HYPERLINK("http://141.218.60.56/~jnz1568/getInfo.php?workbook=12_04.xlsx&amp;sheet=U0&amp;row=6742&amp;col=6&amp;number=4.8&amp;sourceID=14","4.8")</f>
        <v>4.8</v>
      </c>
      <c r="G6742" s="4" t="str">
        <f>HYPERLINK("http://141.218.60.56/~jnz1568/getInfo.php?workbook=12_04.xlsx&amp;sheet=U0&amp;row=6742&amp;col=7&amp;number=0.0137&amp;sourceID=14","0.0137")</f>
        <v>0.0137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HYPERLINK("http://141.218.60.56/~jnz1568/getInfo.php?workbook=12_04.xlsx&amp;sheet=U0&amp;row=6743&amp;col=6&amp;number=4.9&amp;sourceID=14","4.9")</f>
        <v>4.9</v>
      </c>
      <c r="G6743" s="4" t="str">
        <f>HYPERLINK("http://141.218.60.56/~jnz1568/getInfo.php?workbook=12_04.xlsx&amp;sheet=U0&amp;row=6743&amp;col=7&amp;number=0.0133&amp;sourceID=14","0.0133")</f>
        <v>0.0133</v>
      </c>
    </row>
    <row r="6744" spans="1:7">
      <c r="A6744" s="3">
        <v>12</v>
      </c>
      <c r="B6744" s="3">
        <v>4</v>
      </c>
      <c r="C6744" s="3">
        <v>4</v>
      </c>
      <c r="D6744" s="3">
        <v>54</v>
      </c>
      <c r="E6744" s="3">
        <v>1</v>
      </c>
      <c r="F6744" s="4" t="str">
        <f>HYPERLINK("http://141.218.60.56/~jnz1568/getInfo.php?workbook=12_04.xlsx&amp;sheet=U0&amp;row=6744&amp;col=6&amp;number=3&amp;sourceID=14","3")</f>
        <v>3</v>
      </c>
      <c r="G6744" s="4" t="str">
        <f>HYPERLINK("http://141.218.60.56/~jnz1568/getInfo.php?workbook=12_04.xlsx&amp;sheet=U0&amp;row=6744&amp;col=7&amp;number=0.0403&amp;sourceID=14","0.0403")</f>
        <v>0.0403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HYPERLINK("http://141.218.60.56/~jnz1568/getInfo.php?workbook=12_04.xlsx&amp;sheet=U0&amp;row=6745&amp;col=6&amp;number=3.1&amp;sourceID=14","3.1")</f>
        <v>3.1</v>
      </c>
      <c r="G6745" s="4" t="str">
        <f>HYPERLINK("http://141.218.60.56/~jnz1568/getInfo.php?workbook=12_04.xlsx&amp;sheet=U0&amp;row=6745&amp;col=7&amp;number=0.0403&amp;sourceID=14","0.0403")</f>
        <v>0.0403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HYPERLINK("http://141.218.60.56/~jnz1568/getInfo.php?workbook=12_04.xlsx&amp;sheet=U0&amp;row=6746&amp;col=6&amp;number=3.2&amp;sourceID=14","3.2")</f>
        <v>3.2</v>
      </c>
      <c r="G6746" s="4" t="str">
        <f>HYPERLINK("http://141.218.60.56/~jnz1568/getInfo.php?workbook=12_04.xlsx&amp;sheet=U0&amp;row=6746&amp;col=7&amp;number=0.0403&amp;sourceID=14","0.0403")</f>
        <v>0.0403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HYPERLINK("http://141.218.60.56/~jnz1568/getInfo.php?workbook=12_04.xlsx&amp;sheet=U0&amp;row=6747&amp;col=6&amp;number=3.3&amp;sourceID=14","3.3")</f>
        <v>3.3</v>
      </c>
      <c r="G6747" s="4" t="str">
        <f>HYPERLINK("http://141.218.60.56/~jnz1568/getInfo.php?workbook=12_04.xlsx&amp;sheet=U0&amp;row=6747&amp;col=7&amp;number=0.0403&amp;sourceID=14","0.0403")</f>
        <v>0.0403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HYPERLINK("http://141.218.60.56/~jnz1568/getInfo.php?workbook=12_04.xlsx&amp;sheet=U0&amp;row=6748&amp;col=6&amp;number=3.4&amp;sourceID=14","3.4")</f>
        <v>3.4</v>
      </c>
      <c r="G6748" s="4" t="str">
        <f>HYPERLINK("http://141.218.60.56/~jnz1568/getInfo.php?workbook=12_04.xlsx&amp;sheet=U0&amp;row=6748&amp;col=7&amp;number=0.0403&amp;sourceID=14","0.0403")</f>
        <v>0.0403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HYPERLINK("http://141.218.60.56/~jnz1568/getInfo.php?workbook=12_04.xlsx&amp;sheet=U0&amp;row=6749&amp;col=6&amp;number=3.5&amp;sourceID=14","3.5")</f>
        <v>3.5</v>
      </c>
      <c r="G6749" s="4" t="str">
        <f>HYPERLINK("http://141.218.60.56/~jnz1568/getInfo.php?workbook=12_04.xlsx&amp;sheet=U0&amp;row=6749&amp;col=7&amp;number=0.0403&amp;sourceID=14","0.0403")</f>
        <v>0.0403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HYPERLINK("http://141.218.60.56/~jnz1568/getInfo.php?workbook=12_04.xlsx&amp;sheet=U0&amp;row=6750&amp;col=6&amp;number=3.6&amp;sourceID=14","3.6")</f>
        <v>3.6</v>
      </c>
      <c r="G6750" s="4" t="str">
        <f>HYPERLINK("http://141.218.60.56/~jnz1568/getInfo.php?workbook=12_04.xlsx&amp;sheet=U0&amp;row=6750&amp;col=7&amp;number=0.0402&amp;sourceID=14","0.0402")</f>
        <v>0.0402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HYPERLINK("http://141.218.60.56/~jnz1568/getInfo.php?workbook=12_04.xlsx&amp;sheet=U0&amp;row=6751&amp;col=6&amp;number=3.7&amp;sourceID=14","3.7")</f>
        <v>3.7</v>
      </c>
      <c r="G6751" s="4" t="str">
        <f>HYPERLINK("http://141.218.60.56/~jnz1568/getInfo.php?workbook=12_04.xlsx&amp;sheet=U0&amp;row=6751&amp;col=7&amp;number=0.0402&amp;sourceID=14","0.0402")</f>
        <v>0.0402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HYPERLINK("http://141.218.60.56/~jnz1568/getInfo.php?workbook=12_04.xlsx&amp;sheet=U0&amp;row=6752&amp;col=6&amp;number=3.8&amp;sourceID=14","3.8")</f>
        <v>3.8</v>
      </c>
      <c r="G6752" s="4" t="str">
        <f>HYPERLINK("http://141.218.60.56/~jnz1568/getInfo.php?workbook=12_04.xlsx&amp;sheet=U0&amp;row=6752&amp;col=7&amp;number=0.0402&amp;sourceID=14","0.0402")</f>
        <v>0.0402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HYPERLINK("http://141.218.60.56/~jnz1568/getInfo.php?workbook=12_04.xlsx&amp;sheet=U0&amp;row=6753&amp;col=6&amp;number=3.9&amp;sourceID=14","3.9")</f>
        <v>3.9</v>
      </c>
      <c r="G6753" s="4" t="str">
        <f>HYPERLINK("http://141.218.60.56/~jnz1568/getInfo.php?workbook=12_04.xlsx&amp;sheet=U0&amp;row=6753&amp;col=7&amp;number=0.0401&amp;sourceID=14","0.0401")</f>
        <v>0.0401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HYPERLINK("http://141.218.60.56/~jnz1568/getInfo.php?workbook=12_04.xlsx&amp;sheet=U0&amp;row=6754&amp;col=6&amp;number=4&amp;sourceID=14","4")</f>
        <v>4</v>
      </c>
      <c r="G6754" s="4" t="str">
        <f>HYPERLINK("http://141.218.60.56/~jnz1568/getInfo.php?workbook=12_04.xlsx&amp;sheet=U0&amp;row=6754&amp;col=7&amp;number=0.04&amp;sourceID=14","0.04")</f>
        <v>0.04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HYPERLINK("http://141.218.60.56/~jnz1568/getInfo.php?workbook=12_04.xlsx&amp;sheet=U0&amp;row=6755&amp;col=6&amp;number=4.1&amp;sourceID=14","4.1")</f>
        <v>4.1</v>
      </c>
      <c r="G6755" s="4" t="str">
        <f>HYPERLINK("http://141.218.60.56/~jnz1568/getInfo.php?workbook=12_04.xlsx&amp;sheet=U0&amp;row=6755&amp;col=7&amp;number=0.0399&amp;sourceID=14","0.0399")</f>
        <v>0.0399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HYPERLINK("http://141.218.60.56/~jnz1568/getInfo.php?workbook=12_04.xlsx&amp;sheet=U0&amp;row=6756&amp;col=6&amp;number=4.2&amp;sourceID=14","4.2")</f>
        <v>4.2</v>
      </c>
      <c r="G6756" s="4" t="str">
        <f>HYPERLINK("http://141.218.60.56/~jnz1568/getInfo.php?workbook=12_04.xlsx&amp;sheet=U0&amp;row=6756&amp;col=7&amp;number=0.0398&amp;sourceID=14","0.0398")</f>
        <v>0.0398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HYPERLINK("http://141.218.60.56/~jnz1568/getInfo.php?workbook=12_04.xlsx&amp;sheet=U0&amp;row=6757&amp;col=6&amp;number=4.3&amp;sourceID=14","4.3")</f>
        <v>4.3</v>
      </c>
      <c r="G6757" s="4" t="str">
        <f>HYPERLINK("http://141.218.60.56/~jnz1568/getInfo.php?workbook=12_04.xlsx&amp;sheet=U0&amp;row=6757&amp;col=7&amp;number=0.0397&amp;sourceID=14","0.0397")</f>
        <v>0.0397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HYPERLINK("http://141.218.60.56/~jnz1568/getInfo.php?workbook=12_04.xlsx&amp;sheet=U0&amp;row=6758&amp;col=6&amp;number=4.4&amp;sourceID=14","4.4")</f>
        <v>4.4</v>
      </c>
      <c r="G6758" s="4" t="str">
        <f>HYPERLINK("http://141.218.60.56/~jnz1568/getInfo.php?workbook=12_04.xlsx&amp;sheet=U0&amp;row=6758&amp;col=7&amp;number=0.0395&amp;sourceID=14","0.0395")</f>
        <v>0.0395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HYPERLINK("http://141.218.60.56/~jnz1568/getInfo.php?workbook=12_04.xlsx&amp;sheet=U0&amp;row=6759&amp;col=6&amp;number=4.5&amp;sourceID=14","4.5")</f>
        <v>4.5</v>
      </c>
      <c r="G6759" s="4" t="str">
        <f>HYPERLINK("http://141.218.60.56/~jnz1568/getInfo.php?workbook=12_04.xlsx&amp;sheet=U0&amp;row=6759&amp;col=7&amp;number=0.0393&amp;sourceID=14","0.0393")</f>
        <v>0.0393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HYPERLINK("http://141.218.60.56/~jnz1568/getInfo.php?workbook=12_04.xlsx&amp;sheet=U0&amp;row=6760&amp;col=6&amp;number=4.6&amp;sourceID=14","4.6")</f>
        <v>4.6</v>
      </c>
      <c r="G6760" s="4" t="str">
        <f>HYPERLINK("http://141.218.60.56/~jnz1568/getInfo.php?workbook=12_04.xlsx&amp;sheet=U0&amp;row=6760&amp;col=7&amp;number=0.039&amp;sourceID=14","0.039")</f>
        <v>0.039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HYPERLINK("http://141.218.60.56/~jnz1568/getInfo.php?workbook=12_04.xlsx&amp;sheet=U0&amp;row=6761&amp;col=6&amp;number=4.7&amp;sourceID=14","4.7")</f>
        <v>4.7</v>
      </c>
      <c r="G6761" s="4" t="str">
        <f>HYPERLINK("http://141.218.60.56/~jnz1568/getInfo.php?workbook=12_04.xlsx&amp;sheet=U0&amp;row=6761&amp;col=7&amp;number=0.0387&amp;sourceID=14","0.0387")</f>
        <v>0.0387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HYPERLINK("http://141.218.60.56/~jnz1568/getInfo.php?workbook=12_04.xlsx&amp;sheet=U0&amp;row=6762&amp;col=6&amp;number=4.8&amp;sourceID=14","4.8")</f>
        <v>4.8</v>
      </c>
      <c r="G6762" s="4" t="str">
        <f>HYPERLINK("http://141.218.60.56/~jnz1568/getInfo.php?workbook=12_04.xlsx&amp;sheet=U0&amp;row=6762&amp;col=7&amp;number=0.0383&amp;sourceID=14","0.0383")</f>
        <v>0.0383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HYPERLINK("http://141.218.60.56/~jnz1568/getInfo.php?workbook=12_04.xlsx&amp;sheet=U0&amp;row=6763&amp;col=6&amp;number=4.9&amp;sourceID=14","4.9")</f>
        <v>4.9</v>
      </c>
      <c r="G6763" s="4" t="str">
        <f>HYPERLINK("http://141.218.60.56/~jnz1568/getInfo.php?workbook=12_04.xlsx&amp;sheet=U0&amp;row=6763&amp;col=7&amp;number=0.0378&amp;sourceID=14","0.0378")</f>
        <v>0.0378</v>
      </c>
    </row>
    <row r="6764" spans="1:7">
      <c r="A6764" s="3">
        <v>12</v>
      </c>
      <c r="B6764" s="3">
        <v>4</v>
      </c>
      <c r="C6764" s="3">
        <v>4</v>
      </c>
      <c r="D6764" s="3">
        <v>55</v>
      </c>
      <c r="E6764" s="3">
        <v>1</v>
      </c>
      <c r="F6764" s="4" t="str">
        <f>HYPERLINK("http://141.218.60.56/~jnz1568/getInfo.php?workbook=12_04.xlsx&amp;sheet=U0&amp;row=6764&amp;col=6&amp;number=3&amp;sourceID=14","3")</f>
        <v>3</v>
      </c>
      <c r="G6764" s="4" t="str">
        <f>HYPERLINK("http://141.218.60.56/~jnz1568/getInfo.php?workbook=12_04.xlsx&amp;sheet=U0&amp;row=6764&amp;col=7&amp;number=0.126&amp;sourceID=14","0.126")</f>
        <v>0.126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HYPERLINK("http://141.218.60.56/~jnz1568/getInfo.php?workbook=12_04.xlsx&amp;sheet=U0&amp;row=6765&amp;col=6&amp;number=3.1&amp;sourceID=14","3.1")</f>
        <v>3.1</v>
      </c>
      <c r="G6765" s="4" t="str">
        <f>HYPERLINK("http://141.218.60.56/~jnz1568/getInfo.php?workbook=12_04.xlsx&amp;sheet=U0&amp;row=6765&amp;col=7&amp;number=0.126&amp;sourceID=14","0.126")</f>
        <v>0.126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HYPERLINK("http://141.218.60.56/~jnz1568/getInfo.php?workbook=12_04.xlsx&amp;sheet=U0&amp;row=6766&amp;col=6&amp;number=3.2&amp;sourceID=14","3.2")</f>
        <v>3.2</v>
      </c>
      <c r="G6766" s="4" t="str">
        <f>HYPERLINK("http://141.218.60.56/~jnz1568/getInfo.php?workbook=12_04.xlsx&amp;sheet=U0&amp;row=6766&amp;col=7&amp;number=0.126&amp;sourceID=14","0.126")</f>
        <v>0.126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HYPERLINK("http://141.218.60.56/~jnz1568/getInfo.php?workbook=12_04.xlsx&amp;sheet=U0&amp;row=6767&amp;col=6&amp;number=3.3&amp;sourceID=14","3.3")</f>
        <v>3.3</v>
      </c>
      <c r="G6767" s="4" t="str">
        <f>HYPERLINK("http://141.218.60.56/~jnz1568/getInfo.php?workbook=12_04.xlsx&amp;sheet=U0&amp;row=6767&amp;col=7&amp;number=0.126&amp;sourceID=14","0.126")</f>
        <v>0.126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HYPERLINK("http://141.218.60.56/~jnz1568/getInfo.php?workbook=12_04.xlsx&amp;sheet=U0&amp;row=6768&amp;col=6&amp;number=3.4&amp;sourceID=14","3.4")</f>
        <v>3.4</v>
      </c>
      <c r="G6768" s="4" t="str">
        <f>HYPERLINK("http://141.218.60.56/~jnz1568/getInfo.php?workbook=12_04.xlsx&amp;sheet=U0&amp;row=6768&amp;col=7&amp;number=0.125&amp;sourceID=14","0.125")</f>
        <v>0.125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HYPERLINK("http://141.218.60.56/~jnz1568/getInfo.php?workbook=12_04.xlsx&amp;sheet=U0&amp;row=6769&amp;col=6&amp;number=3.5&amp;sourceID=14","3.5")</f>
        <v>3.5</v>
      </c>
      <c r="G6769" s="4" t="str">
        <f>HYPERLINK("http://141.218.60.56/~jnz1568/getInfo.php?workbook=12_04.xlsx&amp;sheet=U0&amp;row=6769&amp;col=7&amp;number=0.125&amp;sourceID=14","0.125")</f>
        <v>0.125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HYPERLINK("http://141.218.60.56/~jnz1568/getInfo.php?workbook=12_04.xlsx&amp;sheet=U0&amp;row=6770&amp;col=6&amp;number=3.6&amp;sourceID=14","3.6")</f>
        <v>3.6</v>
      </c>
      <c r="G6770" s="4" t="str">
        <f>HYPERLINK("http://141.218.60.56/~jnz1568/getInfo.php?workbook=12_04.xlsx&amp;sheet=U0&amp;row=6770&amp;col=7&amp;number=0.125&amp;sourceID=14","0.125")</f>
        <v>0.125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HYPERLINK("http://141.218.60.56/~jnz1568/getInfo.php?workbook=12_04.xlsx&amp;sheet=U0&amp;row=6771&amp;col=6&amp;number=3.7&amp;sourceID=14","3.7")</f>
        <v>3.7</v>
      </c>
      <c r="G6771" s="4" t="str">
        <f>HYPERLINK("http://141.218.60.56/~jnz1568/getInfo.php?workbook=12_04.xlsx&amp;sheet=U0&amp;row=6771&amp;col=7&amp;number=0.125&amp;sourceID=14","0.125")</f>
        <v>0.125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HYPERLINK("http://141.218.60.56/~jnz1568/getInfo.php?workbook=12_04.xlsx&amp;sheet=U0&amp;row=6772&amp;col=6&amp;number=3.8&amp;sourceID=14","3.8")</f>
        <v>3.8</v>
      </c>
      <c r="G6772" s="4" t="str">
        <f>HYPERLINK("http://141.218.60.56/~jnz1568/getInfo.php?workbook=12_04.xlsx&amp;sheet=U0&amp;row=6772&amp;col=7&amp;number=0.125&amp;sourceID=14","0.125")</f>
        <v>0.125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HYPERLINK("http://141.218.60.56/~jnz1568/getInfo.php?workbook=12_04.xlsx&amp;sheet=U0&amp;row=6773&amp;col=6&amp;number=3.9&amp;sourceID=14","3.9")</f>
        <v>3.9</v>
      </c>
      <c r="G6773" s="4" t="str">
        <f>HYPERLINK("http://141.218.60.56/~jnz1568/getInfo.php?workbook=12_04.xlsx&amp;sheet=U0&amp;row=6773&amp;col=7&amp;number=0.125&amp;sourceID=14","0.125")</f>
        <v>0.125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HYPERLINK("http://141.218.60.56/~jnz1568/getInfo.php?workbook=12_04.xlsx&amp;sheet=U0&amp;row=6774&amp;col=6&amp;number=4&amp;sourceID=14","4")</f>
        <v>4</v>
      </c>
      <c r="G6774" s="4" t="str">
        <f>HYPERLINK("http://141.218.60.56/~jnz1568/getInfo.php?workbook=12_04.xlsx&amp;sheet=U0&amp;row=6774&amp;col=7&amp;number=0.125&amp;sourceID=14","0.125")</f>
        <v>0.125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HYPERLINK("http://141.218.60.56/~jnz1568/getInfo.php?workbook=12_04.xlsx&amp;sheet=U0&amp;row=6775&amp;col=6&amp;number=4.1&amp;sourceID=14","4.1")</f>
        <v>4.1</v>
      </c>
      <c r="G6775" s="4" t="str">
        <f>HYPERLINK("http://141.218.60.56/~jnz1568/getInfo.php?workbook=12_04.xlsx&amp;sheet=U0&amp;row=6775&amp;col=7&amp;number=0.125&amp;sourceID=14","0.125")</f>
        <v>0.125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HYPERLINK("http://141.218.60.56/~jnz1568/getInfo.php?workbook=12_04.xlsx&amp;sheet=U0&amp;row=6776&amp;col=6&amp;number=4.2&amp;sourceID=14","4.2")</f>
        <v>4.2</v>
      </c>
      <c r="G6776" s="4" t="str">
        <f>HYPERLINK("http://141.218.60.56/~jnz1568/getInfo.php?workbook=12_04.xlsx&amp;sheet=U0&amp;row=6776&amp;col=7&amp;number=0.125&amp;sourceID=14","0.125")</f>
        <v>0.125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HYPERLINK("http://141.218.60.56/~jnz1568/getInfo.php?workbook=12_04.xlsx&amp;sheet=U0&amp;row=6777&amp;col=6&amp;number=4.3&amp;sourceID=14","4.3")</f>
        <v>4.3</v>
      </c>
      <c r="G6777" s="4" t="str">
        <f>HYPERLINK("http://141.218.60.56/~jnz1568/getInfo.php?workbook=12_04.xlsx&amp;sheet=U0&amp;row=6777&amp;col=7&amp;number=0.125&amp;sourceID=14","0.125")</f>
        <v>0.125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HYPERLINK("http://141.218.60.56/~jnz1568/getInfo.php?workbook=12_04.xlsx&amp;sheet=U0&amp;row=6778&amp;col=6&amp;number=4.4&amp;sourceID=14","4.4")</f>
        <v>4.4</v>
      </c>
      <c r="G6778" s="4" t="str">
        <f>HYPERLINK("http://141.218.60.56/~jnz1568/getInfo.php?workbook=12_04.xlsx&amp;sheet=U0&amp;row=6778&amp;col=7&amp;number=0.124&amp;sourceID=14","0.124")</f>
        <v>0.124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HYPERLINK("http://141.218.60.56/~jnz1568/getInfo.php?workbook=12_04.xlsx&amp;sheet=U0&amp;row=6779&amp;col=6&amp;number=4.5&amp;sourceID=14","4.5")</f>
        <v>4.5</v>
      </c>
      <c r="G6779" s="4" t="str">
        <f>HYPERLINK("http://141.218.60.56/~jnz1568/getInfo.php?workbook=12_04.xlsx&amp;sheet=U0&amp;row=6779&amp;col=7&amp;number=0.124&amp;sourceID=14","0.124")</f>
        <v>0.124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HYPERLINK("http://141.218.60.56/~jnz1568/getInfo.php?workbook=12_04.xlsx&amp;sheet=U0&amp;row=6780&amp;col=6&amp;number=4.6&amp;sourceID=14","4.6")</f>
        <v>4.6</v>
      </c>
      <c r="G6780" s="4" t="str">
        <f>HYPERLINK("http://141.218.60.56/~jnz1568/getInfo.php?workbook=12_04.xlsx&amp;sheet=U0&amp;row=6780&amp;col=7&amp;number=0.124&amp;sourceID=14","0.124")</f>
        <v>0.124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HYPERLINK("http://141.218.60.56/~jnz1568/getInfo.php?workbook=12_04.xlsx&amp;sheet=U0&amp;row=6781&amp;col=6&amp;number=4.7&amp;sourceID=14","4.7")</f>
        <v>4.7</v>
      </c>
      <c r="G6781" s="4" t="str">
        <f>HYPERLINK("http://141.218.60.56/~jnz1568/getInfo.php?workbook=12_04.xlsx&amp;sheet=U0&amp;row=6781&amp;col=7&amp;number=0.123&amp;sourceID=14","0.123")</f>
        <v>0.123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HYPERLINK("http://141.218.60.56/~jnz1568/getInfo.php?workbook=12_04.xlsx&amp;sheet=U0&amp;row=6782&amp;col=6&amp;number=4.8&amp;sourceID=14","4.8")</f>
        <v>4.8</v>
      </c>
      <c r="G6782" s="4" t="str">
        <f>HYPERLINK("http://141.218.60.56/~jnz1568/getInfo.php?workbook=12_04.xlsx&amp;sheet=U0&amp;row=6782&amp;col=7&amp;number=0.123&amp;sourceID=14","0.123")</f>
        <v>0.123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HYPERLINK("http://141.218.60.56/~jnz1568/getInfo.php?workbook=12_04.xlsx&amp;sheet=U0&amp;row=6783&amp;col=6&amp;number=4.9&amp;sourceID=14","4.9")</f>
        <v>4.9</v>
      </c>
      <c r="G6783" s="4" t="str">
        <f>HYPERLINK("http://141.218.60.56/~jnz1568/getInfo.php?workbook=12_04.xlsx&amp;sheet=U0&amp;row=6783&amp;col=7&amp;number=0.122&amp;sourceID=14","0.122")</f>
        <v>0.122</v>
      </c>
    </row>
    <row r="6784" spans="1:7">
      <c r="A6784" s="3">
        <v>12</v>
      </c>
      <c r="B6784" s="3">
        <v>4</v>
      </c>
      <c r="C6784" s="3">
        <v>4</v>
      </c>
      <c r="D6784" s="3">
        <v>56</v>
      </c>
      <c r="E6784" s="3">
        <v>1</v>
      </c>
      <c r="F6784" s="4" t="str">
        <f>HYPERLINK("http://141.218.60.56/~jnz1568/getInfo.php?workbook=12_04.xlsx&amp;sheet=U0&amp;row=6784&amp;col=6&amp;number=3&amp;sourceID=14","3")</f>
        <v>3</v>
      </c>
      <c r="G6784" s="4" t="str">
        <f>HYPERLINK("http://141.218.60.56/~jnz1568/getInfo.php?workbook=12_04.xlsx&amp;sheet=U0&amp;row=6784&amp;col=7&amp;number=0.0309&amp;sourceID=14","0.0309")</f>
        <v>0.0309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HYPERLINK("http://141.218.60.56/~jnz1568/getInfo.php?workbook=12_04.xlsx&amp;sheet=U0&amp;row=6785&amp;col=6&amp;number=3.1&amp;sourceID=14","3.1")</f>
        <v>3.1</v>
      </c>
      <c r="G6785" s="4" t="str">
        <f>HYPERLINK("http://141.218.60.56/~jnz1568/getInfo.php?workbook=12_04.xlsx&amp;sheet=U0&amp;row=6785&amp;col=7&amp;number=0.0309&amp;sourceID=14","0.0309")</f>
        <v>0.0309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HYPERLINK("http://141.218.60.56/~jnz1568/getInfo.php?workbook=12_04.xlsx&amp;sheet=U0&amp;row=6786&amp;col=6&amp;number=3.2&amp;sourceID=14","3.2")</f>
        <v>3.2</v>
      </c>
      <c r="G6786" s="4" t="str">
        <f>HYPERLINK("http://141.218.60.56/~jnz1568/getInfo.php?workbook=12_04.xlsx&amp;sheet=U0&amp;row=6786&amp;col=7&amp;number=0.0309&amp;sourceID=14","0.0309")</f>
        <v>0.0309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HYPERLINK("http://141.218.60.56/~jnz1568/getInfo.php?workbook=12_04.xlsx&amp;sheet=U0&amp;row=6787&amp;col=6&amp;number=3.3&amp;sourceID=14","3.3")</f>
        <v>3.3</v>
      </c>
      <c r="G6787" s="4" t="str">
        <f>HYPERLINK("http://141.218.60.56/~jnz1568/getInfo.php?workbook=12_04.xlsx&amp;sheet=U0&amp;row=6787&amp;col=7&amp;number=0.0309&amp;sourceID=14","0.0309")</f>
        <v>0.0309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HYPERLINK("http://141.218.60.56/~jnz1568/getInfo.php?workbook=12_04.xlsx&amp;sheet=U0&amp;row=6788&amp;col=6&amp;number=3.4&amp;sourceID=14","3.4")</f>
        <v>3.4</v>
      </c>
      <c r="G6788" s="4" t="str">
        <f>HYPERLINK("http://141.218.60.56/~jnz1568/getInfo.php?workbook=12_04.xlsx&amp;sheet=U0&amp;row=6788&amp;col=7&amp;number=0.0309&amp;sourceID=14","0.0309")</f>
        <v>0.0309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HYPERLINK("http://141.218.60.56/~jnz1568/getInfo.php?workbook=12_04.xlsx&amp;sheet=U0&amp;row=6789&amp;col=6&amp;number=3.5&amp;sourceID=14","3.5")</f>
        <v>3.5</v>
      </c>
      <c r="G6789" s="4" t="str">
        <f>HYPERLINK("http://141.218.60.56/~jnz1568/getInfo.php?workbook=12_04.xlsx&amp;sheet=U0&amp;row=6789&amp;col=7&amp;number=0.0308&amp;sourceID=14","0.0308")</f>
        <v>0.0308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HYPERLINK("http://141.218.60.56/~jnz1568/getInfo.php?workbook=12_04.xlsx&amp;sheet=U0&amp;row=6790&amp;col=6&amp;number=3.6&amp;sourceID=14","3.6")</f>
        <v>3.6</v>
      </c>
      <c r="G6790" s="4" t="str">
        <f>HYPERLINK("http://141.218.60.56/~jnz1568/getInfo.php?workbook=12_04.xlsx&amp;sheet=U0&amp;row=6790&amp;col=7&amp;number=0.0308&amp;sourceID=14","0.0308")</f>
        <v>0.0308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HYPERLINK("http://141.218.60.56/~jnz1568/getInfo.php?workbook=12_04.xlsx&amp;sheet=U0&amp;row=6791&amp;col=6&amp;number=3.7&amp;sourceID=14","3.7")</f>
        <v>3.7</v>
      </c>
      <c r="G6791" s="4" t="str">
        <f>HYPERLINK("http://141.218.60.56/~jnz1568/getInfo.php?workbook=12_04.xlsx&amp;sheet=U0&amp;row=6791&amp;col=7&amp;number=0.0308&amp;sourceID=14","0.0308")</f>
        <v>0.0308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HYPERLINK("http://141.218.60.56/~jnz1568/getInfo.php?workbook=12_04.xlsx&amp;sheet=U0&amp;row=6792&amp;col=6&amp;number=3.8&amp;sourceID=14","3.8")</f>
        <v>3.8</v>
      </c>
      <c r="G6792" s="4" t="str">
        <f>HYPERLINK("http://141.218.60.56/~jnz1568/getInfo.php?workbook=12_04.xlsx&amp;sheet=U0&amp;row=6792&amp;col=7&amp;number=0.0307&amp;sourceID=14","0.0307")</f>
        <v>0.0307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HYPERLINK("http://141.218.60.56/~jnz1568/getInfo.php?workbook=12_04.xlsx&amp;sheet=U0&amp;row=6793&amp;col=6&amp;number=3.9&amp;sourceID=14","3.9")</f>
        <v>3.9</v>
      </c>
      <c r="G6793" s="4" t="str">
        <f>HYPERLINK("http://141.218.60.56/~jnz1568/getInfo.php?workbook=12_04.xlsx&amp;sheet=U0&amp;row=6793&amp;col=7&amp;number=0.0306&amp;sourceID=14","0.0306")</f>
        <v>0.0306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HYPERLINK("http://141.218.60.56/~jnz1568/getInfo.php?workbook=12_04.xlsx&amp;sheet=U0&amp;row=6794&amp;col=6&amp;number=4&amp;sourceID=14","4")</f>
        <v>4</v>
      </c>
      <c r="G6794" s="4" t="str">
        <f>HYPERLINK("http://141.218.60.56/~jnz1568/getInfo.php?workbook=12_04.xlsx&amp;sheet=U0&amp;row=6794&amp;col=7&amp;number=0.0305&amp;sourceID=14","0.0305")</f>
        <v>0.0305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HYPERLINK("http://141.218.60.56/~jnz1568/getInfo.php?workbook=12_04.xlsx&amp;sheet=U0&amp;row=6795&amp;col=6&amp;number=4.1&amp;sourceID=14","4.1")</f>
        <v>4.1</v>
      </c>
      <c r="G6795" s="4" t="str">
        <f>HYPERLINK("http://141.218.60.56/~jnz1568/getInfo.php?workbook=12_04.xlsx&amp;sheet=U0&amp;row=6795&amp;col=7&amp;number=0.0304&amp;sourceID=14","0.0304")</f>
        <v>0.0304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HYPERLINK("http://141.218.60.56/~jnz1568/getInfo.php?workbook=12_04.xlsx&amp;sheet=U0&amp;row=6796&amp;col=6&amp;number=4.2&amp;sourceID=14","4.2")</f>
        <v>4.2</v>
      </c>
      <c r="G6796" s="4" t="str">
        <f>HYPERLINK("http://141.218.60.56/~jnz1568/getInfo.php?workbook=12_04.xlsx&amp;sheet=U0&amp;row=6796&amp;col=7&amp;number=0.0303&amp;sourceID=14","0.0303")</f>
        <v>0.0303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HYPERLINK("http://141.218.60.56/~jnz1568/getInfo.php?workbook=12_04.xlsx&amp;sheet=U0&amp;row=6797&amp;col=6&amp;number=4.3&amp;sourceID=14","4.3")</f>
        <v>4.3</v>
      </c>
      <c r="G6797" s="4" t="str">
        <f>HYPERLINK("http://141.218.60.56/~jnz1568/getInfo.php?workbook=12_04.xlsx&amp;sheet=U0&amp;row=6797&amp;col=7&amp;number=0.0301&amp;sourceID=14","0.0301")</f>
        <v>0.0301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HYPERLINK("http://141.218.60.56/~jnz1568/getInfo.php?workbook=12_04.xlsx&amp;sheet=U0&amp;row=6798&amp;col=6&amp;number=4.4&amp;sourceID=14","4.4")</f>
        <v>4.4</v>
      </c>
      <c r="G6798" s="4" t="str">
        <f>HYPERLINK("http://141.218.60.56/~jnz1568/getInfo.php?workbook=12_04.xlsx&amp;sheet=U0&amp;row=6798&amp;col=7&amp;number=0.0299&amp;sourceID=14","0.0299")</f>
        <v>0.0299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HYPERLINK("http://141.218.60.56/~jnz1568/getInfo.php?workbook=12_04.xlsx&amp;sheet=U0&amp;row=6799&amp;col=6&amp;number=4.5&amp;sourceID=14","4.5")</f>
        <v>4.5</v>
      </c>
      <c r="G6799" s="4" t="str">
        <f>HYPERLINK("http://141.218.60.56/~jnz1568/getInfo.php?workbook=12_04.xlsx&amp;sheet=U0&amp;row=6799&amp;col=7&amp;number=0.0296&amp;sourceID=14","0.0296")</f>
        <v>0.0296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HYPERLINK("http://141.218.60.56/~jnz1568/getInfo.php?workbook=12_04.xlsx&amp;sheet=U0&amp;row=6800&amp;col=6&amp;number=4.6&amp;sourceID=14","4.6")</f>
        <v>4.6</v>
      </c>
      <c r="G6800" s="4" t="str">
        <f>HYPERLINK("http://141.218.60.56/~jnz1568/getInfo.php?workbook=12_04.xlsx&amp;sheet=U0&amp;row=6800&amp;col=7&amp;number=0.0292&amp;sourceID=14","0.0292")</f>
        <v>0.0292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HYPERLINK("http://141.218.60.56/~jnz1568/getInfo.php?workbook=12_04.xlsx&amp;sheet=U0&amp;row=6801&amp;col=6&amp;number=4.7&amp;sourceID=14","4.7")</f>
        <v>4.7</v>
      </c>
      <c r="G6801" s="4" t="str">
        <f>HYPERLINK("http://141.218.60.56/~jnz1568/getInfo.php?workbook=12_04.xlsx&amp;sheet=U0&amp;row=6801&amp;col=7&amp;number=0.0288&amp;sourceID=14","0.0288")</f>
        <v>0.0288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HYPERLINK("http://141.218.60.56/~jnz1568/getInfo.php?workbook=12_04.xlsx&amp;sheet=U0&amp;row=6802&amp;col=6&amp;number=4.8&amp;sourceID=14","4.8")</f>
        <v>4.8</v>
      </c>
      <c r="G6802" s="4" t="str">
        <f>HYPERLINK("http://141.218.60.56/~jnz1568/getInfo.php?workbook=12_04.xlsx&amp;sheet=U0&amp;row=6802&amp;col=7&amp;number=0.0282&amp;sourceID=14","0.0282")</f>
        <v>0.0282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HYPERLINK("http://141.218.60.56/~jnz1568/getInfo.php?workbook=12_04.xlsx&amp;sheet=U0&amp;row=6803&amp;col=6&amp;number=4.9&amp;sourceID=14","4.9")</f>
        <v>4.9</v>
      </c>
      <c r="G6803" s="4" t="str">
        <f>HYPERLINK("http://141.218.60.56/~jnz1568/getInfo.php?workbook=12_04.xlsx&amp;sheet=U0&amp;row=6803&amp;col=7&amp;number=0.0275&amp;sourceID=14","0.0275")</f>
        <v>0.0275</v>
      </c>
    </row>
    <row r="6804" spans="1:7">
      <c r="A6804" s="3">
        <v>12</v>
      </c>
      <c r="B6804" s="3">
        <v>4</v>
      </c>
      <c r="C6804" s="3">
        <v>4</v>
      </c>
      <c r="D6804" s="3">
        <v>57</v>
      </c>
      <c r="E6804" s="3">
        <v>1</v>
      </c>
      <c r="F6804" s="4" t="str">
        <f>HYPERLINK("http://141.218.60.56/~jnz1568/getInfo.php?workbook=12_04.xlsx&amp;sheet=U0&amp;row=6804&amp;col=6&amp;number=3&amp;sourceID=14","3")</f>
        <v>3</v>
      </c>
      <c r="G6804" s="4" t="str">
        <f>HYPERLINK("http://141.218.60.56/~jnz1568/getInfo.php?workbook=12_04.xlsx&amp;sheet=U0&amp;row=6804&amp;col=7&amp;number=0.00789&amp;sourceID=14","0.00789")</f>
        <v>0.00789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HYPERLINK("http://141.218.60.56/~jnz1568/getInfo.php?workbook=12_04.xlsx&amp;sheet=U0&amp;row=6805&amp;col=6&amp;number=3.1&amp;sourceID=14","3.1")</f>
        <v>3.1</v>
      </c>
      <c r="G6805" s="4" t="str">
        <f>HYPERLINK("http://141.218.60.56/~jnz1568/getInfo.php?workbook=12_04.xlsx&amp;sheet=U0&amp;row=6805&amp;col=7&amp;number=0.00789&amp;sourceID=14","0.00789")</f>
        <v>0.00789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HYPERLINK("http://141.218.60.56/~jnz1568/getInfo.php?workbook=12_04.xlsx&amp;sheet=U0&amp;row=6806&amp;col=6&amp;number=3.2&amp;sourceID=14","3.2")</f>
        <v>3.2</v>
      </c>
      <c r="G6806" s="4" t="str">
        <f>HYPERLINK("http://141.218.60.56/~jnz1568/getInfo.php?workbook=12_04.xlsx&amp;sheet=U0&amp;row=6806&amp;col=7&amp;number=0.00788&amp;sourceID=14","0.00788")</f>
        <v>0.00788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HYPERLINK("http://141.218.60.56/~jnz1568/getInfo.php?workbook=12_04.xlsx&amp;sheet=U0&amp;row=6807&amp;col=6&amp;number=3.3&amp;sourceID=14","3.3")</f>
        <v>3.3</v>
      </c>
      <c r="G6807" s="4" t="str">
        <f>HYPERLINK("http://141.218.60.56/~jnz1568/getInfo.php?workbook=12_04.xlsx&amp;sheet=U0&amp;row=6807&amp;col=7&amp;number=0.00788&amp;sourceID=14","0.00788")</f>
        <v>0.00788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HYPERLINK("http://141.218.60.56/~jnz1568/getInfo.php?workbook=12_04.xlsx&amp;sheet=U0&amp;row=6808&amp;col=6&amp;number=3.4&amp;sourceID=14","3.4")</f>
        <v>3.4</v>
      </c>
      <c r="G6808" s="4" t="str">
        <f>HYPERLINK("http://141.218.60.56/~jnz1568/getInfo.php?workbook=12_04.xlsx&amp;sheet=U0&amp;row=6808&amp;col=7&amp;number=0.00787&amp;sourceID=14","0.00787")</f>
        <v>0.00787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HYPERLINK("http://141.218.60.56/~jnz1568/getInfo.php?workbook=12_04.xlsx&amp;sheet=U0&amp;row=6809&amp;col=6&amp;number=3.5&amp;sourceID=14","3.5")</f>
        <v>3.5</v>
      </c>
      <c r="G6809" s="4" t="str">
        <f>HYPERLINK("http://141.218.60.56/~jnz1568/getInfo.php?workbook=12_04.xlsx&amp;sheet=U0&amp;row=6809&amp;col=7&amp;number=0.00787&amp;sourceID=14","0.00787")</f>
        <v>0.00787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HYPERLINK("http://141.218.60.56/~jnz1568/getInfo.php?workbook=12_04.xlsx&amp;sheet=U0&amp;row=6810&amp;col=6&amp;number=3.6&amp;sourceID=14","3.6")</f>
        <v>3.6</v>
      </c>
      <c r="G6810" s="4" t="str">
        <f>HYPERLINK("http://141.218.60.56/~jnz1568/getInfo.php?workbook=12_04.xlsx&amp;sheet=U0&amp;row=6810&amp;col=7&amp;number=0.00786&amp;sourceID=14","0.00786")</f>
        <v>0.00786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HYPERLINK("http://141.218.60.56/~jnz1568/getInfo.php?workbook=12_04.xlsx&amp;sheet=U0&amp;row=6811&amp;col=6&amp;number=3.7&amp;sourceID=14","3.7")</f>
        <v>3.7</v>
      </c>
      <c r="G6811" s="4" t="str">
        <f>HYPERLINK("http://141.218.60.56/~jnz1568/getInfo.php?workbook=12_04.xlsx&amp;sheet=U0&amp;row=6811&amp;col=7&amp;number=0.00785&amp;sourceID=14","0.00785")</f>
        <v>0.00785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HYPERLINK("http://141.218.60.56/~jnz1568/getInfo.php?workbook=12_04.xlsx&amp;sheet=U0&amp;row=6812&amp;col=6&amp;number=3.8&amp;sourceID=14","3.8")</f>
        <v>3.8</v>
      </c>
      <c r="G6812" s="4" t="str">
        <f>HYPERLINK("http://141.218.60.56/~jnz1568/getInfo.php?workbook=12_04.xlsx&amp;sheet=U0&amp;row=6812&amp;col=7&amp;number=0.00783&amp;sourceID=14","0.00783")</f>
        <v>0.00783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HYPERLINK("http://141.218.60.56/~jnz1568/getInfo.php?workbook=12_04.xlsx&amp;sheet=U0&amp;row=6813&amp;col=6&amp;number=3.9&amp;sourceID=14","3.9")</f>
        <v>3.9</v>
      </c>
      <c r="G6813" s="4" t="str">
        <f>HYPERLINK("http://141.218.60.56/~jnz1568/getInfo.php?workbook=12_04.xlsx&amp;sheet=U0&amp;row=6813&amp;col=7&amp;number=0.00781&amp;sourceID=14","0.00781")</f>
        <v>0.00781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HYPERLINK("http://141.218.60.56/~jnz1568/getInfo.php?workbook=12_04.xlsx&amp;sheet=U0&amp;row=6814&amp;col=6&amp;number=4&amp;sourceID=14","4")</f>
        <v>4</v>
      </c>
      <c r="G6814" s="4" t="str">
        <f>HYPERLINK("http://141.218.60.56/~jnz1568/getInfo.php?workbook=12_04.xlsx&amp;sheet=U0&amp;row=6814&amp;col=7&amp;number=0.00779&amp;sourceID=14","0.00779")</f>
        <v>0.00779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HYPERLINK("http://141.218.60.56/~jnz1568/getInfo.php?workbook=12_04.xlsx&amp;sheet=U0&amp;row=6815&amp;col=6&amp;number=4.1&amp;sourceID=14","4.1")</f>
        <v>4.1</v>
      </c>
      <c r="G6815" s="4" t="str">
        <f>HYPERLINK("http://141.218.60.56/~jnz1568/getInfo.php?workbook=12_04.xlsx&amp;sheet=U0&amp;row=6815&amp;col=7&amp;number=0.00776&amp;sourceID=14","0.00776")</f>
        <v>0.00776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HYPERLINK("http://141.218.60.56/~jnz1568/getInfo.php?workbook=12_04.xlsx&amp;sheet=U0&amp;row=6816&amp;col=6&amp;number=4.2&amp;sourceID=14","4.2")</f>
        <v>4.2</v>
      </c>
      <c r="G6816" s="4" t="str">
        <f>HYPERLINK("http://141.218.60.56/~jnz1568/getInfo.php?workbook=12_04.xlsx&amp;sheet=U0&amp;row=6816&amp;col=7&amp;number=0.00773&amp;sourceID=14","0.00773")</f>
        <v>0.00773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HYPERLINK("http://141.218.60.56/~jnz1568/getInfo.php?workbook=12_04.xlsx&amp;sheet=U0&amp;row=6817&amp;col=6&amp;number=4.3&amp;sourceID=14","4.3")</f>
        <v>4.3</v>
      </c>
      <c r="G6817" s="4" t="str">
        <f>HYPERLINK("http://141.218.60.56/~jnz1568/getInfo.php?workbook=12_04.xlsx&amp;sheet=U0&amp;row=6817&amp;col=7&amp;number=0.00768&amp;sourceID=14","0.00768")</f>
        <v>0.00768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HYPERLINK("http://141.218.60.56/~jnz1568/getInfo.php?workbook=12_04.xlsx&amp;sheet=U0&amp;row=6818&amp;col=6&amp;number=4.4&amp;sourceID=14","4.4")</f>
        <v>4.4</v>
      </c>
      <c r="G6818" s="4" t="str">
        <f>HYPERLINK("http://141.218.60.56/~jnz1568/getInfo.php?workbook=12_04.xlsx&amp;sheet=U0&amp;row=6818&amp;col=7&amp;number=0.00762&amp;sourceID=14","0.00762")</f>
        <v>0.00762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HYPERLINK("http://141.218.60.56/~jnz1568/getInfo.php?workbook=12_04.xlsx&amp;sheet=U0&amp;row=6819&amp;col=6&amp;number=4.5&amp;sourceID=14","4.5")</f>
        <v>4.5</v>
      </c>
      <c r="G6819" s="4" t="str">
        <f>HYPERLINK("http://141.218.60.56/~jnz1568/getInfo.php?workbook=12_04.xlsx&amp;sheet=U0&amp;row=6819&amp;col=7&amp;number=0.00755&amp;sourceID=14","0.00755")</f>
        <v>0.00755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HYPERLINK("http://141.218.60.56/~jnz1568/getInfo.php?workbook=12_04.xlsx&amp;sheet=U0&amp;row=6820&amp;col=6&amp;number=4.6&amp;sourceID=14","4.6")</f>
        <v>4.6</v>
      </c>
      <c r="G6820" s="4" t="str">
        <f>HYPERLINK("http://141.218.60.56/~jnz1568/getInfo.php?workbook=12_04.xlsx&amp;sheet=U0&amp;row=6820&amp;col=7&amp;number=0.00747&amp;sourceID=14","0.00747")</f>
        <v>0.00747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HYPERLINK("http://141.218.60.56/~jnz1568/getInfo.php?workbook=12_04.xlsx&amp;sheet=U0&amp;row=6821&amp;col=6&amp;number=4.7&amp;sourceID=14","4.7")</f>
        <v>4.7</v>
      </c>
      <c r="G6821" s="4" t="str">
        <f>HYPERLINK("http://141.218.60.56/~jnz1568/getInfo.php?workbook=12_04.xlsx&amp;sheet=U0&amp;row=6821&amp;col=7&amp;number=0.00736&amp;sourceID=14","0.00736")</f>
        <v>0.00736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HYPERLINK("http://141.218.60.56/~jnz1568/getInfo.php?workbook=12_04.xlsx&amp;sheet=U0&amp;row=6822&amp;col=6&amp;number=4.8&amp;sourceID=14","4.8")</f>
        <v>4.8</v>
      </c>
      <c r="G6822" s="4" t="str">
        <f>HYPERLINK("http://141.218.60.56/~jnz1568/getInfo.php?workbook=12_04.xlsx&amp;sheet=U0&amp;row=6822&amp;col=7&amp;number=0.00723&amp;sourceID=14","0.00723")</f>
        <v>0.00723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HYPERLINK("http://141.218.60.56/~jnz1568/getInfo.php?workbook=12_04.xlsx&amp;sheet=U0&amp;row=6823&amp;col=6&amp;number=4.9&amp;sourceID=14","4.9")</f>
        <v>4.9</v>
      </c>
      <c r="G6823" s="4" t="str">
        <f>HYPERLINK("http://141.218.60.56/~jnz1568/getInfo.php?workbook=12_04.xlsx&amp;sheet=U0&amp;row=6823&amp;col=7&amp;number=0.00707&amp;sourceID=14","0.00707")</f>
        <v>0.00707</v>
      </c>
    </row>
    <row r="6824" spans="1:7">
      <c r="A6824" s="3">
        <v>12</v>
      </c>
      <c r="B6824" s="3">
        <v>4</v>
      </c>
      <c r="C6824" s="3">
        <v>4</v>
      </c>
      <c r="D6824" s="3">
        <v>58</v>
      </c>
      <c r="E6824" s="3">
        <v>1</v>
      </c>
      <c r="F6824" s="4" t="str">
        <f>HYPERLINK("http://141.218.60.56/~jnz1568/getInfo.php?workbook=12_04.xlsx&amp;sheet=U0&amp;row=6824&amp;col=6&amp;number=3&amp;sourceID=14","3")</f>
        <v>3</v>
      </c>
      <c r="G6824" s="4" t="str">
        <f>HYPERLINK("http://141.218.60.56/~jnz1568/getInfo.php?workbook=12_04.xlsx&amp;sheet=U0&amp;row=6824&amp;col=7&amp;number=0.0145&amp;sourceID=14","0.0145")</f>
        <v>0.0145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HYPERLINK("http://141.218.60.56/~jnz1568/getInfo.php?workbook=12_04.xlsx&amp;sheet=U0&amp;row=6825&amp;col=6&amp;number=3.1&amp;sourceID=14","3.1")</f>
        <v>3.1</v>
      </c>
      <c r="G6825" s="4" t="str">
        <f>HYPERLINK("http://141.218.60.56/~jnz1568/getInfo.php?workbook=12_04.xlsx&amp;sheet=U0&amp;row=6825&amp;col=7&amp;number=0.0145&amp;sourceID=14","0.0145")</f>
        <v>0.0145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HYPERLINK("http://141.218.60.56/~jnz1568/getInfo.php?workbook=12_04.xlsx&amp;sheet=U0&amp;row=6826&amp;col=6&amp;number=3.2&amp;sourceID=14","3.2")</f>
        <v>3.2</v>
      </c>
      <c r="G6826" s="4" t="str">
        <f>HYPERLINK("http://141.218.60.56/~jnz1568/getInfo.php?workbook=12_04.xlsx&amp;sheet=U0&amp;row=6826&amp;col=7&amp;number=0.0144&amp;sourceID=14","0.0144")</f>
        <v>0.0144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HYPERLINK("http://141.218.60.56/~jnz1568/getInfo.php?workbook=12_04.xlsx&amp;sheet=U0&amp;row=6827&amp;col=6&amp;number=3.3&amp;sourceID=14","3.3")</f>
        <v>3.3</v>
      </c>
      <c r="G6827" s="4" t="str">
        <f>HYPERLINK("http://141.218.60.56/~jnz1568/getInfo.php?workbook=12_04.xlsx&amp;sheet=U0&amp;row=6827&amp;col=7&amp;number=0.0144&amp;sourceID=14","0.0144")</f>
        <v>0.0144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HYPERLINK("http://141.218.60.56/~jnz1568/getInfo.php?workbook=12_04.xlsx&amp;sheet=U0&amp;row=6828&amp;col=6&amp;number=3.4&amp;sourceID=14","3.4")</f>
        <v>3.4</v>
      </c>
      <c r="G6828" s="4" t="str">
        <f>HYPERLINK("http://141.218.60.56/~jnz1568/getInfo.php?workbook=12_04.xlsx&amp;sheet=U0&amp;row=6828&amp;col=7&amp;number=0.0144&amp;sourceID=14","0.0144")</f>
        <v>0.0144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HYPERLINK("http://141.218.60.56/~jnz1568/getInfo.php?workbook=12_04.xlsx&amp;sheet=U0&amp;row=6829&amp;col=6&amp;number=3.5&amp;sourceID=14","3.5")</f>
        <v>3.5</v>
      </c>
      <c r="G6829" s="4" t="str">
        <f>HYPERLINK("http://141.218.60.56/~jnz1568/getInfo.php?workbook=12_04.xlsx&amp;sheet=U0&amp;row=6829&amp;col=7&amp;number=0.0144&amp;sourceID=14","0.0144")</f>
        <v>0.0144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HYPERLINK("http://141.218.60.56/~jnz1568/getInfo.php?workbook=12_04.xlsx&amp;sheet=U0&amp;row=6830&amp;col=6&amp;number=3.6&amp;sourceID=14","3.6")</f>
        <v>3.6</v>
      </c>
      <c r="G6830" s="4" t="str">
        <f>HYPERLINK("http://141.218.60.56/~jnz1568/getInfo.php?workbook=12_04.xlsx&amp;sheet=U0&amp;row=6830&amp;col=7&amp;number=0.0144&amp;sourceID=14","0.0144")</f>
        <v>0.0144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HYPERLINK("http://141.218.60.56/~jnz1568/getInfo.php?workbook=12_04.xlsx&amp;sheet=U0&amp;row=6831&amp;col=6&amp;number=3.7&amp;sourceID=14","3.7")</f>
        <v>3.7</v>
      </c>
      <c r="G6831" s="4" t="str">
        <f>HYPERLINK("http://141.218.60.56/~jnz1568/getInfo.php?workbook=12_04.xlsx&amp;sheet=U0&amp;row=6831&amp;col=7&amp;number=0.0144&amp;sourceID=14","0.0144")</f>
        <v>0.0144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HYPERLINK("http://141.218.60.56/~jnz1568/getInfo.php?workbook=12_04.xlsx&amp;sheet=U0&amp;row=6832&amp;col=6&amp;number=3.8&amp;sourceID=14","3.8")</f>
        <v>3.8</v>
      </c>
      <c r="G6832" s="4" t="str">
        <f>HYPERLINK("http://141.218.60.56/~jnz1568/getInfo.php?workbook=12_04.xlsx&amp;sheet=U0&amp;row=6832&amp;col=7&amp;number=0.0143&amp;sourceID=14","0.0143")</f>
        <v>0.0143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HYPERLINK("http://141.218.60.56/~jnz1568/getInfo.php?workbook=12_04.xlsx&amp;sheet=U0&amp;row=6833&amp;col=6&amp;number=3.9&amp;sourceID=14","3.9")</f>
        <v>3.9</v>
      </c>
      <c r="G6833" s="4" t="str">
        <f>HYPERLINK("http://141.218.60.56/~jnz1568/getInfo.php?workbook=12_04.xlsx&amp;sheet=U0&amp;row=6833&amp;col=7&amp;number=0.0143&amp;sourceID=14","0.0143")</f>
        <v>0.0143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HYPERLINK("http://141.218.60.56/~jnz1568/getInfo.php?workbook=12_04.xlsx&amp;sheet=U0&amp;row=6834&amp;col=6&amp;number=4&amp;sourceID=14","4")</f>
        <v>4</v>
      </c>
      <c r="G6834" s="4" t="str">
        <f>HYPERLINK("http://141.218.60.56/~jnz1568/getInfo.php?workbook=12_04.xlsx&amp;sheet=U0&amp;row=6834&amp;col=7&amp;number=0.0143&amp;sourceID=14","0.0143")</f>
        <v>0.0143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HYPERLINK("http://141.218.60.56/~jnz1568/getInfo.php?workbook=12_04.xlsx&amp;sheet=U0&amp;row=6835&amp;col=6&amp;number=4.1&amp;sourceID=14","4.1")</f>
        <v>4.1</v>
      </c>
      <c r="G6835" s="4" t="str">
        <f>HYPERLINK("http://141.218.60.56/~jnz1568/getInfo.php?workbook=12_04.xlsx&amp;sheet=U0&amp;row=6835&amp;col=7&amp;number=0.0142&amp;sourceID=14","0.0142")</f>
        <v>0.0142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HYPERLINK("http://141.218.60.56/~jnz1568/getInfo.php?workbook=12_04.xlsx&amp;sheet=U0&amp;row=6836&amp;col=6&amp;number=4.2&amp;sourceID=14","4.2")</f>
        <v>4.2</v>
      </c>
      <c r="G6836" s="4" t="str">
        <f>HYPERLINK("http://141.218.60.56/~jnz1568/getInfo.php?workbook=12_04.xlsx&amp;sheet=U0&amp;row=6836&amp;col=7&amp;number=0.0141&amp;sourceID=14","0.0141")</f>
        <v>0.0141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HYPERLINK("http://141.218.60.56/~jnz1568/getInfo.php?workbook=12_04.xlsx&amp;sheet=U0&amp;row=6837&amp;col=6&amp;number=4.3&amp;sourceID=14","4.3")</f>
        <v>4.3</v>
      </c>
      <c r="G6837" s="4" t="str">
        <f>HYPERLINK("http://141.218.60.56/~jnz1568/getInfo.php?workbook=12_04.xlsx&amp;sheet=U0&amp;row=6837&amp;col=7&amp;number=0.014&amp;sourceID=14","0.014")</f>
        <v>0.014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HYPERLINK("http://141.218.60.56/~jnz1568/getInfo.php?workbook=12_04.xlsx&amp;sheet=U0&amp;row=6838&amp;col=6&amp;number=4.4&amp;sourceID=14","4.4")</f>
        <v>4.4</v>
      </c>
      <c r="G6838" s="4" t="str">
        <f>HYPERLINK("http://141.218.60.56/~jnz1568/getInfo.php?workbook=12_04.xlsx&amp;sheet=U0&amp;row=6838&amp;col=7&amp;number=0.0139&amp;sourceID=14","0.0139")</f>
        <v>0.0139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HYPERLINK("http://141.218.60.56/~jnz1568/getInfo.php?workbook=12_04.xlsx&amp;sheet=U0&amp;row=6839&amp;col=6&amp;number=4.5&amp;sourceID=14","4.5")</f>
        <v>4.5</v>
      </c>
      <c r="G6839" s="4" t="str">
        <f>HYPERLINK("http://141.218.60.56/~jnz1568/getInfo.php?workbook=12_04.xlsx&amp;sheet=U0&amp;row=6839&amp;col=7&amp;number=0.0138&amp;sourceID=14","0.0138")</f>
        <v>0.0138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HYPERLINK("http://141.218.60.56/~jnz1568/getInfo.php?workbook=12_04.xlsx&amp;sheet=U0&amp;row=6840&amp;col=6&amp;number=4.6&amp;sourceID=14","4.6")</f>
        <v>4.6</v>
      </c>
      <c r="G6840" s="4" t="str">
        <f>HYPERLINK("http://141.218.60.56/~jnz1568/getInfo.php?workbook=12_04.xlsx&amp;sheet=U0&amp;row=6840&amp;col=7&amp;number=0.0136&amp;sourceID=14","0.0136")</f>
        <v>0.0136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HYPERLINK("http://141.218.60.56/~jnz1568/getInfo.php?workbook=12_04.xlsx&amp;sheet=U0&amp;row=6841&amp;col=6&amp;number=4.7&amp;sourceID=14","4.7")</f>
        <v>4.7</v>
      </c>
      <c r="G6841" s="4" t="str">
        <f>HYPERLINK("http://141.218.60.56/~jnz1568/getInfo.php?workbook=12_04.xlsx&amp;sheet=U0&amp;row=6841&amp;col=7&amp;number=0.0134&amp;sourceID=14","0.0134")</f>
        <v>0.0134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HYPERLINK("http://141.218.60.56/~jnz1568/getInfo.php?workbook=12_04.xlsx&amp;sheet=U0&amp;row=6842&amp;col=6&amp;number=4.8&amp;sourceID=14","4.8")</f>
        <v>4.8</v>
      </c>
      <c r="G6842" s="4" t="str">
        <f>HYPERLINK("http://141.218.60.56/~jnz1568/getInfo.php?workbook=12_04.xlsx&amp;sheet=U0&amp;row=6842&amp;col=7&amp;number=0.0131&amp;sourceID=14","0.0131")</f>
        <v>0.0131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HYPERLINK("http://141.218.60.56/~jnz1568/getInfo.php?workbook=12_04.xlsx&amp;sheet=U0&amp;row=6843&amp;col=6&amp;number=4.9&amp;sourceID=14","4.9")</f>
        <v>4.9</v>
      </c>
      <c r="G6843" s="4" t="str">
        <f>HYPERLINK("http://141.218.60.56/~jnz1568/getInfo.php?workbook=12_04.xlsx&amp;sheet=U0&amp;row=6843&amp;col=7&amp;number=0.0128&amp;sourceID=14","0.0128")</f>
        <v>0.0128</v>
      </c>
    </row>
    <row r="6844" spans="1:7">
      <c r="A6844" s="3">
        <v>12</v>
      </c>
      <c r="B6844" s="3">
        <v>4</v>
      </c>
      <c r="C6844" s="3">
        <v>4</v>
      </c>
      <c r="D6844" s="3">
        <v>59</v>
      </c>
      <c r="E6844" s="3">
        <v>1</v>
      </c>
      <c r="F6844" s="4" t="str">
        <f>HYPERLINK("http://141.218.60.56/~jnz1568/getInfo.php?workbook=12_04.xlsx&amp;sheet=U0&amp;row=6844&amp;col=6&amp;number=3&amp;sourceID=14","3")</f>
        <v>3</v>
      </c>
      <c r="G6844" s="4" t="str">
        <f>HYPERLINK("http://141.218.60.56/~jnz1568/getInfo.php?workbook=12_04.xlsx&amp;sheet=U0&amp;row=6844&amp;col=7&amp;number=0.0267&amp;sourceID=14","0.0267")</f>
        <v>0.0267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HYPERLINK("http://141.218.60.56/~jnz1568/getInfo.php?workbook=12_04.xlsx&amp;sheet=U0&amp;row=6845&amp;col=6&amp;number=3.1&amp;sourceID=14","3.1")</f>
        <v>3.1</v>
      </c>
      <c r="G6845" s="4" t="str">
        <f>HYPERLINK("http://141.218.60.56/~jnz1568/getInfo.php?workbook=12_04.xlsx&amp;sheet=U0&amp;row=6845&amp;col=7&amp;number=0.0267&amp;sourceID=14","0.0267")</f>
        <v>0.0267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HYPERLINK("http://141.218.60.56/~jnz1568/getInfo.php?workbook=12_04.xlsx&amp;sheet=U0&amp;row=6846&amp;col=6&amp;number=3.2&amp;sourceID=14","3.2")</f>
        <v>3.2</v>
      </c>
      <c r="G6846" s="4" t="str">
        <f>HYPERLINK("http://141.218.60.56/~jnz1568/getInfo.php?workbook=12_04.xlsx&amp;sheet=U0&amp;row=6846&amp;col=7&amp;number=0.0267&amp;sourceID=14","0.0267")</f>
        <v>0.0267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HYPERLINK("http://141.218.60.56/~jnz1568/getInfo.php?workbook=12_04.xlsx&amp;sheet=U0&amp;row=6847&amp;col=6&amp;number=3.3&amp;sourceID=14","3.3")</f>
        <v>3.3</v>
      </c>
      <c r="G6847" s="4" t="str">
        <f>HYPERLINK("http://141.218.60.56/~jnz1568/getInfo.php?workbook=12_04.xlsx&amp;sheet=U0&amp;row=6847&amp;col=7&amp;number=0.0267&amp;sourceID=14","0.0267")</f>
        <v>0.0267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HYPERLINK("http://141.218.60.56/~jnz1568/getInfo.php?workbook=12_04.xlsx&amp;sheet=U0&amp;row=6848&amp;col=6&amp;number=3.4&amp;sourceID=14","3.4")</f>
        <v>3.4</v>
      </c>
      <c r="G6848" s="4" t="str">
        <f>HYPERLINK("http://141.218.60.56/~jnz1568/getInfo.php?workbook=12_04.xlsx&amp;sheet=U0&amp;row=6848&amp;col=7&amp;number=0.0266&amp;sourceID=14","0.0266")</f>
        <v>0.0266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HYPERLINK("http://141.218.60.56/~jnz1568/getInfo.php?workbook=12_04.xlsx&amp;sheet=U0&amp;row=6849&amp;col=6&amp;number=3.5&amp;sourceID=14","3.5")</f>
        <v>3.5</v>
      </c>
      <c r="G6849" s="4" t="str">
        <f>HYPERLINK("http://141.218.60.56/~jnz1568/getInfo.php?workbook=12_04.xlsx&amp;sheet=U0&amp;row=6849&amp;col=7&amp;number=0.0266&amp;sourceID=14","0.0266")</f>
        <v>0.0266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HYPERLINK("http://141.218.60.56/~jnz1568/getInfo.php?workbook=12_04.xlsx&amp;sheet=U0&amp;row=6850&amp;col=6&amp;number=3.6&amp;sourceID=14","3.6")</f>
        <v>3.6</v>
      </c>
      <c r="G6850" s="4" t="str">
        <f>HYPERLINK("http://141.218.60.56/~jnz1568/getInfo.php?workbook=12_04.xlsx&amp;sheet=U0&amp;row=6850&amp;col=7&amp;number=0.0266&amp;sourceID=14","0.0266")</f>
        <v>0.0266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HYPERLINK("http://141.218.60.56/~jnz1568/getInfo.php?workbook=12_04.xlsx&amp;sheet=U0&amp;row=6851&amp;col=6&amp;number=3.7&amp;sourceID=14","3.7")</f>
        <v>3.7</v>
      </c>
      <c r="G6851" s="4" t="str">
        <f>HYPERLINK("http://141.218.60.56/~jnz1568/getInfo.php?workbook=12_04.xlsx&amp;sheet=U0&amp;row=6851&amp;col=7&amp;number=0.0265&amp;sourceID=14","0.0265")</f>
        <v>0.0265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HYPERLINK("http://141.218.60.56/~jnz1568/getInfo.php?workbook=12_04.xlsx&amp;sheet=U0&amp;row=6852&amp;col=6&amp;number=3.8&amp;sourceID=14","3.8")</f>
        <v>3.8</v>
      </c>
      <c r="G6852" s="4" t="str">
        <f>HYPERLINK("http://141.218.60.56/~jnz1568/getInfo.php?workbook=12_04.xlsx&amp;sheet=U0&amp;row=6852&amp;col=7&amp;number=0.0265&amp;sourceID=14","0.0265")</f>
        <v>0.0265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HYPERLINK("http://141.218.60.56/~jnz1568/getInfo.php?workbook=12_04.xlsx&amp;sheet=U0&amp;row=6853&amp;col=6&amp;number=3.9&amp;sourceID=14","3.9")</f>
        <v>3.9</v>
      </c>
      <c r="G6853" s="4" t="str">
        <f>HYPERLINK("http://141.218.60.56/~jnz1568/getInfo.php?workbook=12_04.xlsx&amp;sheet=U0&amp;row=6853&amp;col=7&amp;number=0.0264&amp;sourceID=14","0.0264")</f>
        <v>0.0264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HYPERLINK("http://141.218.60.56/~jnz1568/getInfo.php?workbook=12_04.xlsx&amp;sheet=U0&amp;row=6854&amp;col=6&amp;number=4&amp;sourceID=14","4")</f>
        <v>4</v>
      </c>
      <c r="G6854" s="4" t="str">
        <f>HYPERLINK("http://141.218.60.56/~jnz1568/getInfo.php?workbook=12_04.xlsx&amp;sheet=U0&amp;row=6854&amp;col=7&amp;number=0.0264&amp;sourceID=14","0.0264")</f>
        <v>0.0264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HYPERLINK("http://141.218.60.56/~jnz1568/getInfo.php?workbook=12_04.xlsx&amp;sheet=U0&amp;row=6855&amp;col=6&amp;number=4.1&amp;sourceID=14","4.1")</f>
        <v>4.1</v>
      </c>
      <c r="G6855" s="4" t="str">
        <f>HYPERLINK("http://141.218.60.56/~jnz1568/getInfo.php?workbook=12_04.xlsx&amp;sheet=U0&amp;row=6855&amp;col=7&amp;number=0.0263&amp;sourceID=14","0.0263")</f>
        <v>0.0263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HYPERLINK("http://141.218.60.56/~jnz1568/getInfo.php?workbook=12_04.xlsx&amp;sheet=U0&amp;row=6856&amp;col=6&amp;number=4.2&amp;sourceID=14","4.2")</f>
        <v>4.2</v>
      </c>
      <c r="G6856" s="4" t="str">
        <f>HYPERLINK("http://141.218.60.56/~jnz1568/getInfo.php?workbook=12_04.xlsx&amp;sheet=U0&amp;row=6856&amp;col=7&amp;number=0.0261&amp;sourceID=14","0.0261")</f>
        <v>0.0261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HYPERLINK("http://141.218.60.56/~jnz1568/getInfo.php?workbook=12_04.xlsx&amp;sheet=U0&amp;row=6857&amp;col=6&amp;number=4.3&amp;sourceID=14","4.3")</f>
        <v>4.3</v>
      </c>
      <c r="G6857" s="4" t="str">
        <f>HYPERLINK("http://141.218.60.56/~jnz1568/getInfo.php?workbook=12_04.xlsx&amp;sheet=U0&amp;row=6857&amp;col=7&amp;number=0.026&amp;sourceID=14","0.026")</f>
        <v>0.026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HYPERLINK("http://141.218.60.56/~jnz1568/getInfo.php?workbook=12_04.xlsx&amp;sheet=U0&amp;row=6858&amp;col=6&amp;number=4.4&amp;sourceID=14","4.4")</f>
        <v>4.4</v>
      </c>
      <c r="G6858" s="4" t="str">
        <f>HYPERLINK("http://141.218.60.56/~jnz1568/getInfo.php?workbook=12_04.xlsx&amp;sheet=U0&amp;row=6858&amp;col=7&amp;number=0.0258&amp;sourceID=14","0.0258")</f>
        <v>0.0258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HYPERLINK("http://141.218.60.56/~jnz1568/getInfo.php?workbook=12_04.xlsx&amp;sheet=U0&amp;row=6859&amp;col=6&amp;number=4.5&amp;sourceID=14","4.5")</f>
        <v>4.5</v>
      </c>
      <c r="G6859" s="4" t="str">
        <f>HYPERLINK("http://141.218.60.56/~jnz1568/getInfo.php?workbook=12_04.xlsx&amp;sheet=U0&amp;row=6859&amp;col=7&amp;number=0.0256&amp;sourceID=14","0.0256")</f>
        <v>0.0256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HYPERLINK("http://141.218.60.56/~jnz1568/getInfo.php?workbook=12_04.xlsx&amp;sheet=U0&amp;row=6860&amp;col=6&amp;number=4.6&amp;sourceID=14","4.6")</f>
        <v>4.6</v>
      </c>
      <c r="G6860" s="4" t="str">
        <f>HYPERLINK("http://141.218.60.56/~jnz1568/getInfo.php?workbook=12_04.xlsx&amp;sheet=U0&amp;row=6860&amp;col=7&amp;number=0.0253&amp;sourceID=14","0.0253")</f>
        <v>0.0253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HYPERLINK("http://141.218.60.56/~jnz1568/getInfo.php?workbook=12_04.xlsx&amp;sheet=U0&amp;row=6861&amp;col=6&amp;number=4.7&amp;sourceID=14","4.7")</f>
        <v>4.7</v>
      </c>
      <c r="G6861" s="4" t="str">
        <f>HYPERLINK("http://141.218.60.56/~jnz1568/getInfo.php?workbook=12_04.xlsx&amp;sheet=U0&amp;row=6861&amp;col=7&amp;number=0.025&amp;sourceID=14","0.025")</f>
        <v>0.025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HYPERLINK("http://141.218.60.56/~jnz1568/getInfo.php?workbook=12_04.xlsx&amp;sheet=U0&amp;row=6862&amp;col=6&amp;number=4.8&amp;sourceID=14","4.8")</f>
        <v>4.8</v>
      </c>
      <c r="G6862" s="4" t="str">
        <f>HYPERLINK("http://141.218.60.56/~jnz1568/getInfo.php?workbook=12_04.xlsx&amp;sheet=U0&amp;row=6862&amp;col=7&amp;number=0.0245&amp;sourceID=14","0.0245")</f>
        <v>0.0245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HYPERLINK("http://141.218.60.56/~jnz1568/getInfo.php?workbook=12_04.xlsx&amp;sheet=U0&amp;row=6863&amp;col=6&amp;number=4.9&amp;sourceID=14","4.9")</f>
        <v>4.9</v>
      </c>
      <c r="G6863" s="4" t="str">
        <f>HYPERLINK("http://141.218.60.56/~jnz1568/getInfo.php?workbook=12_04.xlsx&amp;sheet=U0&amp;row=6863&amp;col=7&amp;number=0.024&amp;sourceID=14","0.024")</f>
        <v>0.024</v>
      </c>
    </row>
    <row r="6864" spans="1:7">
      <c r="A6864" s="3">
        <v>12</v>
      </c>
      <c r="B6864" s="3">
        <v>4</v>
      </c>
      <c r="C6864" s="3">
        <v>4</v>
      </c>
      <c r="D6864" s="3">
        <v>60</v>
      </c>
      <c r="E6864" s="3">
        <v>1</v>
      </c>
      <c r="F6864" s="4" t="str">
        <f>HYPERLINK("http://141.218.60.56/~jnz1568/getInfo.php?workbook=12_04.xlsx&amp;sheet=U0&amp;row=6864&amp;col=6&amp;number=3&amp;sourceID=14","3")</f>
        <v>3</v>
      </c>
      <c r="G6864" s="4" t="str">
        <f>HYPERLINK("http://141.218.60.56/~jnz1568/getInfo.php?workbook=12_04.xlsx&amp;sheet=U0&amp;row=6864&amp;col=7&amp;number=0.0142&amp;sourceID=14","0.0142")</f>
        <v>0.0142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HYPERLINK("http://141.218.60.56/~jnz1568/getInfo.php?workbook=12_04.xlsx&amp;sheet=U0&amp;row=6865&amp;col=6&amp;number=3.1&amp;sourceID=14","3.1")</f>
        <v>3.1</v>
      </c>
      <c r="G6865" s="4" t="str">
        <f>HYPERLINK("http://141.218.60.56/~jnz1568/getInfo.php?workbook=12_04.xlsx&amp;sheet=U0&amp;row=6865&amp;col=7&amp;number=0.0142&amp;sourceID=14","0.0142")</f>
        <v>0.0142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HYPERLINK("http://141.218.60.56/~jnz1568/getInfo.php?workbook=12_04.xlsx&amp;sheet=U0&amp;row=6866&amp;col=6&amp;number=3.2&amp;sourceID=14","3.2")</f>
        <v>3.2</v>
      </c>
      <c r="G6866" s="4" t="str">
        <f>HYPERLINK("http://141.218.60.56/~jnz1568/getInfo.php?workbook=12_04.xlsx&amp;sheet=U0&amp;row=6866&amp;col=7&amp;number=0.0141&amp;sourceID=14","0.0141")</f>
        <v>0.0141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HYPERLINK("http://141.218.60.56/~jnz1568/getInfo.php?workbook=12_04.xlsx&amp;sheet=U0&amp;row=6867&amp;col=6&amp;number=3.3&amp;sourceID=14","3.3")</f>
        <v>3.3</v>
      </c>
      <c r="G6867" s="4" t="str">
        <f>HYPERLINK("http://141.218.60.56/~jnz1568/getInfo.php?workbook=12_04.xlsx&amp;sheet=U0&amp;row=6867&amp;col=7&amp;number=0.0141&amp;sourceID=14","0.0141")</f>
        <v>0.0141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HYPERLINK("http://141.218.60.56/~jnz1568/getInfo.php?workbook=12_04.xlsx&amp;sheet=U0&amp;row=6868&amp;col=6&amp;number=3.4&amp;sourceID=14","3.4")</f>
        <v>3.4</v>
      </c>
      <c r="G6868" s="4" t="str">
        <f>HYPERLINK("http://141.218.60.56/~jnz1568/getInfo.php?workbook=12_04.xlsx&amp;sheet=U0&amp;row=6868&amp;col=7&amp;number=0.0141&amp;sourceID=14","0.0141")</f>
        <v>0.0141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HYPERLINK("http://141.218.60.56/~jnz1568/getInfo.php?workbook=12_04.xlsx&amp;sheet=U0&amp;row=6869&amp;col=6&amp;number=3.5&amp;sourceID=14","3.5")</f>
        <v>3.5</v>
      </c>
      <c r="G6869" s="4" t="str">
        <f>HYPERLINK("http://141.218.60.56/~jnz1568/getInfo.php?workbook=12_04.xlsx&amp;sheet=U0&amp;row=6869&amp;col=7&amp;number=0.0141&amp;sourceID=14","0.0141")</f>
        <v>0.0141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HYPERLINK("http://141.218.60.56/~jnz1568/getInfo.php?workbook=12_04.xlsx&amp;sheet=U0&amp;row=6870&amp;col=6&amp;number=3.6&amp;sourceID=14","3.6")</f>
        <v>3.6</v>
      </c>
      <c r="G6870" s="4" t="str">
        <f>HYPERLINK("http://141.218.60.56/~jnz1568/getInfo.php?workbook=12_04.xlsx&amp;sheet=U0&amp;row=6870&amp;col=7&amp;number=0.0141&amp;sourceID=14","0.0141")</f>
        <v>0.0141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HYPERLINK("http://141.218.60.56/~jnz1568/getInfo.php?workbook=12_04.xlsx&amp;sheet=U0&amp;row=6871&amp;col=6&amp;number=3.7&amp;sourceID=14","3.7")</f>
        <v>3.7</v>
      </c>
      <c r="G6871" s="4" t="str">
        <f>HYPERLINK("http://141.218.60.56/~jnz1568/getInfo.php?workbook=12_04.xlsx&amp;sheet=U0&amp;row=6871&amp;col=7&amp;number=0.014&amp;sourceID=14","0.014")</f>
        <v>0.014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HYPERLINK("http://141.218.60.56/~jnz1568/getInfo.php?workbook=12_04.xlsx&amp;sheet=U0&amp;row=6872&amp;col=6&amp;number=3.8&amp;sourceID=14","3.8")</f>
        <v>3.8</v>
      </c>
      <c r="G6872" s="4" t="str">
        <f>HYPERLINK("http://141.218.60.56/~jnz1568/getInfo.php?workbook=12_04.xlsx&amp;sheet=U0&amp;row=6872&amp;col=7&amp;number=0.014&amp;sourceID=14","0.014")</f>
        <v>0.014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HYPERLINK("http://141.218.60.56/~jnz1568/getInfo.php?workbook=12_04.xlsx&amp;sheet=U0&amp;row=6873&amp;col=6&amp;number=3.9&amp;sourceID=14","3.9")</f>
        <v>3.9</v>
      </c>
      <c r="G6873" s="4" t="str">
        <f>HYPERLINK("http://141.218.60.56/~jnz1568/getInfo.php?workbook=12_04.xlsx&amp;sheet=U0&amp;row=6873&amp;col=7&amp;number=0.0139&amp;sourceID=14","0.0139")</f>
        <v>0.0139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HYPERLINK("http://141.218.60.56/~jnz1568/getInfo.php?workbook=12_04.xlsx&amp;sheet=U0&amp;row=6874&amp;col=6&amp;number=4&amp;sourceID=14","4")</f>
        <v>4</v>
      </c>
      <c r="G6874" s="4" t="str">
        <f>HYPERLINK("http://141.218.60.56/~jnz1568/getInfo.php?workbook=12_04.xlsx&amp;sheet=U0&amp;row=6874&amp;col=7&amp;number=0.0138&amp;sourceID=14","0.0138")</f>
        <v>0.0138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HYPERLINK("http://141.218.60.56/~jnz1568/getInfo.php?workbook=12_04.xlsx&amp;sheet=U0&amp;row=6875&amp;col=6&amp;number=4.1&amp;sourceID=14","4.1")</f>
        <v>4.1</v>
      </c>
      <c r="G6875" s="4" t="str">
        <f>HYPERLINK("http://141.218.60.56/~jnz1568/getInfo.php?workbook=12_04.xlsx&amp;sheet=U0&amp;row=6875&amp;col=7&amp;number=0.0137&amp;sourceID=14","0.0137")</f>
        <v>0.0137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HYPERLINK("http://141.218.60.56/~jnz1568/getInfo.php?workbook=12_04.xlsx&amp;sheet=U0&amp;row=6876&amp;col=6&amp;number=4.2&amp;sourceID=14","4.2")</f>
        <v>4.2</v>
      </c>
      <c r="G6876" s="4" t="str">
        <f>HYPERLINK("http://141.218.60.56/~jnz1568/getInfo.php?workbook=12_04.xlsx&amp;sheet=U0&amp;row=6876&amp;col=7&amp;number=0.0136&amp;sourceID=14","0.0136")</f>
        <v>0.0136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HYPERLINK("http://141.218.60.56/~jnz1568/getInfo.php?workbook=12_04.xlsx&amp;sheet=U0&amp;row=6877&amp;col=6&amp;number=4.3&amp;sourceID=14","4.3")</f>
        <v>4.3</v>
      </c>
      <c r="G6877" s="4" t="str">
        <f>HYPERLINK("http://141.218.60.56/~jnz1568/getInfo.php?workbook=12_04.xlsx&amp;sheet=U0&amp;row=6877&amp;col=7&amp;number=0.0135&amp;sourceID=14","0.0135")</f>
        <v>0.0135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HYPERLINK("http://141.218.60.56/~jnz1568/getInfo.php?workbook=12_04.xlsx&amp;sheet=U0&amp;row=6878&amp;col=6&amp;number=4.4&amp;sourceID=14","4.4")</f>
        <v>4.4</v>
      </c>
      <c r="G6878" s="4" t="str">
        <f>HYPERLINK("http://141.218.60.56/~jnz1568/getInfo.php?workbook=12_04.xlsx&amp;sheet=U0&amp;row=6878&amp;col=7&amp;number=0.0133&amp;sourceID=14","0.0133")</f>
        <v>0.0133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HYPERLINK("http://141.218.60.56/~jnz1568/getInfo.php?workbook=12_04.xlsx&amp;sheet=U0&amp;row=6879&amp;col=6&amp;number=4.5&amp;sourceID=14","4.5")</f>
        <v>4.5</v>
      </c>
      <c r="G6879" s="4" t="str">
        <f>HYPERLINK("http://141.218.60.56/~jnz1568/getInfo.php?workbook=12_04.xlsx&amp;sheet=U0&amp;row=6879&amp;col=7&amp;number=0.0131&amp;sourceID=14","0.0131")</f>
        <v>0.0131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HYPERLINK("http://141.218.60.56/~jnz1568/getInfo.php?workbook=12_04.xlsx&amp;sheet=U0&amp;row=6880&amp;col=6&amp;number=4.6&amp;sourceID=14","4.6")</f>
        <v>4.6</v>
      </c>
      <c r="G6880" s="4" t="str">
        <f>HYPERLINK("http://141.218.60.56/~jnz1568/getInfo.php?workbook=12_04.xlsx&amp;sheet=U0&amp;row=6880&amp;col=7&amp;number=0.0128&amp;sourceID=14","0.0128")</f>
        <v>0.0128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HYPERLINK("http://141.218.60.56/~jnz1568/getInfo.php?workbook=12_04.xlsx&amp;sheet=U0&amp;row=6881&amp;col=6&amp;number=4.7&amp;sourceID=14","4.7")</f>
        <v>4.7</v>
      </c>
      <c r="G6881" s="4" t="str">
        <f>HYPERLINK("http://141.218.60.56/~jnz1568/getInfo.php?workbook=12_04.xlsx&amp;sheet=U0&amp;row=6881&amp;col=7&amp;number=0.0125&amp;sourceID=14","0.0125")</f>
        <v>0.0125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HYPERLINK("http://141.218.60.56/~jnz1568/getInfo.php?workbook=12_04.xlsx&amp;sheet=U0&amp;row=6882&amp;col=6&amp;number=4.8&amp;sourceID=14","4.8")</f>
        <v>4.8</v>
      </c>
      <c r="G6882" s="4" t="str">
        <f>HYPERLINK("http://141.218.60.56/~jnz1568/getInfo.php?workbook=12_04.xlsx&amp;sheet=U0&amp;row=6882&amp;col=7&amp;number=0.0121&amp;sourceID=14","0.0121")</f>
        <v>0.0121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HYPERLINK("http://141.218.60.56/~jnz1568/getInfo.php?workbook=12_04.xlsx&amp;sheet=U0&amp;row=6883&amp;col=6&amp;number=4.9&amp;sourceID=14","4.9")</f>
        <v>4.9</v>
      </c>
      <c r="G6883" s="4" t="str">
        <f>HYPERLINK("http://141.218.60.56/~jnz1568/getInfo.php?workbook=12_04.xlsx&amp;sheet=U0&amp;row=6883&amp;col=7&amp;number=0.0116&amp;sourceID=14","0.0116")</f>
        <v>0.0116</v>
      </c>
    </row>
    <row r="6884" spans="1:7">
      <c r="A6884" s="3">
        <v>12</v>
      </c>
      <c r="B6884" s="3">
        <v>4</v>
      </c>
      <c r="C6884" s="3">
        <v>4</v>
      </c>
      <c r="D6884" s="3">
        <v>61</v>
      </c>
      <c r="E6884" s="3">
        <v>1</v>
      </c>
      <c r="F6884" s="4" t="str">
        <f>HYPERLINK("http://141.218.60.56/~jnz1568/getInfo.php?workbook=12_04.xlsx&amp;sheet=U0&amp;row=6884&amp;col=6&amp;number=3&amp;sourceID=14","3")</f>
        <v>3</v>
      </c>
      <c r="G6884" s="4" t="str">
        <f>HYPERLINK("http://141.218.60.56/~jnz1568/getInfo.php?workbook=12_04.xlsx&amp;sheet=U0&amp;row=6884&amp;col=7&amp;number=0.00358&amp;sourceID=14","0.00358")</f>
        <v>0.00358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HYPERLINK("http://141.218.60.56/~jnz1568/getInfo.php?workbook=12_04.xlsx&amp;sheet=U0&amp;row=6885&amp;col=6&amp;number=3.1&amp;sourceID=14","3.1")</f>
        <v>3.1</v>
      </c>
      <c r="G6885" s="4" t="str">
        <f>HYPERLINK("http://141.218.60.56/~jnz1568/getInfo.php?workbook=12_04.xlsx&amp;sheet=U0&amp;row=6885&amp;col=7&amp;number=0.00357&amp;sourceID=14","0.00357")</f>
        <v>0.00357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HYPERLINK("http://141.218.60.56/~jnz1568/getInfo.php?workbook=12_04.xlsx&amp;sheet=U0&amp;row=6886&amp;col=6&amp;number=3.2&amp;sourceID=14","3.2")</f>
        <v>3.2</v>
      </c>
      <c r="G6886" s="4" t="str">
        <f>HYPERLINK("http://141.218.60.56/~jnz1568/getInfo.php?workbook=12_04.xlsx&amp;sheet=U0&amp;row=6886&amp;col=7&amp;number=0.00356&amp;sourceID=14","0.00356")</f>
        <v>0.00356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HYPERLINK("http://141.218.60.56/~jnz1568/getInfo.php?workbook=12_04.xlsx&amp;sheet=U0&amp;row=6887&amp;col=6&amp;number=3.3&amp;sourceID=14","3.3")</f>
        <v>3.3</v>
      </c>
      <c r="G6887" s="4" t="str">
        <f>HYPERLINK("http://141.218.60.56/~jnz1568/getInfo.php?workbook=12_04.xlsx&amp;sheet=U0&amp;row=6887&amp;col=7&amp;number=0.00354&amp;sourceID=14","0.00354")</f>
        <v>0.00354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HYPERLINK("http://141.218.60.56/~jnz1568/getInfo.php?workbook=12_04.xlsx&amp;sheet=U0&amp;row=6888&amp;col=6&amp;number=3.4&amp;sourceID=14","3.4")</f>
        <v>3.4</v>
      </c>
      <c r="G6888" s="4" t="str">
        <f>HYPERLINK("http://141.218.60.56/~jnz1568/getInfo.php?workbook=12_04.xlsx&amp;sheet=U0&amp;row=6888&amp;col=7&amp;number=0.00352&amp;sourceID=14","0.00352")</f>
        <v>0.00352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HYPERLINK("http://141.218.60.56/~jnz1568/getInfo.php?workbook=12_04.xlsx&amp;sheet=U0&amp;row=6889&amp;col=6&amp;number=3.5&amp;sourceID=14","3.5")</f>
        <v>3.5</v>
      </c>
      <c r="G6889" s="4" t="str">
        <f>HYPERLINK("http://141.218.60.56/~jnz1568/getInfo.php?workbook=12_04.xlsx&amp;sheet=U0&amp;row=6889&amp;col=7&amp;number=0.00349&amp;sourceID=14","0.00349")</f>
        <v>0.00349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HYPERLINK("http://141.218.60.56/~jnz1568/getInfo.php?workbook=12_04.xlsx&amp;sheet=U0&amp;row=6890&amp;col=6&amp;number=3.6&amp;sourceID=14","3.6")</f>
        <v>3.6</v>
      </c>
      <c r="G6890" s="4" t="str">
        <f>HYPERLINK("http://141.218.60.56/~jnz1568/getInfo.php?workbook=12_04.xlsx&amp;sheet=U0&amp;row=6890&amp;col=7&amp;number=0.00346&amp;sourceID=14","0.00346")</f>
        <v>0.00346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HYPERLINK("http://141.218.60.56/~jnz1568/getInfo.php?workbook=12_04.xlsx&amp;sheet=U0&amp;row=6891&amp;col=6&amp;number=3.7&amp;sourceID=14","3.7")</f>
        <v>3.7</v>
      </c>
      <c r="G6891" s="4" t="str">
        <f>HYPERLINK("http://141.218.60.56/~jnz1568/getInfo.php?workbook=12_04.xlsx&amp;sheet=U0&amp;row=6891&amp;col=7&amp;number=0.00342&amp;sourceID=14","0.00342")</f>
        <v>0.00342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HYPERLINK("http://141.218.60.56/~jnz1568/getInfo.php?workbook=12_04.xlsx&amp;sheet=U0&amp;row=6892&amp;col=6&amp;number=3.8&amp;sourceID=14","3.8")</f>
        <v>3.8</v>
      </c>
      <c r="G6892" s="4" t="str">
        <f>HYPERLINK("http://141.218.60.56/~jnz1568/getInfo.php?workbook=12_04.xlsx&amp;sheet=U0&amp;row=6892&amp;col=7&amp;number=0.00337&amp;sourceID=14","0.00337")</f>
        <v>0.00337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HYPERLINK("http://141.218.60.56/~jnz1568/getInfo.php?workbook=12_04.xlsx&amp;sheet=U0&amp;row=6893&amp;col=6&amp;number=3.9&amp;sourceID=14","3.9")</f>
        <v>3.9</v>
      </c>
      <c r="G6893" s="4" t="str">
        <f>HYPERLINK("http://141.218.60.56/~jnz1568/getInfo.php?workbook=12_04.xlsx&amp;sheet=U0&amp;row=6893&amp;col=7&amp;number=0.0033&amp;sourceID=14","0.0033")</f>
        <v>0.0033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HYPERLINK("http://141.218.60.56/~jnz1568/getInfo.php?workbook=12_04.xlsx&amp;sheet=U0&amp;row=6894&amp;col=6&amp;number=4&amp;sourceID=14","4")</f>
        <v>4</v>
      </c>
      <c r="G6894" s="4" t="str">
        <f>HYPERLINK("http://141.218.60.56/~jnz1568/getInfo.php?workbook=12_04.xlsx&amp;sheet=U0&amp;row=6894&amp;col=7&amp;number=0.00322&amp;sourceID=14","0.00322")</f>
        <v>0.00322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HYPERLINK("http://141.218.60.56/~jnz1568/getInfo.php?workbook=12_04.xlsx&amp;sheet=U0&amp;row=6895&amp;col=6&amp;number=4.1&amp;sourceID=14","4.1")</f>
        <v>4.1</v>
      </c>
      <c r="G6895" s="4" t="str">
        <f>HYPERLINK("http://141.218.60.56/~jnz1568/getInfo.php?workbook=12_04.xlsx&amp;sheet=U0&amp;row=6895&amp;col=7&amp;number=0.00312&amp;sourceID=14","0.00312")</f>
        <v>0.00312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HYPERLINK("http://141.218.60.56/~jnz1568/getInfo.php?workbook=12_04.xlsx&amp;sheet=U0&amp;row=6896&amp;col=6&amp;number=4.2&amp;sourceID=14","4.2")</f>
        <v>4.2</v>
      </c>
      <c r="G6896" s="4" t="str">
        <f>HYPERLINK("http://141.218.60.56/~jnz1568/getInfo.php?workbook=12_04.xlsx&amp;sheet=U0&amp;row=6896&amp;col=7&amp;number=0.00299&amp;sourceID=14","0.00299")</f>
        <v>0.00299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HYPERLINK("http://141.218.60.56/~jnz1568/getInfo.php?workbook=12_04.xlsx&amp;sheet=U0&amp;row=6897&amp;col=6&amp;number=4.3&amp;sourceID=14","4.3")</f>
        <v>4.3</v>
      </c>
      <c r="G6897" s="4" t="str">
        <f>HYPERLINK("http://141.218.60.56/~jnz1568/getInfo.php?workbook=12_04.xlsx&amp;sheet=U0&amp;row=6897&amp;col=7&amp;number=0.00284&amp;sourceID=14","0.00284")</f>
        <v>0.00284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HYPERLINK("http://141.218.60.56/~jnz1568/getInfo.php?workbook=12_04.xlsx&amp;sheet=U0&amp;row=6898&amp;col=6&amp;number=4.4&amp;sourceID=14","4.4")</f>
        <v>4.4</v>
      </c>
      <c r="G6898" s="4" t="str">
        <f>HYPERLINK("http://141.218.60.56/~jnz1568/getInfo.php?workbook=12_04.xlsx&amp;sheet=U0&amp;row=6898&amp;col=7&amp;number=0.00265&amp;sourceID=14","0.00265")</f>
        <v>0.00265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HYPERLINK("http://141.218.60.56/~jnz1568/getInfo.php?workbook=12_04.xlsx&amp;sheet=U0&amp;row=6899&amp;col=6&amp;number=4.5&amp;sourceID=14","4.5")</f>
        <v>4.5</v>
      </c>
      <c r="G6899" s="4" t="str">
        <f>HYPERLINK("http://141.218.60.56/~jnz1568/getInfo.php?workbook=12_04.xlsx&amp;sheet=U0&amp;row=6899&amp;col=7&amp;number=0.00242&amp;sourceID=14","0.00242")</f>
        <v>0.00242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HYPERLINK("http://141.218.60.56/~jnz1568/getInfo.php?workbook=12_04.xlsx&amp;sheet=U0&amp;row=6900&amp;col=6&amp;number=4.6&amp;sourceID=14","4.6")</f>
        <v>4.6</v>
      </c>
      <c r="G6900" s="4" t="str">
        <f>HYPERLINK("http://141.218.60.56/~jnz1568/getInfo.php?workbook=12_04.xlsx&amp;sheet=U0&amp;row=6900&amp;col=7&amp;number=0.00215&amp;sourceID=14","0.00215")</f>
        <v>0.00215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HYPERLINK("http://141.218.60.56/~jnz1568/getInfo.php?workbook=12_04.xlsx&amp;sheet=U0&amp;row=6901&amp;col=6&amp;number=4.7&amp;sourceID=14","4.7")</f>
        <v>4.7</v>
      </c>
      <c r="G6901" s="4" t="str">
        <f>HYPERLINK("http://141.218.60.56/~jnz1568/getInfo.php?workbook=12_04.xlsx&amp;sheet=U0&amp;row=6901&amp;col=7&amp;number=0.00183&amp;sourceID=14","0.00183")</f>
        <v>0.00183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HYPERLINK("http://141.218.60.56/~jnz1568/getInfo.php?workbook=12_04.xlsx&amp;sheet=U0&amp;row=6902&amp;col=6&amp;number=4.8&amp;sourceID=14","4.8")</f>
        <v>4.8</v>
      </c>
      <c r="G6902" s="4" t="str">
        <f>HYPERLINK("http://141.218.60.56/~jnz1568/getInfo.php?workbook=12_04.xlsx&amp;sheet=U0&amp;row=6902&amp;col=7&amp;number=0.00149&amp;sourceID=14","0.00149")</f>
        <v>0.00149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HYPERLINK("http://141.218.60.56/~jnz1568/getInfo.php?workbook=12_04.xlsx&amp;sheet=U0&amp;row=6903&amp;col=6&amp;number=4.9&amp;sourceID=14","4.9")</f>
        <v>4.9</v>
      </c>
      <c r="G6903" s="4" t="str">
        <f>HYPERLINK("http://141.218.60.56/~jnz1568/getInfo.php?workbook=12_04.xlsx&amp;sheet=U0&amp;row=6903&amp;col=7&amp;number=0.00114&amp;sourceID=14","0.00114")</f>
        <v>0.00114</v>
      </c>
    </row>
    <row r="6904" spans="1:7">
      <c r="A6904" s="3">
        <v>12</v>
      </c>
      <c r="B6904" s="3">
        <v>4</v>
      </c>
      <c r="C6904" s="3">
        <v>4</v>
      </c>
      <c r="D6904" s="3">
        <v>62</v>
      </c>
      <c r="E6904" s="3">
        <v>1</v>
      </c>
      <c r="F6904" s="4" t="str">
        <f>HYPERLINK("http://141.218.60.56/~jnz1568/getInfo.php?workbook=12_04.xlsx&amp;sheet=U0&amp;row=6904&amp;col=6&amp;number=3&amp;sourceID=14","3")</f>
        <v>3</v>
      </c>
      <c r="G6904" s="4" t="str">
        <f>HYPERLINK("http://141.218.60.56/~jnz1568/getInfo.php?workbook=12_04.xlsx&amp;sheet=U0&amp;row=6904&amp;col=7&amp;number=0.0118&amp;sourceID=14","0.0118")</f>
        <v>0.0118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HYPERLINK("http://141.218.60.56/~jnz1568/getInfo.php?workbook=12_04.xlsx&amp;sheet=U0&amp;row=6905&amp;col=6&amp;number=3.1&amp;sourceID=14","3.1")</f>
        <v>3.1</v>
      </c>
      <c r="G6905" s="4" t="str">
        <f>HYPERLINK("http://141.218.60.56/~jnz1568/getInfo.php?workbook=12_04.xlsx&amp;sheet=U0&amp;row=6905&amp;col=7&amp;number=0.0117&amp;sourceID=14","0.0117")</f>
        <v>0.0117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HYPERLINK("http://141.218.60.56/~jnz1568/getInfo.php?workbook=12_04.xlsx&amp;sheet=U0&amp;row=6906&amp;col=6&amp;number=3.2&amp;sourceID=14","3.2")</f>
        <v>3.2</v>
      </c>
      <c r="G6906" s="4" t="str">
        <f>HYPERLINK("http://141.218.60.56/~jnz1568/getInfo.php?workbook=12_04.xlsx&amp;sheet=U0&amp;row=6906&amp;col=7&amp;number=0.0117&amp;sourceID=14","0.0117")</f>
        <v>0.0117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HYPERLINK("http://141.218.60.56/~jnz1568/getInfo.php?workbook=12_04.xlsx&amp;sheet=U0&amp;row=6907&amp;col=6&amp;number=3.3&amp;sourceID=14","3.3")</f>
        <v>3.3</v>
      </c>
      <c r="G6907" s="4" t="str">
        <f>HYPERLINK("http://141.218.60.56/~jnz1568/getInfo.php?workbook=12_04.xlsx&amp;sheet=U0&amp;row=6907&amp;col=7&amp;number=0.0117&amp;sourceID=14","0.0117")</f>
        <v>0.0117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HYPERLINK("http://141.218.60.56/~jnz1568/getInfo.php?workbook=12_04.xlsx&amp;sheet=U0&amp;row=6908&amp;col=6&amp;number=3.4&amp;sourceID=14","3.4")</f>
        <v>3.4</v>
      </c>
      <c r="G6908" s="4" t="str">
        <f>HYPERLINK("http://141.218.60.56/~jnz1568/getInfo.php?workbook=12_04.xlsx&amp;sheet=U0&amp;row=6908&amp;col=7&amp;number=0.0116&amp;sourceID=14","0.0116")</f>
        <v>0.0116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HYPERLINK("http://141.218.60.56/~jnz1568/getInfo.php?workbook=12_04.xlsx&amp;sheet=U0&amp;row=6909&amp;col=6&amp;number=3.5&amp;sourceID=14","3.5")</f>
        <v>3.5</v>
      </c>
      <c r="G6909" s="4" t="str">
        <f>HYPERLINK("http://141.218.60.56/~jnz1568/getInfo.php?workbook=12_04.xlsx&amp;sheet=U0&amp;row=6909&amp;col=7&amp;number=0.0115&amp;sourceID=14","0.0115")</f>
        <v>0.0115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HYPERLINK("http://141.218.60.56/~jnz1568/getInfo.php?workbook=12_04.xlsx&amp;sheet=U0&amp;row=6910&amp;col=6&amp;number=3.6&amp;sourceID=14","3.6")</f>
        <v>3.6</v>
      </c>
      <c r="G6910" s="4" t="str">
        <f>HYPERLINK("http://141.218.60.56/~jnz1568/getInfo.php?workbook=12_04.xlsx&amp;sheet=U0&amp;row=6910&amp;col=7&amp;number=0.0114&amp;sourceID=14","0.0114")</f>
        <v>0.0114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HYPERLINK("http://141.218.60.56/~jnz1568/getInfo.php?workbook=12_04.xlsx&amp;sheet=U0&amp;row=6911&amp;col=6&amp;number=3.7&amp;sourceID=14","3.7")</f>
        <v>3.7</v>
      </c>
      <c r="G6911" s="4" t="str">
        <f>HYPERLINK("http://141.218.60.56/~jnz1568/getInfo.php?workbook=12_04.xlsx&amp;sheet=U0&amp;row=6911&amp;col=7&amp;number=0.0113&amp;sourceID=14","0.0113")</f>
        <v>0.0113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HYPERLINK("http://141.218.60.56/~jnz1568/getInfo.php?workbook=12_04.xlsx&amp;sheet=U0&amp;row=6912&amp;col=6&amp;number=3.8&amp;sourceID=14","3.8")</f>
        <v>3.8</v>
      </c>
      <c r="G6912" s="4" t="str">
        <f>HYPERLINK("http://141.218.60.56/~jnz1568/getInfo.php?workbook=12_04.xlsx&amp;sheet=U0&amp;row=6912&amp;col=7&amp;number=0.0111&amp;sourceID=14","0.0111")</f>
        <v>0.0111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HYPERLINK("http://141.218.60.56/~jnz1568/getInfo.php?workbook=12_04.xlsx&amp;sheet=U0&amp;row=6913&amp;col=6&amp;number=3.9&amp;sourceID=14","3.9")</f>
        <v>3.9</v>
      </c>
      <c r="G6913" s="4" t="str">
        <f>HYPERLINK("http://141.218.60.56/~jnz1568/getInfo.php?workbook=12_04.xlsx&amp;sheet=U0&amp;row=6913&amp;col=7&amp;number=0.0109&amp;sourceID=14","0.0109")</f>
        <v>0.0109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HYPERLINK("http://141.218.60.56/~jnz1568/getInfo.php?workbook=12_04.xlsx&amp;sheet=U0&amp;row=6914&amp;col=6&amp;number=4&amp;sourceID=14","4")</f>
        <v>4</v>
      </c>
      <c r="G6914" s="4" t="str">
        <f>HYPERLINK("http://141.218.60.56/~jnz1568/getInfo.php?workbook=12_04.xlsx&amp;sheet=U0&amp;row=6914&amp;col=7&amp;number=0.0106&amp;sourceID=14","0.0106")</f>
        <v>0.0106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HYPERLINK("http://141.218.60.56/~jnz1568/getInfo.php?workbook=12_04.xlsx&amp;sheet=U0&amp;row=6915&amp;col=6&amp;number=4.1&amp;sourceID=14","4.1")</f>
        <v>4.1</v>
      </c>
      <c r="G6915" s="4" t="str">
        <f>HYPERLINK("http://141.218.60.56/~jnz1568/getInfo.php?workbook=12_04.xlsx&amp;sheet=U0&amp;row=6915&amp;col=7&amp;number=0.0103&amp;sourceID=14","0.0103")</f>
        <v>0.0103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HYPERLINK("http://141.218.60.56/~jnz1568/getInfo.php?workbook=12_04.xlsx&amp;sheet=U0&amp;row=6916&amp;col=6&amp;number=4.2&amp;sourceID=14","4.2")</f>
        <v>4.2</v>
      </c>
      <c r="G6916" s="4" t="str">
        <f>HYPERLINK("http://141.218.60.56/~jnz1568/getInfo.php?workbook=12_04.xlsx&amp;sheet=U0&amp;row=6916&amp;col=7&amp;number=0.00992&amp;sourceID=14","0.00992")</f>
        <v>0.00992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HYPERLINK("http://141.218.60.56/~jnz1568/getInfo.php?workbook=12_04.xlsx&amp;sheet=U0&amp;row=6917&amp;col=6&amp;number=4.3&amp;sourceID=14","4.3")</f>
        <v>4.3</v>
      </c>
      <c r="G6917" s="4" t="str">
        <f>HYPERLINK("http://141.218.60.56/~jnz1568/getInfo.php?workbook=12_04.xlsx&amp;sheet=U0&amp;row=6917&amp;col=7&amp;number=0.00944&amp;sourceID=14","0.00944")</f>
        <v>0.00944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HYPERLINK("http://141.218.60.56/~jnz1568/getInfo.php?workbook=12_04.xlsx&amp;sheet=U0&amp;row=6918&amp;col=6&amp;number=4.4&amp;sourceID=14","4.4")</f>
        <v>4.4</v>
      </c>
      <c r="G6918" s="4" t="str">
        <f>HYPERLINK("http://141.218.60.56/~jnz1568/getInfo.php?workbook=12_04.xlsx&amp;sheet=U0&amp;row=6918&amp;col=7&amp;number=0.00884&amp;sourceID=14","0.00884")</f>
        <v>0.00884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HYPERLINK("http://141.218.60.56/~jnz1568/getInfo.php?workbook=12_04.xlsx&amp;sheet=U0&amp;row=6919&amp;col=6&amp;number=4.5&amp;sourceID=14","4.5")</f>
        <v>4.5</v>
      </c>
      <c r="G6919" s="4" t="str">
        <f>HYPERLINK("http://141.218.60.56/~jnz1568/getInfo.php?workbook=12_04.xlsx&amp;sheet=U0&amp;row=6919&amp;col=7&amp;number=0.00812&amp;sourceID=14","0.00812")</f>
        <v>0.00812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HYPERLINK("http://141.218.60.56/~jnz1568/getInfo.php?workbook=12_04.xlsx&amp;sheet=U0&amp;row=6920&amp;col=6&amp;number=4.6&amp;sourceID=14","4.6")</f>
        <v>4.6</v>
      </c>
      <c r="G6920" s="4" t="str">
        <f>HYPERLINK("http://141.218.60.56/~jnz1568/getInfo.php?workbook=12_04.xlsx&amp;sheet=U0&amp;row=6920&amp;col=7&amp;number=0.00726&amp;sourceID=14","0.00726")</f>
        <v>0.00726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HYPERLINK("http://141.218.60.56/~jnz1568/getInfo.php?workbook=12_04.xlsx&amp;sheet=U0&amp;row=6921&amp;col=6&amp;number=4.7&amp;sourceID=14","4.7")</f>
        <v>4.7</v>
      </c>
      <c r="G6921" s="4" t="str">
        <f>HYPERLINK("http://141.218.60.56/~jnz1568/getInfo.php?workbook=12_04.xlsx&amp;sheet=U0&amp;row=6921&amp;col=7&amp;number=0.00628&amp;sourceID=14","0.00628")</f>
        <v>0.00628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HYPERLINK("http://141.218.60.56/~jnz1568/getInfo.php?workbook=12_04.xlsx&amp;sheet=U0&amp;row=6922&amp;col=6&amp;number=4.8&amp;sourceID=14","4.8")</f>
        <v>4.8</v>
      </c>
      <c r="G6922" s="4" t="str">
        <f>HYPERLINK("http://141.218.60.56/~jnz1568/getInfo.php?workbook=12_04.xlsx&amp;sheet=U0&amp;row=6922&amp;col=7&amp;number=0.0052&amp;sourceID=14","0.0052")</f>
        <v>0.0052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HYPERLINK("http://141.218.60.56/~jnz1568/getInfo.php?workbook=12_04.xlsx&amp;sheet=U0&amp;row=6923&amp;col=6&amp;number=4.9&amp;sourceID=14","4.9")</f>
        <v>4.9</v>
      </c>
      <c r="G6923" s="4" t="str">
        <f>HYPERLINK("http://141.218.60.56/~jnz1568/getInfo.php?workbook=12_04.xlsx&amp;sheet=U0&amp;row=6923&amp;col=7&amp;number=0.0041&amp;sourceID=14","0.0041")</f>
        <v>0.0041</v>
      </c>
    </row>
    <row r="6924" spans="1:7">
      <c r="A6924" s="3">
        <v>12</v>
      </c>
      <c r="B6924" s="3">
        <v>4</v>
      </c>
      <c r="C6924" s="3">
        <v>4</v>
      </c>
      <c r="D6924" s="3">
        <v>63</v>
      </c>
      <c r="E6924" s="3">
        <v>1</v>
      </c>
      <c r="F6924" s="4" t="str">
        <f>HYPERLINK("http://141.218.60.56/~jnz1568/getInfo.php?workbook=12_04.xlsx&amp;sheet=U0&amp;row=6924&amp;col=6&amp;number=3&amp;sourceID=14","3")</f>
        <v>3</v>
      </c>
      <c r="G6924" s="4" t="str">
        <f>HYPERLINK("http://141.218.60.56/~jnz1568/getInfo.php?workbook=12_04.xlsx&amp;sheet=U0&amp;row=6924&amp;col=7&amp;number=0.0595&amp;sourceID=14","0.0595")</f>
        <v>0.0595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HYPERLINK("http://141.218.60.56/~jnz1568/getInfo.php?workbook=12_04.xlsx&amp;sheet=U0&amp;row=6925&amp;col=6&amp;number=3.1&amp;sourceID=14","3.1")</f>
        <v>3.1</v>
      </c>
      <c r="G6925" s="4" t="str">
        <f>HYPERLINK("http://141.218.60.56/~jnz1568/getInfo.php?workbook=12_04.xlsx&amp;sheet=U0&amp;row=6925&amp;col=7&amp;number=0.0594&amp;sourceID=14","0.0594")</f>
        <v>0.0594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HYPERLINK("http://141.218.60.56/~jnz1568/getInfo.php?workbook=12_04.xlsx&amp;sheet=U0&amp;row=6926&amp;col=6&amp;number=3.2&amp;sourceID=14","3.2")</f>
        <v>3.2</v>
      </c>
      <c r="G6926" s="4" t="str">
        <f>HYPERLINK("http://141.218.60.56/~jnz1568/getInfo.php?workbook=12_04.xlsx&amp;sheet=U0&amp;row=6926&amp;col=7&amp;number=0.0593&amp;sourceID=14","0.0593")</f>
        <v>0.0593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HYPERLINK("http://141.218.60.56/~jnz1568/getInfo.php?workbook=12_04.xlsx&amp;sheet=U0&amp;row=6927&amp;col=6&amp;number=3.3&amp;sourceID=14","3.3")</f>
        <v>3.3</v>
      </c>
      <c r="G6927" s="4" t="str">
        <f>HYPERLINK("http://141.218.60.56/~jnz1568/getInfo.php?workbook=12_04.xlsx&amp;sheet=U0&amp;row=6927&amp;col=7&amp;number=0.0592&amp;sourceID=14","0.0592")</f>
        <v>0.0592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HYPERLINK("http://141.218.60.56/~jnz1568/getInfo.php?workbook=12_04.xlsx&amp;sheet=U0&amp;row=6928&amp;col=6&amp;number=3.4&amp;sourceID=14","3.4")</f>
        <v>3.4</v>
      </c>
      <c r="G6928" s="4" t="str">
        <f>HYPERLINK("http://141.218.60.56/~jnz1568/getInfo.php?workbook=12_04.xlsx&amp;sheet=U0&amp;row=6928&amp;col=7&amp;number=0.059&amp;sourceID=14","0.059")</f>
        <v>0.059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HYPERLINK("http://141.218.60.56/~jnz1568/getInfo.php?workbook=12_04.xlsx&amp;sheet=U0&amp;row=6929&amp;col=6&amp;number=3.5&amp;sourceID=14","3.5")</f>
        <v>3.5</v>
      </c>
      <c r="G6929" s="4" t="str">
        <f>HYPERLINK("http://141.218.60.56/~jnz1568/getInfo.php?workbook=12_04.xlsx&amp;sheet=U0&amp;row=6929&amp;col=7&amp;number=0.0588&amp;sourceID=14","0.0588")</f>
        <v>0.0588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HYPERLINK("http://141.218.60.56/~jnz1568/getInfo.php?workbook=12_04.xlsx&amp;sheet=U0&amp;row=6930&amp;col=6&amp;number=3.6&amp;sourceID=14","3.6")</f>
        <v>3.6</v>
      </c>
      <c r="G6930" s="4" t="str">
        <f>HYPERLINK("http://141.218.60.56/~jnz1568/getInfo.php?workbook=12_04.xlsx&amp;sheet=U0&amp;row=6930&amp;col=7&amp;number=0.0586&amp;sourceID=14","0.0586")</f>
        <v>0.0586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HYPERLINK("http://141.218.60.56/~jnz1568/getInfo.php?workbook=12_04.xlsx&amp;sheet=U0&amp;row=6931&amp;col=6&amp;number=3.7&amp;sourceID=14","3.7")</f>
        <v>3.7</v>
      </c>
      <c r="G6931" s="4" t="str">
        <f>HYPERLINK("http://141.218.60.56/~jnz1568/getInfo.php?workbook=12_04.xlsx&amp;sheet=U0&amp;row=6931&amp;col=7&amp;number=0.0583&amp;sourceID=14","0.0583")</f>
        <v>0.0583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HYPERLINK("http://141.218.60.56/~jnz1568/getInfo.php?workbook=12_04.xlsx&amp;sheet=U0&amp;row=6932&amp;col=6&amp;number=3.8&amp;sourceID=14","3.8")</f>
        <v>3.8</v>
      </c>
      <c r="G6932" s="4" t="str">
        <f>HYPERLINK("http://141.218.60.56/~jnz1568/getInfo.php?workbook=12_04.xlsx&amp;sheet=U0&amp;row=6932&amp;col=7&amp;number=0.0579&amp;sourceID=14","0.0579")</f>
        <v>0.0579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HYPERLINK("http://141.218.60.56/~jnz1568/getInfo.php?workbook=12_04.xlsx&amp;sheet=U0&amp;row=6933&amp;col=6&amp;number=3.9&amp;sourceID=14","3.9")</f>
        <v>3.9</v>
      </c>
      <c r="G6933" s="4" t="str">
        <f>HYPERLINK("http://141.218.60.56/~jnz1568/getInfo.php?workbook=12_04.xlsx&amp;sheet=U0&amp;row=6933&amp;col=7&amp;number=0.0575&amp;sourceID=14","0.0575")</f>
        <v>0.0575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HYPERLINK("http://141.218.60.56/~jnz1568/getInfo.php?workbook=12_04.xlsx&amp;sheet=U0&amp;row=6934&amp;col=6&amp;number=4&amp;sourceID=14","4")</f>
        <v>4</v>
      </c>
      <c r="G6934" s="4" t="str">
        <f>HYPERLINK("http://141.218.60.56/~jnz1568/getInfo.php?workbook=12_04.xlsx&amp;sheet=U0&amp;row=6934&amp;col=7&amp;number=0.0569&amp;sourceID=14","0.0569")</f>
        <v>0.0569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HYPERLINK("http://141.218.60.56/~jnz1568/getInfo.php?workbook=12_04.xlsx&amp;sheet=U0&amp;row=6935&amp;col=6&amp;number=4.1&amp;sourceID=14","4.1")</f>
        <v>4.1</v>
      </c>
      <c r="G6935" s="4" t="str">
        <f>HYPERLINK("http://141.218.60.56/~jnz1568/getInfo.php?workbook=12_04.xlsx&amp;sheet=U0&amp;row=6935&amp;col=7&amp;number=0.0562&amp;sourceID=14","0.0562")</f>
        <v>0.0562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HYPERLINK("http://141.218.60.56/~jnz1568/getInfo.php?workbook=12_04.xlsx&amp;sheet=U0&amp;row=6936&amp;col=6&amp;number=4.2&amp;sourceID=14","4.2")</f>
        <v>4.2</v>
      </c>
      <c r="G6936" s="4" t="str">
        <f>HYPERLINK("http://141.218.60.56/~jnz1568/getInfo.php?workbook=12_04.xlsx&amp;sheet=U0&amp;row=6936&amp;col=7&amp;number=0.0552&amp;sourceID=14","0.0552")</f>
        <v>0.0552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HYPERLINK("http://141.218.60.56/~jnz1568/getInfo.php?workbook=12_04.xlsx&amp;sheet=U0&amp;row=6937&amp;col=6&amp;number=4.3&amp;sourceID=14","4.3")</f>
        <v>4.3</v>
      </c>
      <c r="G6937" s="4" t="str">
        <f>HYPERLINK("http://141.218.60.56/~jnz1568/getInfo.php?workbook=12_04.xlsx&amp;sheet=U0&amp;row=6937&amp;col=7&amp;number=0.0541&amp;sourceID=14","0.0541")</f>
        <v>0.0541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HYPERLINK("http://141.218.60.56/~jnz1568/getInfo.php?workbook=12_04.xlsx&amp;sheet=U0&amp;row=6938&amp;col=6&amp;number=4.4&amp;sourceID=14","4.4")</f>
        <v>4.4</v>
      </c>
      <c r="G6938" s="4" t="str">
        <f>HYPERLINK("http://141.218.60.56/~jnz1568/getInfo.php?workbook=12_04.xlsx&amp;sheet=U0&amp;row=6938&amp;col=7&amp;number=0.0528&amp;sourceID=14","0.0528")</f>
        <v>0.0528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HYPERLINK("http://141.218.60.56/~jnz1568/getInfo.php?workbook=12_04.xlsx&amp;sheet=U0&amp;row=6939&amp;col=6&amp;number=4.5&amp;sourceID=14","4.5")</f>
        <v>4.5</v>
      </c>
      <c r="G6939" s="4" t="str">
        <f>HYPERLINK("http://141.218.60.56/~jnz1568/getInfo.php?workbook=12_04.xlsx&amp;sheet=U0&amp;row=6939&amp;col=7&amp;number=0.0511&amp;sourceID=14","0.0511")</f>
        <v>0.0511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HYPERLINK("http://141.218.60.56/~jnz1568/getInfo.php?workbook=12_04.xlsx&amp;sheet=U0&amp;row=6940&amp;col=6&amp;number=4.6&amp;sourceID=14","4.6")</f>
        <v>4.6</v>
      </c>
      <c r="G6940" s="4" t="str">
        <f>HYPERLINK("http://141.218.60.56/~jnz1568/getInfo.php?workbook=12_04.xlsx&amp;sheet=U0&amp;row=6940&amp;col=7&amp;number=0.0492&amp;sourceID=14","0.0492")</f>
        <v>0.0492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HYPERLINK("http://141.218.60.56/~jnz1568/getInfo.php?workbook=12_04.xlsx&amp;sheet=U0&amp;row=6941&amp;col=6&amp;number=4.7&amp;sourceID=14","4.7")</f>
        <v>4.7</v>
      </c>
      <c r="G6941" s="4" t="str">
        <f>HYPERLINK("http://141.218.60.56/~jnz1568/getInfo.php?workbook=12_04.xlsx&amp;sheet=U0&amp;row=6941&amp;col=7&amp;number=0.0469&amp;sourceID=14","0.0469")</f>
        <v>0.0469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HYPERLINK("http://141.218.60.56/~jnz1568/getInfo.php?workbook=12_04.xlsx&amp;sheet=U0&amp;row=6942&amp;col=6&amp;number=4.8&amp;sourceID=14","4.8")</f>
        <v>4.8</v>
      </c>
      <c r="G6942" s="4" t="str">
        <f>HYPERLINK("http://141.218.60.56/~jnz1568/getInfo.php?workbook=12_04.xlsx&amp;sheet=U0&amp;row=6942&amp;col=7&amp;number=0.0445&amp;sourceID=14","0.0445")</f>
        <v>0.0445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HYPERLINK("http://141.218.60.56/~jnz1568/getInfo.php?workbook=12_04.xlsx&amp;sheet=U0&amp;row=6943&amp;col=6&amp;number=4.9&amp;sourceID=14","4.9")</f>
        <v>4.9</v>
      </c>
      <c r="G6943" s="4" t="str">
        <f>HYPERLINK("http://141.218.60.56/~jnz1568/getInfo.php?workbook=12_04.xlsx&amp;sheet=U0&amp;row=6943&amp;col=7&amp;number=0.0419&amp;sourceID=14","0.0419")</f>
        <v>0.0419</v>
      </c>
    </row>
    <row r="6944" spans="1:7">
      <c r="A6944" s="3">
        <v>12</v>
      </c>
      <c r="B6944" s="3">
        <v>4</v>
      </c>
      <c r="C6944" s="3">
        <v>4</v>
      </c>
      <c r="D6944" s="3">
        <v>64</v>
      </c>
      <c r="E6944" s="3">
        <v>1</v>
      </c>
      <c r="F6944" s="4" t="str">
        <f>HYPERLINK("http://141.218.60.56/~jnz1568/getInfo.php?workbook=12_04.xlsx&amp;sheet=U0&amp;row=6944&amp;col=6&amp;number=3&amp;sourceID=14","3")</f>
        <v>3</v>
      </c>
      <c r="G6944" s="4" t="str">
        <f>HYPERLINK("http://141.218.60.56/~jnz1568/getInfo.php?workbook=12_04.xlsx&amp;sheet=U0&amp;row=6944&amp;col=7&amp;number=0.0124&amp;sourceID=14","0.0124")</f>
        <v>0.0124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HYPERLINK("http://141.218.60.56/~jnz1568/getInfo.php?workbook=12_04.xlsx&amp;sheet=U0&amp;row=6945&amp;col=6&amp;number=3.1&amp;sourceID=14","3.1")</f>
        <v>3.1</v>
      </c>
      <c r="G6945" s="4" t="str">
        <f>HYPERLINK("http://141.218.60.56/~jnz1568/getInfo.php?workbook=12_04.xlsx&amp;sheet=U0&amp;row=6945&amp;col=7&amp;number=0.0124&amp;sourceID=14","0.0124")</f>
        <v>0.0124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HYPERLINK("http://141.218.60.56/~jnz1568/getInfo.php?workbook=12_04.xlsx&amp;sheet=U0&amp;row=6946&amp;col=6&amp;number=3.2&amp;sourceID=14","3.2")</f>
        <v>3.2</v>
      </c>
      <c r="G6946" s="4" t="str">
        <f>HYPERLINK("http://141.218.60.56/~jnz1568/getInfo.php?workbook=12_04.xlsx&amp;sheet=U0&amp;row=6946&amp;col=7&amp;number=0.0124&amp;sourceID=14","0.0124")</f>
        <v>0.0124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HYPERLINK("http://141.218.60.56/~jnz1568/getInfo.php?workbook=12_04.xlsx&amp;sheet=U0&amp;row=6947&amp;col=6&amp;number=3.3&amp;sourceID=14","3.3")</f>
        <v>3.3</v>
      </c>
      <c r="G6947" s="4" t="str">
        <f>HYPERLINK("http://141.218.60.56/~jnz1568/getInfo.php?workbook=12_04.xlsx&amp;sheet=U0&amp;row=6947&amp;col=7&amp;number=0.0123&amp;sourceID=14","0.0123")</f>
        <v>0.0123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HYPERLINK("http://141.218.60.56/~jnz1568/getInfo.php?workbook=12_04.xlsx&amp;sheet=U0&amp;row=6948&amp;col=6&amp;number=3.4&amp;sourceID=14","3.4")</f>
        <v>3.4</v>
      </c>
      <c r="G6948" s="4" t="str">
        <f>HYPERLINK("http://141.218.60.56/~jnz1568/getInfo.php?workbook=12_04.xlsx&amp;sheet=U0&amp;row=6948&amp;col=7&amp;number=0.0123&amp;sourceID=14","0.0123")</f>
        <v>0.0123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HYPERLINK("http://141.218.60.56/~jnz1568/getInfo.php?workbook=12_04.xlsx&amp;sheet=U0&amp;row=6949&amp;col=6&amp;number=3.5&amp;sourceID=14","3.5")</f>
        <v>3.5</v>
      </c>
      <c r="G6949" s="4" t="str">
        <f>HYPERLINK("http://141.218.60.56/~jnz1568/getInfo.php?workbook=12_04.xlsx&amp;sheet=U0&amp;row=6949&amp;col=7&amp;number=0.0123&amp;sourceID=14","0.0123")</f>
        <v>0.0123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HYPERLINK("http://141.218.60.56/~jnz1568/getInfo.php?workbook=12_04.xlsx&amp;sheet=U0&amp;row=6950&amp;col=6&amp;number=3.6&amp;sourceID=14","3.6")</f>
        <v>3.6</v>
      </c>
      <c r="G6950" s="4" t="str">
        <f>HYPERLINK("http://141.218.60.56/~jnz1568/getInfo.php?workbook=12_04.xlsx&amp;sheet=U0&amp;row=6950&amp;col=7&amp;number=0.0122&amp;sourceID=14","0.0122")</f>
        <v>0.0122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HYPERLINK("http://141.218.60.56/~jnz1568/getInfo.php?workbook=12_04.xlsx&amp;sheet=U0&amp;row=6951&amp;col=6&amp;number=3.7&amp;sourceID=14","3.7")</f>
        <v>3.7</v>
      </c>
      <c r="G6951" s="4" t="str">
        <f>HYPERLINK("http://141.218.60.56/~jnz1568/getInfo.php?workbook=12_04.xlsx&amp;sheet=U0&amp;row=6951&amp;col=7&amp;number=0.0121&amp;sourceID=14","0.0121")</f>
        <v>0.0121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HYPERLINK("http://141.218.60.56/~jnz1568/getInfo.php?workbook=12_04.xlsx&amp;sheet=U0&amp;row=6952&amp;col=6&amp;number=3.8&amp;sourceID=14","3.8")</f>
        <v>3.8</v>
      </c>
      <c r="G6952" s="4" t="str">
        <f>HYPERLINK("http://141.218.60.56/~jnz1568/getInfo.php?workbook=12_04.xlsx&amp;sheet=U0&amp;row=6952&amp;col=7&amp;number=0.012&amp;sourceID=14","0.012")</f>
        <v>0.012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HYPERLINK("http://141.218.60.56/~jnz1568/getInfo.php?workbook=12_04.xlsx&amp;sheet=U0&amp;row=6953&amp;col=6&amp;number=3.9&amp;sourceID=14","3.9")</f>
        <v>3.9</v>
      </c>
      <c r="G6953" s="4" t="str">
        <f>HYPERLINK("http://141.218.60.56/~jnz1568/getInfo.php?workbook=12_04.xlsx&amp;sheet=U0&amp;row=6953&amp;col=7&amp;number=0.0119&amp;sourceID=14","0.0119")</f>
        <v>0.0119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HYPERLINK("http://141.218.60.56/~jnz1568/getInfo.php?workbook=12_04.xlsx&amp;sheet=U0&amp;row=6954&amp;col=6&amp;number=4&amp;sourceID=14","4")</f>
        <v>4</v>
      </c>
      <c r="G6954" s="4" t="str">
        <f>HYPERLINK("http://141.218.60.56/~jnz1568/getInfo.php?workbook=12_04.xlsx&amp;sheet=U0&amp;row=6954&amp;col=7&amp;number=0.0118&amp;sourceID=14","0.0118")</f>
        <v>0.0118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HYPERLINK("http://141.218.60.56/~jnz1568/getInfo.php?workbook=12_04.xlsx&amp;sheet=U0&amp;row=6955&amp;col=6&amp;number=4.1&amp;sourceID=14","4.1")</f>
        <v>4.1</v>
      </c>
      <c r="G6955" s="4" t="str">
        <f>HYPERLINK("http://141.218.60.56/~jnz1568/getInfo.php?workbook=12_04.xlsx&amp;sheet=U0&amp;row=6955&amp;col=7&amp;number=0.0116&amp;sourceID=14","0.0116")</f>
        <v>0.0116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HYPERLINK("http://141.218.60.56/~jnz1568/getInfo.php?workbook=12_04.xlsx&amp;sheet=U0&amp;row=6956&amp;col=6&amp;number=4.2&amp;sourceID=14","4.2")</f>
        <v>4.2</v>
      </c>
      <c r="G6956" s="4" t="str">
        <f>HYPERLINK("http://141.218.60.56/~jnz1568/getInfo.php?workbook=12_04.xlsx&amp;sheet=U0&amp;row=6956&amp;col=7&amp;number=0.0114&amp;sourceID=14","0.0114")</f>
        <v>0.0114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HYPERLINK("http://141.218.60.56/~jnz1568/getInfo.php?workbook=12_04.xlsx&amp;sheet=U0&amp;row=6957&amp;col=6&amp;number=4.3&amp;sourceID=14","4.3")</f>
        <v>4.3</v>
      </c>
      <c r="G6957" s="4" t="str">
        <f>HYPERLINK("http://141.218.60.56/~jnz1568/getInfo.php?workbook=12_04.xlsx&amp;sheet=U0&amp;row=6957&amp;col=7&amp;number=0.0111&amp;sourceID=14","0.0111")</f>
        <v>0.0111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HYPERLINK("http://141.218.60.56/~jnz1568/getInfo.php?workbook=12_04.xlsx&amp;sheet=U0&amp;row=6958&amp;col=6&amp;number=4.4&amp;sourceID=14","4.4")</f>
        <v>4.4</v>
      </c>
      <c r="G6958" s="4" t="str">
        <f>HYPERLINK("http://141.218.60.56/~jnz1568/getInfo.php?workbook=12_04.xlsx&amp;sheet=U0&amp;row=6958&amp;col=7&amp;number=0.0107&amp;sourceID=14","0.0107")</f>
        <v>0.0107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HYPERLINK("http://141.218.60.56/~jnz1568/getInfo.php?workbook=12_04.xlsx&amp;sheet=U0&amp;row=6959&amp;col=6&amp;number=4.5&amp;sourceID=14","4.5")</f>
        <v>4.5</v>
      </c>
      <c r="G6959" s="4" t="str">
        <f>HYPERLINK("http://141.218.60.56/~jnz1568/getInfo.php?workbook=12_04.xlsx&amp;sheet=U0&amp;row=6959&amp;col=7&amp;number=0.0103&amp;sourceID=14","0.0103")</f>
        <v>0.0103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HYPERLINK("http://141.218.60.56/~jnz1568/getInfo.php?workbook=12_04.xlsx&amp;sheet=U0&amp;row=6960&amp;col=6&amp;number=4.6&amp;sourceID=14","4.6")</f>
        <v>4.6</v>
      </c>
      <c r="G6960" s="4" t="str">
        <f>HYPERLINK("http://141.218.60.56/~jnz1568/getInfo.php?workbook=12_04.xlsx&amp;sheet=U0&amp;row=6960&amp;col=7&amp;number=0.00975&amp;sourceID=14","0.00975")</f>
        <v>0.00975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HYPERLINK("http://141.218.60.56/~jnz1568/getInfo.php?workbook=12_04.xlsx&amp;sheet=U0&amp;row=6961&amp;col=6&amp;number=4.7&amp;sourceID=14","4.7")</f>
        <v>4.7</v>
      </c>
      <c r="G6961" s="4" t="str">
        <f>HYPERLINK("http://141.218.60.56/~jnz1568/getInfo.php?workbook=12_04.xlsx&amp;sheet=U0&amp;row=6961&amp;col=7&amp;number=0.0091&amp;sourceID=14","0.0091")</f>
        <v>0.0091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HYPERLINK("http://141.218.60.56/~jnz1568/getInfo.php?workbook=12_04.xlsx&amp;sheet=U0&amp;row=6962&amp;col=6&amp;number=4.8&amp;sourceID=14","4.8")</f>
        <v>4.8</v>
      </c>
      <c r="G6962" s="4" t="str">
        <f>HYPERLINK("http://141.218.60.56/~jnz1568/getInfo.php?workbook=12_04.xlsx&amp;sheet=U0&amp;row=6962&amp;col=7&amp;number=0.00831&amp;sourceID=14","0.00831")</f>
        <v>0.00831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HYPERLINK("http://141.218.60.56/~jnz1568/getInfo.php?workbook=12_04.xlsx&amp;sheet=U0&amp;row=6963&amp;col=6&amp;number=4.9&amp;sourceID=14","4.9")</f>
        <v>4.9</v>
      </c>
      <c r="G6963" s="4" t="str">
        <f>HYPERLINK("http://141.218.60.56/~jnz1568/getInfo.php?workbook=12_04.xlsx&amp;sheet=U0&amp;row=6963&amp;col=7&amp;number=0.00739&amp;sourceID=14","0.00739")</f>
        <v>0.00739</v>
      </c>
    </row>
    <row r="6964" spans="1:7">
      <c r="A6964" s="3">
        <v>12</v>
      </c>
      <c r="B6964" s="3">
        <v>4</v>
      </c>
      <c r="C6964" s="3">
        <v>4</v>
      </c>
      <c r="D6964" s="3">
        <v>65</v>
      </c>
      <c r="E6964" s="3">
        <v>1</v>
      </c>
      <c r="F6964" s="4" t="str">
        <f>HYPERLINK("http://141.218.60.56/~jnz1568/getInfo.php?workbook=12_04.xlsx&amp;sheet=U0&amp;row=6964&amp;col=6&amp;number=3&amp;sourceID=14","3")</f>
        <v>3</v>
      </c>
      <c r="G6964" s="4" t="str">
        <f>HYPERLINK("http://141.218.60.56/~jnz1568/getInfo.php?workbook=12_04.xlsx&amp;sheet=U0&amp;row=6964&amp;col=7&amp;number=0.00387&amp;sourceID=14","0.00387")</f>
        <v>0.00387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HYPERLINK("http://141.218.60.56/~jnz1568/getInfo.php?workbook=12_04.xlsx&amp;sheet=U0&amp;row=6965&amp;col=6&amp;number=3.1&amp;sourceID=14","3.1")</f>
        <v>3.1</v>
      </c>
      <c r="G6965" s="4" t="str">
        <f>HYPERLINK("http://141.218.60.56/~jnz1568/getInfo.php?workbook=12_04.xlsx&amp;sheet=U0&amp;row=6965&amp;col=7&amp;number=0.00387&amp;sourceID=14","0.00387")</f>
        <v>0.00387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HYPERLINK("http://141.218.60.56/~jnz1568/getInfo.php?workbook=12_04.xlsx&amp;sheet=U0&amp;row=6966&amp;col=6&amp;number=3.2&amp;sourceID=14","3.2")</f>
        <v>3.2</v>
      </c>
      <c r="G6966" s="4" t="str">
        <f>HYPERLINK("http://141.218.60.56/~jnz1568/getInfo.php?workbook=12_04.xlsx&amp;sheet=U0&amp;row=6966&amp;col=7&amp;number=0.00386&amp;sourceID=14","0.00386")</f>
        <v>0.00386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HYPERLINK("http://141.218.60.56/~jnz1568/getInfo.php?workbook=12_04.xlsx&amp;sheet=U0&amp;row=6967&amp;col=6&amp;number=3.3&amp;sourceID=14","3.3")</f>
        <v>3.3</v>
      </c>
      <c r="G6967" s="4" t="str">
        <f>HYPERLINK("http://141.218.60.56/~jnz1568/getInfo.php?workbook=12_04.xlsx&amp;sheet=U0&amp;row=6967&amp;col=7&amp;number=0.00385&amp;sourceID=14","0.00385")</f>
        <v>0.00385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HYPERLINK("http://141.218.60.56/~jnz1568/getInfo.php?workbook=12_04.xlsx&amp;sheet=U0&amp;row=6968&amp;col=6&amp;number=3.4&amp;sourceID=14","3.4")</f>
        <v>3.4</v>
      </c>
      <c r="G6968" s="4" t="str">
        <f>HYPERLINK("http://141.218.60.56/~jnz1568/getInfo.php?workbook=12_04.xlsx&amp;sheet=U0&amp;row=6968&amp;col=7&amp;number=0.00384&amp;sourceID=14","0.00384")</f>
        <v>0.00384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HYPERLINK("http://141.218.60.56/~jnz1568/getInfo.php?workbook=12_04.xlsx&amp;sheet=U0&amp;row=6969&amp;col=6&amp;number=3.5&amp;sourceID=14","3.5")</f>
        <v>3.5</v>
      </c>
      <c r="G6969" s="4" t="str">
        <f>HYPERLINK("http://141.218.60.56/~jnz1568/getInfo.php?workbook=12_04.xlsx&amp;sheet=U0&amp;row=6969&amp;col=7&amp;number=0.00383&amp;sourceID=14","0.00383")</f>
        <v>0.00383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HYPERLINK("http://141.218.60.56/~jnz1568/getInfo.php?workbook=12_04.xlsx&amp;sheet=U0&amp;row=6970&amp;col=6&amp;number=3.6&amp;sourceID=14","3.6")</f>
        <v>3.6</v>
      </c>
      <c r="G6970" s="4" t="str">
        <f>HYPERLINK("http://141.218.60.56/~jnz1568/getInfo.php?workbook=12_04.xlsx&amp;sheet=U0&amp;row=6970&amp;col=7&amp;number=0.00382&amp;sourceID=14","0.00382")</f>
        <v>0.00382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HYPERLINK("http://141.218.60.56/~jnz1568/getInfo.php?workbook=12_04.xlsx&amp;sheet=U0&amp;row=6971&amp;col=6&amp;number=3.7&amp;sourceID=14","3.7")</f>
        <v>3.7</v>
      </c>
      <c r="G6971" s="4" t="str">
        <f>HYPERLINK("http://141.218.60.56/~jnz1568/getInfo.php?workbook=12_04.xlsx&amp;sheet=U0&amp;row=6971&amp;col=7&amp;number=0.0038&amp;sourceID=14","0.0038")</f>
        <v>0.0038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HYPERLINK("http://141.218.60.56/~jnz1568/getInfo.php?workbook=12_04.xlsx&amp;sheet=U0&amp;row=6972&amp;col=6&amp;number=3.8&amp;sourceID=14","3.8")</f>
        <v>3.8</v>
      </c>
      <c r="G6972" s="4" t="str">
        <f>HYPERLINK("http://141.218.60.56/~jnz1568/getInfo.php?workbook=12_04.xlsx&amp;sheet=U0&amp;row=6972&amp;col=7&amp;number=0.00378&amp;sourceID=14","0.00378")</f>
        <v>0.00378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HYPERLINK("http://141.218.60.56/~jnz1568/getInfo.php?workbook=12_04.xlsx&amp;sheet=U0&amp;row=6973&amp;col=6&amp;number=3.9&amp;sourceID=14","3.9")</f>
        <v>3.9</v>
      </c>
      <c r="G6973" s="4" t="str">
        <f>HYPERLINK("http://141.218.60.56/~jnz1568/getInfo.php?workbook=12_04.xlsx&amp;sheet=U0&amp;row=6973&amp;col=7&amp;number=0.00375&amp;sourceID=14","0.00375")</f>
        <v>0.00375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HYPERLINK("http://141.218.60.56/~jnz1568/getInfo.php?workbook=12_04.xlsx&amp;sheet=U0&amp;row=6974&amp;col=6&amp;number=4&amp;sourceID=14","4")</f>
        <v>4</v>
      </c>
      <c r="G6974" s="4" t="str">
        <f>HYPERLINK("http://141.218.60.56/~jnz1568/getInfo.php?workbook=12_04.xlsx&amp;sheet=U0&amp;row=6974&amp;col=7&amp;number=0.00371&amp;sourceID=14","0.00371")</f>
        <v>0.00371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HYPERLINK("http://141.218.60.56/~jnz1568/getInfo.php?workbook=12_04.xlsx&amp;sheet=U0&amp;row=6975&amp;col=6&amp;number=4.1&amp;sourceID=14","4.1")</f>
        <v>4.1</v>
      </c>
      <c r="G6975" s="4" t="str">
        <f>HYPERLINK("http://141.218.60.56/~jnz1568/getInfo.php?workbook=12_04.xlsx&amp;sheet=U0&amp;row=6975&amp;col=7&amp;number=0.00367&amp;sourceID=14","0.00367")</f>
        <v>0.00367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HYPERLINK("http://141.218.60.56/~jnz1568/getInfo.php?workbook=12_04.xlsx&amp;sheet=U0&amp;row=6976&amp;col=6&amp;number=4.2&amp;sourceID=14","4.2")</f>
        <v>4.2</v>
      </c>
      <c r="G6976" s="4" t="str">
        <f>HYPERLINK("http://141.218.60.56/~jnz1568/getInfo.php?workbook=12_04.xlsx&amp;sheet=U0&amp;row=6976&amp;col=7&amp;number=0.00361&amp;sourceID=14","0.00361")</f>
        <v>0.00361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HYPERLINK("http://141.218.60.56/~jnz1568/getInfo.php?workbook=12_04.xlsx&amp;sheet=U0&amp;row=6977&amp;col=6&amp;number=4.3&amp;sourceID=14","4.3")</f>
        <v>4.3</v>
      </c>
      <c r="G6977" s="4" t="str">
        <f>HYPERLINK("http://141.218.60.56/~jnz1568/getInfo.php?workbook=12_04.xlsx&amp;sheet=U0&amp;row=6977&amp;col=7&amp;number=0.00354&amp;sourceID=14","0.00354")</f>
        <v>0.00354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HYPERLINK("http://141.218.60.56/~jnz1568/getInfo.php?workbook=12_04.xlsx&amp;sheet=U0&amp;row=6978&amp;col=6&amp;number=4.4&amp;sourceID=14","4.4")</f>
        <v>4.4</v>
      </c>
      <c r="G6978" s="4" t="str">
        <f>HYPERLINK("http://141.218.60.56/~jnz1568/getInfo.php?workbook=12_04.xlsx&amp;sheet=U0&amp;row=6978&amp;col=7&amp;number=0.00345&amp;sourceID=14","0.00345")</f>
        <v>0.00345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HYPERLINK("http://141.218.60.56/~jnz1568/getInfo.php?workbook=12_04.xlsx&amp;sheet=U0&amp;row=6979&amp;col=6&amp;number=4.5&amp;sourceID=14","4.5")</f>
        <v>4.5</v>
      </c>
      <c r="G6979" s="4" t="str">
        <f>HYPERLINK("http://141.218.60.56/~jnz1568/getInfo.php?workbook=12_04.xlsx&amp;sheet=U0&amp;row=6979&amp;col=7&amp;number=0.00333&amp;sourceID=14","0.00333")</f>
        <v>0.00333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HYPERLINK("http://141.218.60.56/~jnz1568/getInfo.php?workbook=12_04.xlsx&amp;sheet=U0&amp;row=6980&amp;col=6&amp;number=4.6&amp;sourceID=14","4.6")</f>
        <v>4.6</v>
      </c>
      <c r="G6980" s="4" t="str">
        <f>HYPERLINK("http://141.218.60.56/~jnz1568/getInfo.php?workbook=12_04.xlsx&amp;sheet=U0&amp;row=6980&amp;col=7&amp;number=0.00319&amp;sourceID=14","0.00319")</f>
        <v>0.00319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HYPERLINK("http://141.218.60.56/~jnz1568/getInfo.php?workbook=12_04.xlsx&amp;sheet=U0&amp;row=6981&amp;col=6&amp;number=4.7&amp;sourceID=14","4.7")</f>
        <v>4.7</v>
      </c>
      <c r="G6981" s="4" t="str">
        <f>HYPERLINK("http://141.218.60.56/~jnz1568/getInfo.php?workbook=12_04.xlsx&amp;sheet=U0&amp;row=6981&amp;col=7&amp;number=0.00302&amp;sourceID=14","0.00302")</f>
        <v>0.00302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HYPERLINK("http://141.218.60.56/~jnz1568/getInfo.php?workbook=12_04.xlsx&amp;sheet=U0&amp;row=6982&amp;col=6&amp;number=4.8&amp;sourceID=14","4.8")</f>
        <v>4.8</v>
      </c>
      <c r="G6982" s="4" t="str">
        <f>HYPERLINK("http://141.218.60.56/~jnz1568/getInfo.php?workbook=12_04.xlsx&amp;sheet=U0&amp;row=6982&amp;col=7&amp;number=0.0028&amp;sourceID=14","0.0028")</f>
        <v>0.0028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HYPERLINK("http://141.218.60.56/~jnz1568/getInfo.php?workbook=12_04.xlsx&amp;sheet=U0&amp;row=6983&amp;col=6&amp;number=4.9&amp;sourceID=14","4.9")</f>
        <v>4.9</v>
      </c>
      <c r="G6983" s="4" t="str">
        <f>HYPERLINK("http://141.218.60.56/~jnz1568/getInfo.php?workbook=12_04.xlsx&amp;sheet=U0&amp;row=6983&amp;col=7&amp;number=0.00254&amp;sourceID=14","0.00254")</f>
        <v>0.00254</v>
      </c>
    </row>
    <row r="6984" spans="1:7">
      <c r="A6984" s="3">
        <v>12</v>
      </c>
      <c r="B6984" s="3">
        <v>4</v>
      </c>
      <c r="C6984" s="3">
        <v>4</v>
      </c>
      <c r="D6984" s="3">
        <v>66</v>
      </c>
      <c r="E6984" s="3">
        <v>1</v>
      </c>
      <c r="F6984" s="4" t="str">
        <f>HYPERLINK("http://141.218.60.56/~jnz1568/getInfo.php?workbook=12_04.xlsx&amp;sheet=U0&amp;row=6984&amp;col=6&amp;number=3&amp;sourceID=14","3")</f>
        <v>3</v>
      </c>
      <c r="G6984" s="4" t="str">
        <f>HYPERLINK("http://141.218.60.56/~jnz1568/getInfo.php?workbook=12_04.xlsx&amp;sheet=U0&amp;row=6984&amp;col=7&amp;number=0.0046&amp;sourceID=14","0.0046")</f>
        <v>0.0046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HYPERLINK("http://141.218.60.56/~jnz1568/getInfo.php?workbook=12_04.xlsx&amp;sheet=U0&amp;row=6985&amp;col=6&amp;number=3.1&amp;sourceID=14","3.1")</f>
        <v>3.1</v>
      </c>
      <c r="G6985" s="4" t="str">
        <f>HYPERLINK("http://141.218.60.56/~jnz1568/getInfo.php?workbook=12_04.xlsx&amp;sheet=U0&amp;row=6985&amp;col=7&amp;number=0.0046&amp;sourceID=14","0.0046")</f>
        <v>0.0046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HYPERLINK("http://141.218.60.56/~jnz1568/getInfo.php?workbook=12_04.xlsx&amp;sheet=U0&amp;row=6986&amp;col=6&amp;number=3.2&amp;sourceID=14","3.2")</f>
        <v>3.2</v>
      </c>
      <c r="G6986" s="4" t="str">
        <f>HYPERLINK("http://141.218.60.56/~jnz1568/getInfo.php?workbook=12_04.xlsx&amp;sheet=U0&amp;row=6986&amp;col=7&amp;number=0.00459&amp;sourceID=14","0.00459")</f>
        <v>0.00459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HYPERLINK("http://141.218.60.56/~jnz1568/getInfo.php?workbook=12_04.xlsx&amp;sheet=U0&amp;row=6987&amp;col=6&amp;number=3.3&amp;sourceID=14","3.3")</f>
        <v>3.3</v>
      </c>
      <c r="G6987" s="4" t="str">
        <f>HYPERLINK("http://141.218.60.56/~jnz1568/getInfo.php?workbook=12_04.xlsx&amp;sheet=U0&amp;row=6987&amp;col=7&amp;number=0.00458&amp;sourceID=14","0.00458")</f>
        <v>0.00458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HYPERLINK("http://141.218.60.56/~jnz1568/getInfo.php?workbook=12_04.xlsx&amp;sheet=U0&amp;row=6988&amp;col=6&amp;number=3.4&amp;sourceID=14","3.4")</f>
        <v>3.4</v>
      </c>
      <c r="G6988" s="4" t="str">
        <f>HYPERLINK("http://141.218.60.56/~jnz1568/getInfo.php?workbook=12_04.xlsx&amp;sheet=U0&amp;row=6988&amp;col=7&amp;number=0.00457&amp;sourceID=14","0.00457")</f>
        <v>0.00457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HYPERLINK("http://141.218.60.56/~jnz1568/getInfo.php?workbook=12_04.xlsx&amp;sheet=U0&amp;row=6989&amp;col=6&amp;number=3.5&amp;sourceID=14","3.5")</f>
        <v>3.5</v>
      </c>
      <c r="G6989" s="4" t="str">
        <f>HYPERLINK("http://141.218.60.56/~jnz1568/getInfo.php?workbook=12_04.xlsx&amp;sheet=U0&amp;row=6989&amp;col=7&amp;number=0.00456&amp;sourceID=14","0.00456")</f>
        <v>0.00456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HYPERLINK("http://141.218.60.56/~jnz1568/getInfo.php?workbook=12_04.xlsx&amp;sheet=U0&amp;row=6990&amp;col=6&amp;number=3.6&amp;sourceID=14","3.6")</f>
        <v>3.6</v>
      </c>
      <c r="G6990" s="4" t="str">
        <f>HYPERLINK("http://141.218.60.56/~jnz1568/getInfo.php?workbook=12_04.xlsx&amp;sheet=U0&amp;row=6990&amp;col=7&amp;number=0.00455&amp;sourceID=14","0.00455")</f>
        <v>0.00455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HYPERLINK("http://141.218.60.56/~jnz1568/getInfo.php?workbook=12_04.xlsx&amp;sheet=U0&amp;row=6991&amp;col=6&amp;number=3.7&amp;sourceID=14","3.7")</f>
        <v>3.7</v>
      </c>
      <c r="G6991" s="4" t="str">
        <f>HYPERLINK("http://141.218.60.56/~jnz1568/getInfo.php?workbook=12_04.xlsx&amp;sheet=U0&amp;row=6991&amp;col=7&amp;number=0.00453&amp;sourceID=14","0.00453")</f>
        <v>0.00453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HYPERLINK("http://141.218.60.56/~jnz1568/getInfo.php?workbook=12_04.xlsx&amp;sheet=U0&amp;row=6992&amp;col=6&amp;number=3.8&amp;sourceID=14","3.8")</f>
        <v>3.8</v>
      </c>
      <c r="G6992" s="4" t="str">
        <f>HYPERLINK("http://141.218.60.56/~jnz1568/getInfo.php?workbook=12_04.xlsx&amp;sheet=U0&amp;row=6992&amp;col=7&amp;number=0.0045&amp;sourceID=14","0.0045")</f>
        <v>0.0045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HYPERLINK("http://141.218.60.56/~jnz1568/getInfo.php?workbook=12_04.xlsx&amp;sheet=U0&amp;row=6993&amp;col=6&amp;number=3.9&amp;sourceID=14","3.9")</f>
        <v>3.9</v>
      </c>
      <c r="G6993" s="4" t="str">
        <f>HYPERLINK("http://141.218.60.56/~jnz1568/getInfo.php?workbook=12_04.xlsx&amp;sheet=U0&amp;row=6993&amp;col=7&amp;number=0.00447&amp;sourceID=14","0.00447")</f>
        <v>0.00447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HYPERLINK("http://141.218.60.56/~jnz1568/getInfo.php?workbook=12_04.xlsx&amp;sheet=U0&amp;row=6994&amp;col=6&amp;number=4&amp;sourceID=14","4")</f>
        <v>4</v>
      </c>
      <c r="G6994" s="4" t="str">
        <f>HYPERLINK("http://141.218.60.56/~jnz1568/getInfo.php?workbook=12_04.xlsx&amp;sheet=U0&amp;row=6994&amp;col=7&amp;number=0.00443&amp;sourceID=14","0.00443")</f>
        <v>0.00443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HYPERLINK("http://141.218.60.56/~jnz1568/getInfo.php?workbook=12_04.xlsx&amp;sheet=U0&amp;row=6995&amp;col=6&amp;number=4.1&amp;sourceID=14","4.1")</f>
        <v>4.1</v>
      </c>
      <c r="G6995" s="4" t="str">
        <f>HYPERLINK("http://141.218.60.56/~jnz1568/getInfo.php?workbook=12_04.xlsx&amp;sheet=U0&amp;row=6995&amp;col=7&amp;number=0.00438&amp;sourceID=14","0.00438")</f>
        <v>0.00438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HYPERLINK("http://141.218.60.56/~jnz1568/getInfo.php?workbook=12_04.xlsx&amp;sheet=U0&amp;row=6996&amp;col=6&amp;number=4.2&amp;sourceID=14","4.2")</f>
        <v>4.2</v>
      </c>
      <c r="G6996" s="4" t="str">
        <f>HYPERLINK("http://141.218.60.56/~jnz1568/getInfo.php?workbook=12_04.xlsx&amp;sheet=U0&amp;row=6996&amp;col=7&amp;number=0.00432&amp;sourceID=14","0.00432")</f>
        <v>0.00432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HYPERLINK("http://141.218.60.56/~jnz1568/getInfo.php?workbook=12_04.xlsx&amp;sheet=U0&amp;row=6997&amp;col=6&amp;number=4.3&amp;sourceID=14","4.3")</f>
        <v>4.3</v>
      </c>
      <c r="G6997" s="4" t="str">
        <f>HYPERLINK("http://141.218.60.56/~jnz1568/getInfo.php?workbook=12_04.xlsx&amp;sheet=U0&amp;row=6997&amp;col=7&amp;number=0.00424&amp;sourceID=14","0.00424")</f>
        <v>0.00424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HYPERLINK("http://141.218.60.56/~jnz1568/getInfo.php?workbook=12_04.xlsx&amp;sheet=U0&amp;row=6998&amp;col=6&amp;number=4.4&amp;sourceID=14","4.4")</f>
        <v>4.4</v>
      </c>
      <c r="G6998" s="4" t="str">
        <f>HYPERLINK("http://141.218.60.56/~jnz1568/getInfo.php?workbook=12_04.xlsx&amp;sheet=U0&amp;row=6998&amp;col=7&amp;number=0.00414&amp;sourceID=14","0.00414")</f>
        <v>0.00414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HYPERLINK("http://141.218.60.56/~jnz1568/getInfo.php?workbook=12_04.xlsx&amp;sheet=U0&amp;row=6999&amp;col=6&amp;number=4.5&amp;sourceID=14","4.5")</f>
        <v>4.5</v>
      </c>
      <c r="G6999" s="4" t="str">
        <f>HYPERLINK("http://141.218.60.56/~jnz1568/getInfo.php?workbook=12_04.xlsx&amp;sheet=U0&amp;row=6999&amp;col=7&amp;number=0.00402&amp;sourceID=14","0.00402")</f>
        <v>0.00402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HYPERLINK("http://141.218.60.56/~jnz1568/getInfo.php?workbook=12_04.xlsx&amp;sheet=U0&amp;row=7000&amp;col=6&amp;number=4.6&amp;sourceID=14","4.6")</f>
        <v>4.6</v>
      </c>
      <c r="G7000" s="4" t="str">
        <f>HYPERLINK("http://141.218.60.56/~jnz1568/getInfo.php?workbook=12_04.xlsx&amp;sheet=U0&amp;row=7000&amp;col=7&amp;number=0.00387&amp;sourceID=14","0.00387")</f>
        <v>0.00387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HYPERLINK("http://141.218.60.56/~jnz1568/getInfo.php?workbook=12_04.xlsx&amp;sheet=U0&amp;row=7001&amp;col=6&amp;number=4.7&amp;sourceID=14","4.7")</f>
        <v>4.7</v>
      </c>
      <c r="G7001" s="4" t="str">
        <f>HYPERLINK("http://141.218.60.56/~jnz1568/getInfo.php?workbook=12_04.xlsx&amp;sheet=U0&amp;row=7001&amp;col=7&amp;number=0.00368&amp;sourceID=14","0.00368")</f>
        <v>0.00368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HYPERLINK("http://141.218.60.56/~jnz1568/getInfo.php?workbook=12_04.xlsx&amp;sheet=U0&amp;row=7002&amp;col=6&amp;number=4.8&amp;sourceID=14","4.8")</f>
        <v>4.8</v>
      </c>
      <c r="G7002" s="4" t="str">
        <f>HYPERLINK("http://141.218.60.56/~jnz1568/getInfo.php?workbook=12_04.xlsx&amp;sheet=U0&amp;row=7002&amp;col=7&amp;number=0.00346&amp;sourceID=14","0.00346")</f>
        <v>0.00346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HYPERLINK("http://141.218.60.56/~jnz1568/getInfo.php?workbook=12_04.xlsx&amp;sheet=U0&amp;row=7003&amp;col=6&amp;number=4.9&amp;sourceID=14","4.9")</f>
        <v>4.9</v>
      </c>
      <c r="G7003" s="4" t="str">
        <f>HYPERLINK("http://141.218.60.56/~jnz1568/getInfo.php?workbook=12_04.xlsx&amp;sheet=U0&amp;row=7003&amp;col=7&amp;number=0.00319&amp;sourceID=14","0.00319")</f>
        <v>0.00319</v>
      </c>
    </row>
    <row r="7004" spans="1:7">
      <c r="A7004" s="3">
        <v>12</v>
      </c>
      <c r="B7004" s="3">
        <v>4</v>
      </c>
      <c r="C7004" s="3">
        <v>4</v>
      </c>
      <c r="D7004" s="3">
        <v>67</v>
      </c>
      <c r="E7004" s="3">
        <v>1</v>
      </c>
      <c r="F7004" s="4" t="str">
        <f>HYPERLINK("http://141.218.60.56/~jnz1568/getInfo.php?workbook=12_04.xlsx&amp;sheet=U0&amp;row=7004&amp;col=6&amp;number=3&amp;sourceID=14","3")</f>
        <v>3</v>
      </c>
      <c r="G7004" s="4" t="str">
        <f>HYPERLINK("http://141.218.60.56/~jnz1568/getInfo.php?workbook=12_04.xlsx&amp;sheet=U0&amp;row=7004&amp;col=7&amp;number=0.00879&amp;sourceID=14","0.00879")</f>
        <v>0.00879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HYPERLINK("http://141.218.60.56/~jnz1568/getInfo.php?workbook=12_04.xlsx&amp;sheet=U0&amp;row=7005&amp;col=6&amp;number=3.1&amp;sourceID=14","3.1")</f>
        <v>3.1</v>
      </c>
      <c r="G7005" s="4" t="str">
        <f>HYPERLINK("http://141.218.60.56/~jnz1568/getInfo.php?workbook=12_04.xlsx&amp;sheet=U0&amp;row=7005&amp;col=7&amp;number=0.00876&amp;sourceID=14","0.00876")</f>
        <v>0.00876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HYPERLINK("http://141.218.60.56/~jnz1568/getInfo.php?workbook=12_04.xlsx&amp;sheet=U0&amp;row=7006&amp;col=6&amp;number=3.2&amp;sourceID=14","3.2")</f>
        <v>3.2</v>
      </c>
      <c r="G7006" s="4" t="str">
        <f>HYPERLINK("http://141.218.60.56/~jnz1568/getInfo.php?workbook=12_04.xlsx&amp;sheet=U0&amp;row=7006&amp;col=7&amp;number=0.00872&amp;sourceID=14","0.00872")</f>
        <v>0.00872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HYPERLINK("http://141.218.60.56/~jnz1568/getInfo.php?workbook=12_04.xlsx&amp;sheet=U0&amp;row=7007&amp;col=6&amp;number=3.3&amp;sourceID=14","3.3")</f>
        <v>3.3</v>
      </c>
      <c r="G7007" s="4" t="str">
        <f>HYPERLINK("http://141.218.60.56/~jnz1568/getInfo.php?workbook=12_04.xlsx&amp;sheet=U0&amp;row=7007&amp;col=7&amp;number=0.00867&amp;sourceID=14","0.00867")</f>
        <v>0.00867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HYPERLINK("http://141.218.60.56/~jnz1568/getInfo.php?workbook=12_04.xlsx&amp;sheet=U0&amp;row=7008&amp;col=6&amp;number=3.4&amp;sourceID=14","3.4")</f>
        <v>3.4</v>
      </c>
      <c r="G7008" s="4" t="str">
        <f>HYPERLINK("http://141.218.60.56/~jnz1568/getInfo.php?workbook=12_04.xlsx&amp;sheet=U0&amp;row=7008&amp;col=7&amp;number=0.0086&amp;sourceID=14","0.0086")</f>
        <v>0.0086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HYPERLINK("http://141.218.60.56/~jnz1568/getInfo.php?workbook=12_04.xlsx&amp;sheet=U0&amp;row=7009&amp;col=6&amp;number=3.5&amp;sourceID=14","3.5")</f>
        <v>3.5</v>
      </c>
      <c r="G7009" s="4" t="str">
        <f>HYPERLINK("http://141.218.60.56/~jnz1568/getInfo.php?workbook=12_04.xlsx&amp;sheet=U0&amp;row=7009&amp;col=7&amp;number=0.00852&amp;sourceID=14","0.00852")</f>
        <v>0.00852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HYPERLINK("http://141.218.60.56/~jnz1568/getInfo.php?workbook=12_04.xlsx&amp;sheet=U0&amp;row=7010&amp;col=6&amp;number=3.6&amp;sourceID=14","3.6")</f>
        <v>3.6</v>
      </c>
      <c r="G7010" s="4" t="str">
        <f>HYPERLINK("http://141.218.60.56/~jnz1568/getInfo.php?workbook=12_04.xlsx&amp;sheet=U0&amp;row=7010&amp;col=7&amp;number=0.00842&amp;sourceID=14","0.00842")</f>
        <v>0.00842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HYPERLINK("http://141.218.60.56/~jnz1568/getInfo.php?workbook=12_04.xlsx&amp;sheet=U0&amp;row=7011&amp;col=6&amp;number=3.7&amp;sourceID=14","3.7")</f>
        <v>3.7</v>
      </c>
      <c r="G7011" s="4" t="str">
        <f>HYPERLINK("http://141.218.60.56/~jnz1568/getInfo.php?workbook=12_04.xlsx&amp;sheet=U0&amp;row=7011&amp;col=7&amp;number=0.00829&amp;sourceID=14","0.00829")</f>
        <v>0.00829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HYPERLINK("http://141.218.60.56/~jnz1568/getInfo.php?workbook=12_04.xlsx&amp;sheet=U0&amp;row=7012&amp;col=6&amp;number=3.8&amp;sourceID=14","3.8")</f>
        <v>3.8</v>
      </c>
      <c r="G7012" s="4" t="str">
        <f>HYPERLINK("http://141.218.60.56/~jnz1568/getInfo.php?workbook=12_04.xlsx&amp;sheet=U0&amp;row=7012&amp;col=7&amp;number=0.00813&amp;sourceID=14","0.00813")</f>
        <v>0.00813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HYPERLINK("http://141.218.60.56/~jnz1568/getInfo.php?workbook=12_04.xlsx&amp;sheet=U0&amp;row=7013&amp;col=6&amp;number=3.9&amp;sourceID=14","3.9")</f>
        <v>3.9</v>
      </c>
      <c r="G7013" s="4" t="str">
        <f>HYPERLINK("http://141.218.60.56/~jnz1568/getInfo.php?workbook=12_04.xlsx&amp;sheet=U0&amp;row=7013&amp;col=7&amp;number=0.00793&amp;sourceID=14","0.00793")</f>
        <v>0.00793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HYPERLINK("http://141.218.60.56/~jnz1568/getInfo.php?workbook=12_04.xlsx&amp;sheet=U0&amp;row=7014&amp;col=6&amp;number=4&amp;sourceID=14","4")</f>
        <v>4</v>
      </c>
      <c r="G7014" s="4" t="str">
        <f>HYPERLINK("http://141.218.60.56/~jnz1568/getInfo.php?workbook=12_04.xlsx&amp;sheet=U0&amp;row=7014&amp;col=7&amp;number=0.00769&amp;sourceID=14","0.00769")</f>
        <v>0.00769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HYPERLINK("http://141.218.60.56/~jnz1568/getInfo.php?workbook=12_04.xlsx&amp;sheet=U0&amp;row=7015&amp;col=6&amp;number=4.1&amp;sourceID=14","4.1")</f>
        <v>4.1</v>
      </c>
      <c r="G7015" s="4" t="str">
        <f>HYPERLINK("http://141.218.60.56/~jnz1568/getInfo.php?workbook=12_04.xlsx&amp;sheet=U0&amp;row=7015&amp;col=7&amp;number=0.00739&amp;sourceID=14","0.00739")</f>
        <v>0.00739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HYPERLINK("http://141.218.60.56/~jnz1568/getInfo.php?workbook=12_04.xlsx&amp;sheet=U0&amp;row=7016&amp;col=6&amp;number=4.2&amp;sourceID=14","4.2")</f>
        <v>4.2</v>
      </c>
      <c r="G7016" s="4" t="str">
        <f>HYPERLINK("http://141.218.60.56/~jnz1568/getInfo.php?workbook=12_04.xlsx&amp;sheet=U0&amp;row=7016&amp;col=7&amp;number=0.00703&amp;sourceID=14","0.00703")</f>
        <v>0.00703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HYPERLINK("http://141.218.60.56/~jnz1568/getInfo.php?workbook=12_04.xlsx&amp;sheet=U0&amp;row=7017&amp;col=6&amp;number=4.3&amp;sourceID=14","4.3")</f>
        <v>4.3</v>
      </c>
      <c r="G7017" s="4" t="str">
        <f>HYPERLINK("http://141.218.60.56/~jnz1568/getInfo.php?workbook=12_04.xlsx&amp;sheet=U0&amp;row=7017&amp;col=7&amp;number=0.0066&amp;sourceID=14","0.0066")</f>
        <v>0.0066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HYPERLINK("http://141.218.60.56/~jnz1568/getInfo.php?workbook=12_04.xlsx&amp;sheet=U0&amp;row=7018&amp;col=6&amp;number=4.4&amp;sourceID=14","4.4")</f>
        <v>4.4</v>
      </c>
      <c r="G7018" s="4" t="str">
        <f>HYPERLINK("http://141.218.60.56/~jnz1568/getInfo.php?workbook=12_04.xlsx&amp;sheet=U0&amp;row=7018&amp;col=7&amp;number=0.0061&amp;sourceID=14","0.0061")</f>
        <v>0.0061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HYPERLINK("http://141.218.60.56/~jnz1568/getInfo.php?workbook=12_04.xlsx&amp;sheet=U0&amp;row=7019&amp;col=6&amp;number=4.5&amp;sourceID=14","4.5")</f>
        <v>4.5</v>
      </c>
      <c r="G7019" s="4" t="str">
        <f>HYPERLINK("http://141.218.60.56/~jnz1568/getInfo.php?workbook=12_04.xlsx&amp;sheet=U0&amp;row=7019&amp;col=7&amp;number=0.00553&amp;sourceID=14","0.00553")</f>
        <v>0.00553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HYPERLINK("http://141.218.60.56/~jnz1568/getInfo.php?workbook=12_04.xlsx&amp;sheet=U0&amp;row=7020&amp;col=6&amp;number=4.6&amp;sourceID=14","4.6")</f>
        <v>4.6</v>
      </c>
      <c r="G7020" s="4" t="str">
        <f>HYPERLINK("http://141.218.60.56/~jnz1568/getInfo.php?workbook=12_04.xlsx&amp;sheet=U0&amp;row=7020&amp;col=7&amp;number=0.00494&amp;sourceID=14","0.00494")</f>
        <v>0.00494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HYPERLINK("http://141.218.60.56/~jnz1568/getInfo.php?workbook=12_04.xlsx&amp;sheet=U0&amp;row=7021&amp;col=6&amp;number=4.7&amp;sourceID=14","4.7")</f>
        <v>4.7</v>
      </c>
      <c r="G7021" s="4" t="str">
        <f>HYPERLINK("http://141.218.60.56/~jnz1568/getInfo.php?workbook=12_04.xlsx&amp;sheet=U0&amp;row=7021&amp;col=7&amp;number=0.00438&amp;sourceID=14","0.00438")</f>
        <v>0.00438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HYPERLINK("http://141.218.60.56/~jnz1568/getInfo.php?workbook=12_04.xlsx&amp;sheet=U0&amp;row=7022&amp;col=6&amp;number=4.8&amp;sourceID=14","4.8")</f>
        <v>4.8</v>
      </c>
      <c r="G7022" s="4" t="str">
        <f>HYPERLINK("http://141.218.60.56/~jnz1568/getInfo.php?workbook=12_04.xlsx&amp;sheet=U0&amp;row=7022&amp;col=7&amp;number=0.00393&amp;sourceID=14","0.00393")</f>
        <v>0.00393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HYPERLINK("http://141.218.60.56/~jnz1568/getInfo.php?workbook=12_04.xlsx&amp;sheet=U0&amp;row=7023&amp;col=6&amp;number=4.9&amp;sourceID=14","4.9")</f>
        <v>4.9</v>
      </c>
      <c r="G7023" s="4" t="str">
        <f>HYPERLINK("http://141.218.60.56/~jnz1568/getInfo.php?workbook=12_04.xlsx&amp;sheet=U0&amp;row=7023&amp;col=7&amp;number=0.00361&amp;sourceID=14","0.00361")</f>
        <v>0.00361</v>
      </c>
    </row>
    <row r="7024" spans="1:7">
      <c r="A7024" s="3">
        <v>12</v>
      </c>
      <c r="B7024" s="3">
        <v>4</v>
      </c>
      <c r="C7024" s="3">
        <v>4</v>
      </c>
      <c r="D7024" s="3">
        <v>68</v>
      </c>
      <c r="E7024" s="3">
        <v>1</v>
      </c>
      <c r="F7024" s="4" t="str">
        <f>HYPERLINK("http://141.218.60.56/~jnz1568/getInfo.php?workbook=12_04.xlsx&amp;sheet=U0&amp;row=7024&amp;col=6&amp;number=3&amp;sourceID=14","3")</f>
        <v>3</v>
      </c>
      <c r="G7024" s="4" t="str">
        <f>HYPERLINK("http://141.218.60.56/~jnz1568/getInfo.php?workbook=12_04.xlsx&amp;sheet=U0&amp;row=7024&amp;col=7&amp;number=0.0261&amp;sourceID=14","0.0261")</f>
        <v>0.0261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HYPERLINK("http://141.218.60.56/~jnz1568/getInfo.php?workbook=12_04.xlsx&amp;sheet=U0&amp;row=7025&amp;col=6&amp;number=3.1&amp;sourceID=14","3.1")</f>
        <v>3.1</v>
      </c>
      <c r="G7025" s="4" t="str">
        <f>HYPERLINK("http://141.218.60.56/~jnz1568/getInfo.php?workbook=12_04.xlsx&amp;sheet=U0&amp;row=7025&amp;col=7&amp;number=0.0261&amp;sourceID=14","0.0261")</f>
        <v>0.0261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HYPERLINK("http://141.218.60.56/~jnz1568/getInfo.php?workbook=12_04.xlsx&amp;sheet=U0&amp;row=7026&amp;col=6&amp;number=3.2&amp;sourceID=14","3.2")</f>
        <v>3.2</v>
      </c>
      <c r="G7026" s="4" t="str">
        <f>HYPERLINK("http://141.218.60.56/~jnz1568/getInfo.php?workbook=12_04.xlsx&amp;sheet=U0&amp;row=7026&amp;col=7&amp;number=0.0261&amp;sourceID=14","0.0261")</f>
        <v>0.0261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HYPERLINK("http://141.218.60.56/~jnz1568/getInfo.php?workbook=12_04.xlsx&amp;sheet=U0&amp;row=7027&amp;col=6&amp;number=3.3&amp;sourceID=14","3.3")</f>
        <v>3.3</v>
      </c>
      <c r="G7027" s="4" t="str">
        <f>HYPERLINK("http://141.218.60.56/~jnz1568/getInfo.php?workbook=12_04.xlsx&amp;sheet=U0&amp;row=7027&amp;col=7&amp;number=0.026&amp;sourceID=14","0.026")</f>
        <v>0.026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HYPERLINK("http://141.218.60.56/~jnz1568/getInfo.php?workbook=12_04.xlsx&amp;sheet=U0&amp;row=7028&amp;col=6&amp;number=3.4&amp;sourceID=14","3.4")</f>
        <v>3.4</v>
      </c>
      <c r="G7028" s="4" t="str">
        <f>HYPERLINK("http://141.218.60.56/~jnz1568/getInfo.php?workbook=12_04.xlsx&amp;sheet=U0&amp;row=7028&amp;col=7&amp;number=0.026&amp;sourceID=14","0.026")</f>
        <v>0.026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HYPERLINK("http://141.218.60.56/~jnz1568/getInfo.php?workbook=12_04.xlsx&amp;sheet=U0&amp;row=7029&amp;col=6&amp;number=3.5&amp;sourceID=14","3.5")</f>
        <v>3.5</v>
      </c>
      <c r="G7029" s="4" t="str">
        <f>HYPERLINK("http://141.218.60.56/~jnz1568/getInfo.php?workbook=12_04.xlsx&amp;sheet=U0&amp;row=7029&amp;col=7&amp;number=0.0259&amp;sourceID=14","0.0259")</f>
        <v>0.0259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HYPERLINK("http://141.218.60.56/~jnz1568/getInfo.php?workbook=12_04.xlsx&amp;sheet=U0&amp;row=7030&amp;col=6&amp;number=3.6&amp;sourceID=14","3.6")</f>
        <v>3.6</v>
      </c>
      <c r="G7030" s="4" t="str">
        <f>HYPERLINK("http://141.218.60.56/~jnz1568/getInfo.php?workbook=12_04.xlsx&amp;sheet=U0&amp;row=7030&amp;col=7&amp;number=0.0259&amp;sourceID=14","0.0259")</f>
        <v>0.0259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HYPERLINK("http://141.218.60.56/~jnz1568/getInfo.php?workbook=12_04.xlsx&amp;sheet=U0&amp;row=7031&amp;col=6&amp;number=3.7&amp;sourceID=14","3.7")</f>
        <v>3.7</v>
      </c>
      <c r="G7031" s="4" t="str">
        <f>HYPERLINK("http://141.218.60.56/~jnz1568/getInfo.php?workbook=12_04.xlsx&amp;sheet=U0&amp;row=7031&amp;col=7&amp;number=0.0258&amp;sourceID=14","0.0258")</f>
        <v>0.0258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HYPERLINK("http://141.218.60.56/~jnz1568/getInfo.php?workbook=12_04.xlsx&amp;sheet=U0&amp;row=7032&amp;col=6&amp;number=3.8&amp;sourceID=14","3.8")</f>
        <v>3.8</v>
      </c>
      <c r="G7032" s="4" t="str">
        <f>HYPERLINK("http://141.218.60.56/~jnz1568/getInfo.php?workbook=12_04.xlsx&amp;sheet=U0&amp;row=7032&amp;col=7&amp;number=0.0257&amp;sourceID=14","0.0257")</f>
        <v>0.0257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HYPERLINK("http://141.218.60.56/~jnz1568/getInfo.php?workbook=12_04.xlsx&amp;sheet=U0&amp;row=7033&amp;col=6&amp;number=3.9&amp;sourceID=14","3.9")</f>
        <v>3.9</v>
      </c>
      <c r="G7033" s="4" t="str">
        <f>HYPERLINK("http://141.218.60.56/~jnz1568/getInfo.php?workbook=12_04.xlsx&amp;sheet=U0&amp;row=7033&amp;col=7&amp;number=0.0255&amp;sourceID=14","0.0255")</f>
        <v>0.0255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HYPERLINK("http://141.218.60.56/~jnz1568/getInfo.php?workbook=12_04.xlsx&amp;sheet=U0&amp;row=7034&amp;col=6&amp;number=4&amp;sourceID=14","4")</f>
        <v>4</v>
      </c>
      <c r="G7034" s="4" t="str">
        <f>HYPERLINK("http://141.218.60.56/~jnz1568/getInfo.php?workbook=12_04.xlsx&amp;sheet=U0&amp;row=7034&amp;col=7&amp;number=0.0254&amp;sourceID=14","0.0254")</f>
        <v>0.0254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HYPERLINK("http://141.218.60.56/~jnz1568/getInfo.php?workbook=12_04.xlsx&amp;sheet=U0&amp;row=7035&amp;col=6&amp;number=4.1&amp;sourceID=14","4.1")</f>
        <v>4.1</v>
      </c>
      <c r="G7035" s="4" t="str">
        <f>HYPERLINK("http://141.218.60.56/~jnz1568/getInfo.php?workbook=12_04.xlsx&amp;sheet=U0&amp;row=7035&amp;col=7&amp;number=0.0251&amp;sourceID=14","0.0251")</f>
        <v>0.0251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HYPERLINK("http://141.218.60.56/~jnz1568/getInfo.php?workbook=12_04.xlsx&amp;sheet=U0&amp;row=7036&amp;col=6&amp;number=4.2&amp;sourceID=14","4.2")</f>
        <v>4.2</v>
      </c>
      <c r="G7036" s="4" t="str">
        <f>HYPERLINK("http://141.218.60.56/~jnz1568/getInfo.php?workbook=12_04.xlsx&amp;sheet=U0&amp;row=7036&amp;col=7&amp;number=0.0249&amp;sourceID=14","0.0249")</f>
        <v>0.0249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HYPERLINK("http://141.218.60.56/~jnz1568/getInfo.php?workbook=12_04.xlsx&amp;sheet=U0&amp;row=7037&amp;col=6&amp;number=4.3&amp;sourceID=14","4.3")</f>
        <v>4.3</v>
      </c>
      <c r="G7037" s="4" t="str">
        <f>HYPERLINK("http://141.218.60.56/~jnz1568/getInfo.php?workbook=12_04.xlsx&amp;sheet=U0&amp;row=7037&amp;col=7&amp;number=0.0245&amp;sourceID=14","0.0245")</f>
        <v>0.0245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HYPERLINK("http://141.218.60.56/~jnz1568/getInfo.php?workbook=12_04.xlsx&amp;sheet=U0&amp;row=7038&amp;col=6&amp;number=4.4&amp;sourceID=14","4.4")</f>
        <v>4.4</v>
      </c>
      <c r="G7038" s="4" t="str">
        <f>HYPERLINK("http://141.218.60.56/~jnz1568/getInfo.php?workbook=12_04.xlsx&amp;sheet=U0&amp;row=7038&amp;col=7&amp;number=0.0241&amp;sourceID=14","0.0241")</f>
        <v>0.0241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HYPERLINK("http://141.218.60.56/~jnz1568/getInfo.php?workbook=12_04.xlsx&amp;sheet=U0&amp;row=7039&amp;col=6&amp;number=4.5&amp;sourceID=14","4.5")</f>
        <v>4.5</v>
      </c>
      <c r="G7039" s="4" t="str">
        <f>HYPERLINK("http://141.218.60.56/~jnz1568/getInfo.php?workbook=12_04.xlsx&amp;sheet=U0&amp;row=7039&amp;col=7&amp;number=0.0236&amp;sourceID=14","0.0236")</f>
        <v>0.0236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HYPERLINK("http://141.218.60.56/~jnz1568/getInfo.php?workbook=12_04.xlsx&amp;sheet=U0&amp;row=7040&amp;col=6&amp;number=4.6&amp;sourceID=14","4.6")</f>
        <v>4.6</v>
      </c>
      <c r="G7040" s="4" t="str">
        <f>HYPERLINK("http://141.218.60.56/~jnz1568/getInfo.php?workbook=12_04.xlsx&amp;sheet=U0&amp;row=7040&amp;col=7&amp;number=0.023&amp;sourceID=14","0.023")</f>
        <v>0.023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HYPERLINK("http://141.218.60.56/~jnz1568/getInfo.php?workbook=12_04.xlsx&amp;sheet=U0&amp;row=7041&amp;col=6&amp;number=4.7&amp;sourceID=14","4.7")</f>
        <v>4.7</v>
      </c>
      <c r="G7041" s="4" t="str">
        <f>HYPERLINK("http://141.218.60.56/~jnz1568/getInfo.php?workbook=12_04.xlsx&amp;sheet=U0&amp;row=7041&amp;col=7&amp;number=0.0222&amp;sourceID=14","0.0222")</f>
        <v>0.0222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HYPERLINK("http://141.218.60.56/~jnz1568/getInfo.php?workbook=12_04.xlsx&amp;sheet=U0&amp;row=7042&amp;col=6&amp;number=4.8&amp;sourceID=14","4.8")</f>
        <v>4.8</v>
      </c>
      <c r="G7042" s="4" t="str">
        <f>HYPERLINK("http://141.218.60.56/~jnz1568/getInfo.php?workbook=12_04.xlsx&amp;sheet=U0&amp;row=7042&amp;col=7&amp;number=0.0212&amp;sourceID=14","0.0212")</f>
        <v>0.0212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HYPERLINK("http://141.218.60.56/~jnz1568/getInfo.php?workbook=12_04.xlsx&amp;sheet=U0&amp;row=7043&amp;col=6&amp;number=4.9&amp;sourceID=14","4.9")</f>
        <v>4.9</v>
      </c>
      <c r="G7043" s="4" t="str">
        <f>HYPERLINK("http://141.218.60.56/~jnz1568/getInfo.php?workbook=12_04.xlsx&amp;sheet=U0&amp;row=7043&amp;col=7&amp;number=0.0201&amp;sourceID=14","0.0201")</f>
        <v>0.0201</v>
      </c>
    </row>
    <row r="7044" spans="1:7">
      <c r="A7044" s="3">
        <v>12</v>
      </c>
      <c r="B7044" s="3">
        <v>4</v>
      </c>
      <c r="C7044" s="3">
        <v>4</v>
      </c>
      <c r="D7044" s="3">
        <v>69</v>
      </c>
      <c r="E7044" s="3">
        <v>1</v>
      </c>
      <c r="F7044" s="4" t="str">
        <f>HYPERLINK("http://141.218.60.56/~jnz1568/getInfo.php?workbook=12_04.xlsx&amp;sheet=U0&amp;row=7044&amp;col=6&amp;number=3&amp;sourceID=14","3")</f>
        <v>3</v>
      </c>
      <c r="G7044" s="4" t="str">
        <f>HYPERLINK("http://141.218.60.56/~jnz1568/getInfo.php?workbook=12_04.xlsx&amp;sheet=U0&amp;row=7044&amp;col=7&amp;number=0.00546&amp;sourceID=14","0.00546")</f>
        <v>0.00546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HYPERLINK("http://141.218.60.56/~jnz1568/getInfo.php?workbook=12_04.xlsx&amp;sheet=U0&amp;row=7045&amp;col=6&amp;number=3.1&amp;sourceID=14","3.1")</f>
        <v>3.1</v>
      </c>
      <c r="G7045" s="4" t="str">
        <f>HYPERLINK("http://141.218.60.56/~jnz1568/getInfo.php?workbook=12_04.xlsx&amp;sheet=U0&amp;row=7045&amp;col=7&amp;number=0.00545&amp;sourceID=14","0.00545")</f>
        <v>0.00545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HYPERLINK("http://141.218.60.56/~jnz1568/getInfo.php?workbook=12_04.xlsx&amp;sheet=U0&amp;row=7046&amp;col=6&amp;number=3.2&amp;sourceID=14","3.2")</f>
        <v>3.2</v>
      </c>
      <c r="G7046" s="4" t="str">
        <f>HYPERLINK("http://141.218.60.56/~jnz1568/getInfo.php?workbook=12_04.xlsx&amp;sheet=U0&amp;row=7046&amp;col=7&amp;number=0.00545&amp;sourceID=14","0.00545")</f>
        <v>0.00545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HYPERLINK("http://141.218.60.56/~jnz1568/getInfo.php?workbook=12_04.xlsx&amp;sheet=U0&amp;row=7047&amp;col=6&amp;number=3.3&amp;sourceID=14","3.3")</f>
        <v>3.3</v>
      </c>
      <c r="G7047" s="4" t="str">
        <f>HYPERLINK("http://141.218.60.56/~jnz1568/getInfo.php?workbook=12_04.xlsx&amp;sheet=U0&amp;row=7047&amp;col=7&amp;number=0.00544&amp;sourceID=14","0.00544")</f>
        <v>0.00544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HYPERLINK("http://141.218.60.56/~jnz1568/getInfo.php?workbook=12_04.xlsx&amp;sheet=U0&amp;row=7048&amp;col=6&amp;number=3.4&amp;sourceID=14","3.4")</f>
        <v>3.4</v>
      </c>
      <c r="G7048" s="4" t="str">
        <f>HYPERLINK("http://141.218.60.56/~jnz1568/getInfo.php?workbook=12_04.xlsx&amp;sheet=U0&amp;row=7048&amp;col=7&amp;number=0.00543&amp;sourceID=14","0.00543")</f>
        <v>0.00543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HYPERLINK("http://141.218.60.56/~jnz1568/getInfo.php?workbook=12_04.xlsx&amp;sheet=U0&amp;row=7049&amp;col=6&amp;number=3.5&amp;sourceID=14","3.5")</f>
        <v>3.5</v>
      </c>
      <c r="G7049" s="4" t="str">
        <f>HYPERLINK("http://141.218.60.56/~jnz1568/getInfo.php?workbook=12_04.xlsx&amp;sheet=U0&amp;row=7049&amp;col=7&amp;number=0.00541&amp;sourceID=14","0.00541")</f>
        <v>0.00541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HYPERLINK("http://141.218.60.56/~jnz1568/getInfo.php?workbook=12_04.xlsx&amp;sheet=U0&amp;row=7050&amp;col=6&amp;number=3.6&amp;sourceID=14","3.6")</f>
        <v>3.6</v>
      </c>
      <c r="G7050" s="4" t="str">
        <f>HYPERLINK("http://141.218.60.56/~jnz1568/getInfo.php?workbook=12_04.xlsx&amp;sheet=U0&amp;row=7050&amp;col=7&amp;number=0.00539&amp;sourceID=14","0.00539")</f>
        <v>0.00539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HYPERLINK("http://141.218.60.56/~jnz1568/getInfo.php?workbook=12_04.xlsx&amp;sheet=U0&amp;row=7051&amp;col=6&amp;number=3.7&amp;sourceID=14","3.7")</f>
        <v>3.7</v>
      </c>
      <c r="G7051" s="4" t="str">
        <f>HYPERLINK("http://141.218.60.56/~jnz1568/getInfo.php?workbook=12_04.xlsx&amp;sheet=U0&amp;row=7051&amp;col=7&amp;number=0.00537&amp;sourceID=14","0.00537")</f>
        <v>0.00537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HYPERLINK("http://141.218.60.56/~jnz1568/getInfo.php?workbook=12_04.xlsx&amp;sheet=U0&amp;row=7052&amp;col=6&amp;number=3.8&amp;sourceID=14","3.8")</f>
        <v>3.8</v>
      </c>
      <c r="G7052" s="4" t="str">
        <f>HYPERLINK("http://141.218.60.56/~jnz1568/getInfo.php?workbook=12_04.xlsx&amp;sheet=U0&amp;row=7052&amp;col=7&amp;number=0.00534&amp;sourceID=14","0.00534")</f>
        <v>0.00534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HYPERLINK("http://141.218.60.56/~jnz1568/getInfo.php?workbook=12_04.xlsx&amp;sheet=U0&amp;row=7053&amp;col=6&amp;number=3.9&amp;sourceID=14","3.9")</f>
        <v>3.9</v>
      </c>
      <c r="G7053" s="4" t="str">
        <f>HYPERLINK("http://141.218.60.56/~jnz1568/getInfo.php?workbook=12_04.xlsx&amp;sheet=U0&amp;row=7053&amp;col=7&amp;number=0.0053&amp;sourceID=14","0.0053")</f>
        <v>0.0053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HYPERLINK("http://141.218.60.56/~jnz1568/getInfo.php?workbook=12_04.xlsx&amp;sheet=U0&amp;row=7054&amp;col=6&amp;number=4&amp;sourceID=14","4")</f>
        <v>4</v>
      </c>
      <c r="G7054" s="4" t="str">
        <f>HYPERLINK("http://141.218.60.56/~jnz1568/getInfo.php?workbook=12_04.xlsx&amp;sheet=U0&amp;row=7054&amp;col=7&amp;number=0.00526&amp;sourceID=14","0.00526")</f>
        <v>0.00526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HYPERLINK("http://141.218.60.56/~jnz1568/getInfo.php?workbook=12_04.xlsx&amp;sheet=U0&amp;row=7055&amp;col=6&amp;number=4.1&amp;sourceID=14","4.1")</f>
        <v>4.1</v>
      </c>
      <c r="G7055" s="4" t="str">
        <f>HYPERLINK("http://141.218.60.56/~jnz1568/getInfo.php?workbook=12_04.xlsx&amp;sheet=U0&amp;row=7055&amp;col=7&amp;number=0.0052&amp;sourceID=14","0.0052")</f>
        <v>0.0052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HYPERLINK("http://141.218.60.56/~jnz1568/getInfo.php?workbook=12_04.xlsx&amp;sheet=U0&amp;row=7056&amp;col=6&amp;number=4.2&amp;sourceID=14","4.2")</f>
        <v>4.2</v>
      </c>
      <c r="G7056" s="4" t="str">
        <f>HYPERLINK("http://141.218.60.56/~jnz1568/getInfo.php?workbook=12_04.xlsx&amp;sheet=U0&amp;row=7056&amp;col=7&amp;number=0.00513&amp;sourceID=14","0.00513")</f>
        <v>0.00513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HYPERLINK("http://141.218.60.56/~jnz1568/getInfo.php?workbook=12_04.xlsx&amp;sheet=U0&amp;row=7057&amp;col=6&amp;number=4.3&amp;sourceID=14","4.3")</f>
        <v>4.3</v>
      </c>
      <c r="G7057" s="4" t="str">
        <f>HYPERLINK("http://141.218.60.56/~jnz1568/getInfo.php?workbook=12_04.xlsx&amp;sheet=U0&amp;row=7057&amp;col=7&amp;number=0.00504&amp;sourceID=14","0.00504")</f>
        <v>0.00504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HYPERLINK("http://141.218.60.56/~jnz1568/getInfo.php?workbook=12_04.xlsx&amp;sheet=U0&amp;row=7058&amp;col=6&amp;number=4.4&amp;sourceID=14","4.4")</f>
        <v>4.4</v>
      </c>
      <c r="G7058" s="4" t="str">
        <f>HYPERLINK("http://141.218.60.56/~jnz1568/getInfo.php?workbook=12_04.xlsx&amp;sheet=U0&amp;row=7058&amp;col=7&amp;number=0.00493&amp;sourceID=14","0.00493")</f>
        <v>0.00493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HYPERLINK("http://141.218.60.56/~jnz1568/getInfo.php?workbook=12_04.xlsx&amp;sheet=U0&amp;row=7059&amp;col=6&amp;number=4.5&amp;sourceID=14","4.5")</f>
        <v>4.5</v>
      </c>
      <c r="G7059" s="4" t="str">
        <f>HYPERLINK("http://141.218.60.56/~jnz1568/getInfo.php?workbook=12_04.xlsx&amp;sheet=U0&amp;row=7059&amp;col=7&amp;number=0.00479&amp;sourceID=14","0.00479")</f>
        <v>0.00479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HYPERLINK("http://141.218.60.56/~jnz1568/getInfo.php?workbook=12_04.xlsx&amp;sheet=U0&amp;row=7060&amp;col=6&amp;number=4.6&amp;sourceID=14","4.6")</f>
        <v>4.6</v>
      </c>
      <c r="G7060" s="4" t="str">
        <f>HYPERLINK("http://141.218.60.56/~jnz1568/getInfo.php?workbook=12_04.xlsx&amp;sheet=U0&amp;row=7060&amp;col=7&amp;number=0.00461&amp;sourceID=14","0.00461")</f>
        <v>0.00461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HYPERLINK("http://141.218.60.56/~jnz1568/getInfo.php?workbook=12_04.xlsx&amp;sheet=U0&amp;row=7061&amp;col=6&amp;number=4.7&amp;sourceID=14","4.7")</f>
        <v>4.7</v>
      </c>
      <c r="G7061" s="4" t="str">
        <f>HYPERLINK("http://141.218.60.56/~jnz1568/getInfo.php?workbook=12_04.xlsx&amp;sheet=U0&amp;row=7061&amp;col=7&amp;number=0.0044&amp;sourceID=14","0.0044")</f>
        <v>0.0044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HYPERLINK("http://141.218.60.56/~jnz1568/getInfo.php?workbook=12_04.xlsx&amp;sheet=U0&amp;row=7062&amp;col=6&amp;number=4.8&amp;sourceID=14","4.8")</f>
        <v>4.8</v>
      </c>
      <c r="G7062" s="4" t="str">
        <f>HYPERLINK("http://141.218.60.56/~jnz1568/getInfo.php?workbook=12_04.xlsx&amp;sheet=U0&amp;row=7062&amp;col=7&amp;number=0.00414&amp;sourceID=14","0.00414")</f>
        <v>0.00414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HYPERLINK("http://141.218.60.56/~jnz1568/getInfo.php?workbook=12_04.xlsx&amp;sheet=U0&amp;row=7063&amp;col=6&amp;number=4.9&amp;sourceID=14","4.9")</f>
        <v>4.9</v>
      </c>
      <c r="G7063" s="4" t="str">
        <f>HYPERLINK("http://141.218.60.56/~jnz1568/getInfo.php?workbook=12_04.xlsx&amp;sheet=U0&amp;row=7063&amp;col=7&amp;number=0.00383&amp;sourceID=14","0.00383")</f>
        <v>0.00383</v>
      </c>
    </row>
    <row r="7064" spans="1:7">
      <c r="A7064" s="3">
        <v>12</v>
      </c>
      <c r="B7064" s="3">
        <v>4</v>
      </c>
      <c r="C7064" s="3">
        <v>4</v>
      </c>
      <c r="D7064" s="3">
        <v>70</v>
      </c>
      <c r="E7064" s="3">
        <v>1</v>
      </c>
      <c r="F7064" s="4" t="str">
        <f>HYPERLINK("http://141.218.60.56/~jnz1568/getInfo.php?workbook=12_04.xlsx&amp;sheet=U0&amp;row=7064&amp;col=6&amp;number=3&amp;sourceID=14","3")</f>
        <v>3</v>
      </c>
      <c r="G7064" s="4" t="str">
        <f>HYPERLINK("http://141.218.60.56/~jnz1568/getInfo.php?workbook=12_04.xlsx&amp;sheet=U0&amp;row=7064&amp;col=7&amp;number=0.000949&amp;sourceID=14","0.000949")</f>
        <v>0.000949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HYPERLINK("http://141.218.60.56/~jnz1568/getInfo.php?workbook=12_04.xlsx&amp;sheet=U0&amp;row=7065&amp;col=6&amp;number=3.1&amp;sourceID=14","3.1")</f>
        <v>3.1</v>
      </c>
      <c r="G7065" s="4" t="str">
        <f>HYPERLINK("http://141.218.60.56/~jnz1568/getInfo.php?workbook=12_04.xlsx&amp;sheet=U0&amp;row=7065&amp;col=7&amp;number=0.000948&amp;sourceID=14","0.000948")</f>
        <v>0.000948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HYPERLINK("http://141.218.60.56/~jnz1568/getInfo.php?workbook=12_04.xlsx&amp;sheet=U0&amp;row=7066&amp;col=6&amp;number=3.2&amp;sourceID=14","3.2")</f>
        <v>3.2</v>
      </c>
      <c r="G7066" s="4" t="str">
        <f>HYPERLINK("http://141.218.60.56/~jnz1568/getInfo.php?workbook=12_04.xlsx&amp;sheet=U0&amp;row=7066&amp;col=7&amp;number=0.000946&amp;sourceID=14","0.000946")</f>
        <v>0.000946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HYPERLINK("http://141.218.60.56/~jnz1568/getInfo.php?workbook=12_04.xlsx&amp;sheet=U0&amp;row=7067&amp;col=6&amp;number=3.3&amp;sourceID=14","3.3")</f>
        <v>3.3</v>
      </c>
      <c r="G7067" s="4" t="str">
        <f>HYPERLINK("http://141.218.60.56/~jnz1568/getInfo.php?workbook=12_04.xlsx&amp;sheet=U0&amp;row=7067&amp;col=7&amp;number=0.000944&amp;sourceID=14","0.000944")</f>
        <v>0.000944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HYPERLINK("http://141.218.60.56/~jnz1568/getInfo.php?workbook=12_04.xlsx&amp;sheet=U0&amp;row=7068&amp;col=6&amp;number=3.4&amp;sourceID=14","3.4")</f>
        <v>3.4</v>
      </c>
      <c r="G7068" s="4" t="str">
        <f>HYPERLINK("http://141.218.60.56/~jnz1568/getInfo.php?workbook=12_04.xlsx&amp;sheet=U0&amp;row=7068&amp;col=7&amp;number=0.000942&amp;sourceID=14","0.000942")</f>
        <v>0.000942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HYPERLINK("http://141.218.60.56/~jnz1568/getInfo.php?workbook=12_04.xlsx&amp;sheet=U0&amp;row=7069&amp;col=6&amp;number=3.5&amp;sourceID=14","3.5")</f>
        <v>3.5</v>
      </c>
      <c r="G7069" s="4" t="str">
        <f>HYPERLINK("http://141.218.60.56/~jnz1568/getInfo.php?workbook=12_04.xlsx&amp;sheet=U0&amp;row=7069&amp;col=7&amp;number=0.000939&amp;sourceID=14","0.000939")</f>
        <v>0.000939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HYPERLINK("http://141.218.60.56/~jnz1568/getInfo.php?workbook=12_04.xlsx&amp;sheet=U0&amp;row=7070&amp;col=6&amp;number=3.6&amp;sourceID=14","3.6")</f>
        <v>3.6</v>
      </c>
      <c r="G7070" s="4" t="str">
        <f>HYPERLINK("http://141.218.60.56/~jnz1568/getInfo.php?workbook=12_04.xlsx&amp;sheet=U0&amp;row=7070&amp;col=7&amp;number=0.000935&amp;sourceID=14","0.000935")</f>
        <v>0.000935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HYPERLINK("http://141.218.60.56/~jnz1568/getInfo.php?workbook=12_04.xlsx&amp;sheet=U0&amp;row=7071&amp;col=6&amp;number=3.7&amp;sourceID=14","3.7")</f>
        <v>3.7</v>
      </c>
      <c r="G7071" s="4" t="str">
        <f>HYPERLINK("http://141.218.60.56/~jnz1568/getInfo.php?workbook=12_04.xlsx&amp;sheet=U0&amp;row=7071&amp;col=7&amp;number=0.00093&amp;sourceID=14","0.00093")</f>
        <v>0.00093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HYPERLINK("http://141.218.60.56/~jnz1568/getInfo.php?workbook=12_04.xlsx&amp;sheet=U0&amp;row=7072&amp;col=6&amp;number=3.8&amp;sourceID=14","3.8")</f>
        <v>3.8</v>
      </c>
      <c r="G7072" s="4" t="str">
        <f>HYPERLINK("http://141.218.60.56/~jnz1568/getInfo.php?workbook=12_04.xlsx&amp;sheet=U0&amp;row=7072&amp;col=7&amp;number=0.000924&amp;sourceID=14","0.000924")</f>
        <v>0.000924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HYPERLINK("http://141.218.60.56/~jnz1568/getInfo.php?workbook=12_04.xlsx&amp;sheet=U0&amp;row=7073&amp;col=6&amp;number=3.9&amp;sourceID=14","3.9")</f>
        <v>3.9</v>
      </c>
      <c r="G7073" s="4" t="str">
        <f>HYPERLINK("http://141.218.60.56/~jnz1568/getInfo.php?workbook=12_04.xlsx&amp;sheet=U0&amp;row=7073&amp;col=7&amp;number=0.000916&amp;sourceID=14","0.000916")</f>
        <v>0.000916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HYPERLINK("http://141.218.60.56/~jnz1568/getInfo.php?workbook=12_04.xlsx&amp;sheet=U0&amp;row=7074&amp;col=6&amp;number=4&amp;sourceID=14","4")</f>
        <v>4</v>
      </c>
      <c r="G7074" s="4" t="str">
        <f>HYPERLINK("http://141.218.60.56/~jnz1568/getInfo.php?workbook=12_04.xlsx&amp;sheet=U0&amp;row=7074&amp;col=7&amp;number=0.000906&amp;sourceID=14","0.000906")</f>
        <v>0.000906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HYPERLINK("http://141.218.60.56/~jnz1568/getInfo.php?workbook=12_04.xlsx&amp;sheet=U0&amp;row=7075&amp;col=6&amp;number=4.1&amp;sourceID=14","4.1")</f>
        <v>4.1</v>
      </c>
      <c r="G7075" s="4" t="str">
        <f>HYPERLINK("http://141.218.60.56/~jnz1568/getInfo.php?workbook=12_04.xlsx&amp;sheet=U0&amp;row=7075&amp;col=7&amp;number=0.000894&amp;sourceID=14","0.000894")</f>
        <v>0.000894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HYPERLINK("http://141.218.60.56/~jnz1568/getInfo.php?workbook=12_04.xlsx&amp;sheet=U0&amp;row=7076&amp;col=6&amp;number=4.2&amp;sourceID=14","4.2")</f>
        <v>4.2</v>
      </c>
      <c r="G7076" s="4" t="str">
        <f>HYPERLINK("http://141.218.60.56/~jnz1568/getInfo.php?workbook=12_04.xlsx&amp;sheet=U0&amp;row=7076&amp;col=7&amp;number=0.000878&amp;sourceID=14","0.000878")</f>
        <v>0.000878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HYPERLINK("http://141.218.60.56/~jnz1568/getInfo.php?workbook=12_04.xlsx&amp;sheet=U0&amp;row=7077&amp;col=6&amp;number=4.3&amp;sourceID=14","4.3")</f>
        <v>4.3</v>
      </c>
      <c r="G7077" s="4" t="str">
        <f>HYPERLINK("http://141.218.60.56/~jnz1568/getInfo.php?workbook=12_04.xlsx&amp;sheet=U0&amp;row=7077&amp;col=7&amp;number=0.000859&amp;sourceID=14","0.000859")</f>
        <v>0.000859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HYPERLINK("http://141.218.60.56/~jnz1568/getInfo.php?workbook=12_04.xlsx&amp;sheet=U0&amp;row=7078&amp;col=6&amp;number=4.4&amp;sourceID=14","4.4")</f>
        <v>4.4</v>
      </c>
      <c r="G7078" s="4" t="str">
        <f>HYPERLINK("http://141.218.60.56/~jnz1568/getInfo.php?workbook=12_04.xlsx&amp;sheet=U0&amp;row=7078&amp;col=7&amp;number=0.000835&amp;sourceID=14","0.000835")</f>
        <v>0.000835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HYPERLINK("http://141.218.60.56/~jnz1568/getInfo.php?workbook=12_04.xlsx&amp;sheet=U0&amp;row=7079&amp;col=6&amp;number=4.5&amp;sourceID=14","4.5")</f>
        <v>4.5</v>
      </c>
      <c r="G7079" s="4" t="str">
        <f>HYPERLINK("http://141.218.60.56/~jnz1568/getInfo.php?workbook=12_04.xlsx&amp;sheet=U0&amp;row=7079&amp;col=7&amp;number=0.000806&amp;sourceID=14","0.000806")</f>
        <v>0.000806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HYPERLINK("http://141.218.60.56/~jnz1568/getInfo.php?workbook=12_04.xlsx&amp;sheet=U0&amp;row=7080&amp;col=6&amp;number=4.6&amp;sourceID=14","4.6")</f>
        <v>4.6</v>
      </c>
      <c r="G7080" s="4" t="str">
        <f>HYPERLINK("http://141.218.60.56/~jnz1568/getInfo.php?workbook=12_04.xlsx&amp;sheet=U0&amp;row=7080&amp;col=7&amp;number=0.000769&amp;sourceID=14","0.000769")</f>
        <v>0.000769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HYPERLINK("http://141.218.60.56/~jnz1568/getInfo.php?workbook=12_04.xlsx&amp;sheet=U0&amp;row=7081&amp;col=6&amp;number=4.7&amp;sourceID=14","4.7")</f>
        <v>4.7</v>
      </c>
      <c r="G7081" s="4" t="str">
        <f>HYPERLINK("http://141.218.60.56/~jnz1568/getInfo.php?workbook=12_04.xlsx&amp;sheet=U0&amp;row=7081&amp;col=7&amp;number=0.000725&amp;sourceID=14","0.000725")</f>
        <v>0.000725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HYPERLINK("http://141.218.60.56/~jnz1568/getInfo.php?workbook=12_04.xlsx&amp;sheet=U0&amp;row=7082&amp;col=6&amp;number=4.8&amp;sourceID=14","4.8")</f>
        <v>4.8</v>
      </c>
      <c r="G7082" s="4" t="str">
        <f>HYPERLINK("http://141.218.60.56/~jnz1568/getInfo.php?workbook=12_04.xlsx&amp;sheet=U0&amp;row=7082&amp;col=7&amp;number=0.000672&amp;sourceID=14","0.000672")</f>
        <v>0.000672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HYPERLINK("http://141.218.60.56/~jnz1568/getInfo.php?workbook=12_04.xlsx&amp;sheet=U0&amp;row=7083&amp;col=6&amp;number=4.9&amp;sourceID=14","4.9")</f>
        <v>4.9</v>
      </c>
      <c r="G7083" s="4" t="str">
        <f>HYPERLINK("http://141.218.60.56/~jnz1568/getInfo.php?workbook=12_04.xlsx&amp;sheet=U0&amp;row=7083&amp;col=7&amp;number=0.00061&amp;sourceID=14","0.00061")</f>
        <v>0.00061</v>
      </c>
    </row>
    <row r="7084" spans="1:7">
      <c r="A7084" s="3">
        <v>12</v>
      </c>
      <c r="B7084" s="3">
        <v>4</v>
      </c>
      <c r="C7084" s="3">
        <v>4</v>
      </c>
      <c r="D7084" s="3">
        <v>71</v>
      </c>
      <c r="E7084" s="3">
        <v>1</v>
      </c>
      <c r="F7084" s="4" t="str">
        <f>HYPERLINK("http://141.218.60.56/~jnz1568/getInfo.php?workbook=12_04.xlsx&amp;sheet=U0&amp;row=7084&amp;col=6&amp;number=3&amp;sourceID=14","3")</f>
        <v>3</v>
      </c>
      <c r="G7084" s="4" t="str">
        <f>HYPERLINK("http://141.218.60.56/~jnz1568/getInfo.php?workbook=12_04.xlsx&amp;sheet=U0&amp;row=7084&amp;col=7&amp;number=0.0108&amp;sourceID=14","0.0108")</f>
        <v>0.0108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HYPERLINK("http://141.218.60.56/~jnz1568/getInfo.php?workbook=12_04.xlsx&amp;sheet=U0&amp;row=7085&amp;col=6&amp;number=3.1&amp;sourceID=14","3.1")</f>
        <v>3.1</v>
      </c>
      <c r="G7085" s="4" t="str">
        <f>HYPERLINK("http://141.218.60.56/~jnz1568/getInfo.php?workbook=12_04.xlsx&amp;sheet=U0&amp;row=7085&amp;col=7&amp;number=0.0108&amp;sourceID=14","0.0108")</f>
        <v>0.0108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HYPERLINK("http://141.218.60.56/~jnz1568/getInfo.php?workbook=12_04.xlsx&amp;sheet=U0&amp;row=7086&amp;col=6&amp;number=3.2&amp;sourceID=14","3.2")</f>
        <v>3.2</v>
      </c>
      <c r="G7086" s="4" t="str">
        <f>HYPERLINK("http://141.218.60.56/~jnz1568/getInfo.php?workbook=12_04.xlsx&amp;sheet=U0&amp;row=7086&amp;col=7&amp;number=0.0108&amp;sourceID=14","0.0108")</f>
        <v>0.0108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HYPERLINK("http://141.218.60.56/~jnz1568/getInfo.php?workbook=12_04.xlsx&amp;sheet=U0&amp;row=7087&amp;col=6&amp;number=3.3&amp;sourceID=14","3.3")</f>
        <v>3.3</v>
      </c>
      <c r="G7087" s="4" t="str">
        <f>HYPERLINK("http://141.218.60.56/~jnz1568/getInfo.php?workbook=12_04.xlsx&amp;sheet=U0&amp;row=7087&amp;col=7&amp;number=0.0108&amp;sourceID=14","0.0108")</f>
        <v>0.0108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HYPERLINK("http://141.218.60.56/~jnz1568/getInfo.php?workbook=12_04.xlsx&amp;sheet=U0&amp;row=7088&amp;col=6&amp;number=3.4&amp;sourceID=14","3.4")</f>
        <v>3.4</v>
      </c>
      <c r="G7088" s="4" t="str">
        <f>HYPERLINK("http://141.218.60.56/~jnz1568/getInfo.php?workbook=12_04.xlsx&amp;sheet=U0&amp;row=7088&amp;col=7&amp;number=0.0108&amp;sourceID=14","0.0108")</f>
        <v>0.0108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HYPERLINK("http://141.218.60.56/~jnz1568/getInfo.php?workbook=12_04.xlsx&amp;sheet=U0&amp;row=7089&amp;col=6&amp;number=3.5&amp;sourceID=14","3.5")</f>
        <v>3.5</v>
      </c>
      <c r="G7089" s="4" t="str">
        <f>HYPERLINK("http://141.218.60.56/~jnz1568/getInfo.php?workbook=12_04.xlsx&amp;sheet=U0&amp;row=7089&amp;col=7&amp;number=0.0107&amp;sourceID=14","0.0107")</f>
        <v>0.0107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HYPERLINK("http://141.218.60.56/~jnz1568/getInfo.php?workbook=12_04.xlsx&amp;sheet=U0&amp;row=7090&amp;col=6&amp;number=3.6&amp;sourceID=14","3.6")</f>
        <v>3.6</v>
      </c>
      <c r="G7090" s="4" t="str">
        <f>HYPERLINK("http://141.218.60.56/~jnz1568/getInfo.php?workbook=12_04.xlsx&amp;sheet=U0&amp;row=7090&amp;col=7&amp;number=0.0107&amp;sourceID=14","0.0107")</f>
        <v>0.0107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HYPERLINK("http://141.218.60.56/~jnz1568/getInfo.php?workbook=12_04.xlsx&amp;sheet=U0&amp;row=7091&amp;col=6&amp;number=3.7&amp;sourceID=14","3.7")</f>
        <v>3.7</v>
      </c>
      <c r="G7091" s="4" t="str">
        <f>HYPERLINK("http://141.218.60.56/~jnz1568/getInfo.php?workbook=12_04.xlsx&amp;sheet=U0&amp;row=7091&amp;col=7&amp;number=0.0107&amp;sourceID=14","0.0107")</f>
        <v>0.0107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HYPERLINK("http://141.218.60.56/~jnz1568/getInfo.php?workbook=12_04.xlsx&amp;sheet=U0&amp;row=7092&amp;col=6&amp;number=3.8&amp;sourceID=14","3.8")</f>
        <v>3.8</v>
      </c>
      <c r="G7092" s="4" t="str">
        <f>HYPERLINK("http://141.218.60.56/~jnz1568/getInfo.php?workbook=12_04.xlsx&amp;sheet=U0&amp;row=7092&amp;col=7&amp;number=0.0107&amp;sourceID=14","0.0107")</f>
        <v>0.0107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HYPERLINK("http://141.218.60.56/~jnz1568/getInfo.php?workbook=12_04.xlsx&amp;sheet=U0&amp;row=7093&amp;col=6&amp;number=3.9&amp;sourceID=14","3.9")</f>
        <v>3.9</v>
      </c>
      <c r="G7093" s="4" t="str">
        <f>HYPERLINK("http://141.218.60.56/~jnz1568/getInfo.php?workbook=12_04.xlsx&amp;sheet=U0&amp;row=7093&amp;col=7&amp;number=0.0106&amp;sourceID=14","0.0106")</f>
        <v>0.0106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HYPERLINK("http://141.218.60.56/~jnz1568/getInfo.php?workbook=12_04.xlsx&amp;sheet=U0&amp;row=7094&amp;col=6&amp;number=4&amp;sourceID=14","4")</f>
        <v>4</v>
      </c>
      <c r="G7094" s="4" t="str">
        <f>HYPERLINK("http://141.218.60.56/~jnz1568/getInfo.php?workbook=12_04.xlsx&amp;sheet=U0&amp;row=7094&amp;col=7&amp;number=0.0106&amp;sourceID=14","0.0106")</f>
        <v>0.0106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HYPERLINK("http://141.218.60.56/~jnz1568/getInfo.php?workbook=12_04.xlsx&amp;sheet=U0&amp;row=7095&amp;col=6&amp;number=4.1&amp;sourceID=14","4.1")</f>
        <v>4.1</v>
      </c>
      <c r="G7095" s="4" t="str">
        <f>HYPERLINK("http://141.218.60.56/~jnz1568/getInfo.php?workbook=12_04.xlsx&amp;sheet=U0&amp;row=7095&amp;col=7&amp;number=0.0105&amp;sourceID=14","0.0105")</f>
        <v>0.0105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HYPERLINK("http://141.218.60.56/~jnz1568/getInfo.php?workbook=12_04.xlsx&amp;sheet=U0&amp;row=7096&amp;col=6&amp;number=4.2&amp;sourceID=14","4.2")</f>
        <v>4.2</v>
      </c>
      <c r="G7096" s="4" t="str">
        <f>HYPERLINK("http://141.218.60.56/~jnz1568/getInfo.php?workbook=12_04.xlsx&amp;sheet=U0&amp;row=7096&amp;col=7&amp;number=0.0104&amp;sourceID=14","0.0104")</f>
        <v>0.0104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HYPERLINK("http://141.218.60.56/~jnz1568/getInfo.php?workbook=12_04.xlsx&amp;sheet=U0&amp;row=7097&amp;col=6&amp;number=4.3&amp;sourceID=14","4.3")</f>
        <v>4.3</v>
      </c>
      <c r="G7097" s="4" t="str">
        <f>HYPERLINK("http://141.218.60.56/~jnz1568/getInfo.php?workbook=12_04.xlsx&amp;sheet=U0&amp;row=7097&amp;col=7&amp;number=0.0103&amp;sourceID=14","0.0103")</f>
        <v>0.0103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HYPERLINK("http://141.218.60.56/~jnz1568/getInfo.php?workbook=12_04.xlsx&amp;sheet=U0&amp;row=7098&amp;col=6&amp;number=4.4&amp;sourceID=14","4.4")</f>
        <v>4.4</v>
      </c>
      <c r="G7098" s="4" t="str">
        <f>HYPERLINK("http://141.218.60.56/~jnz1568/getInfo.php?workbook=12_04.xlsx&amp;sheet=U0&amp;row=7098&amp;col=7&amp;number=0.0102&amp;sourceID=14","0.0102")</f>
        <v>0.0102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HYPERLINK("http://141.218.60.56/~jnz1568/getInfo.php?workbook=12_04.xlsx&amp;sheet=U0&amp;row=7099&amp;col=6&amp;number=4.5&amp;sourceID=14","4.5")</f>
        <v>4.5</v>
      </c>
      <c r="G7099" s="4" t="str">
        <f>HYPERLINK("http://141.218.60.56/~jnz1568/getInfo.php?workbook=12_04.xlsx&amp;sheet=U0&amp;row=7099&amp;col=7&amp;number=0.01&amp;sourceID=14","0.01")</f>
        <v>0.01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HYPERLINK("http://141.218.60.56/~jnz1568/getInfo.php?workbook=12_04.xlsx&amp;sheet=U0&amp;row=7100&amp;col=6&amp;number=4.6&amp;sourceID=14","4.6")</f>
        <v>4.6</v>
      </c>
      <c r="G7100" s="4" t="str">
        <f>HYPERLINK("http://141.218.60.56/~jnz1568/getInfo.php?workbook=12_04.xlsx&amp;sheet=U0&amp;row=7100&amp;col=7&amp;number=0.00981&amp;sourceID=14","0.00981")</f>
        <v>0.00981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HYPERLINK("http://141.218.60.56/~jnz1568/getInfo.php?workbook=12_04.xlsx&amp;sheet=U0&amp;row=7101&amp;col=6&amp;number=4.7&amp;sourceID=14","4.7")</f>
        <v>4.7</v>
      </c>
      <c r="G7101" s="4" t="str">
        <f>HYPERLINK("http://141.218.60.56/~jnz1568/getInfo.php?workbook=12_04.xlsx&amp;sheet=U0&amp;row=7101&amp;col=7&amp;number=0.00957&amp;sourceID=14","0.00957")</f>
        <v>0.00957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HYPERLINK("http://141.218.60.56/~jnz1568/getInfo.php?workbook=12_04.xlsx&amp;sheet=U0&amp;row=7102&amp;col=6&amp;number=4.8&amp;sourceID=14","4.8")</f>
        <v>4.8</v>
      </c>
      <c r="G7102" s="4" t="str">
        <f>HYPERLINK("http://141.218.60.56/~jnz1568/getInfo.php?workbook=12_04.xlsx&amp;sheet=U0&amp;row=7102&amp;col=7&amp;number=0.00927&amp;sourceID=14","0.00927")</f>
        <v>0.00927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HYPERLINK("http://141.218.60.56/~jnz1568/getInfo.php?workbook=12_04.xlsx&amp;sheet=U0&amp;row=7103&amp;col=6&amp;number=4.9&amp;sourceID=14","4.9")</f>
        <v>4.9</v>
      </c>
      <c r="G7103" s="4" t="str">
        <f>HYPERLINK("http://141.218.60.56/~jnz1568/getInfo.php?workbook=12_04.xlsx&amp;sheet=U0&amp;row=7103&amp;col=7&amp;number=0.00891&amp;sourceID=14","0.00891")</f>
        <v>0.00891</v>
      </c>
    </row>
    <row r="7104" spans="1:7">
      <c r="A7104" s="3">
        <v>12</v>
      </c>
      <c r="B7104" s="3">
        <v>4</v>
      </c>
      <c r="C7104" s="3">
        <v>4</v>
      </c>
      <c r="D7104" s="3">
        <v>72</v>
      </c>
      <c r="E7104" s="3">
        <v>1</v>
      </c>
      <c r="F7104" s="4" t="str">
        <f>HYPERLINK("http://141.218.60.56/~jnz1568/getInfo.php?workbook=12_04.xlsx&amp;sheet=U0&amp;row=7104&amp;col=6&amp;number=3&amp;sourceID=14","3")</f>
        <v>3</v>
      </c>
      <c r="G7104" s="4" t="str">
        <f>HYPERLINK("http://141.218.60.56/~jnz1568/getInfo.php?workbook=12_04.xlsx&amp;sheet=U0&amp;row=7104&amp;col=7&amp;number=0.0158&amp;sourceID=14","0.0158")</f>
        <v>0.0158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HYPERLINK("http://141.218.60.56/~jnz1568/getInfo.php?workbook=12_04.xlsx&amp;sheet=U0&amp;row=7105&amp;col=6&amp;number=3.1&amp;sourceID=14","3.1")</f>
        <v>3.1</v>
      </c>
      <c r="G7105" s="4" t="str">
        <f>HYPERLINK("http://141.218.60.56/~jnz1568/getInfo.php?workbook=12_04.xlsx&amp;sheet=U0&amp;row=7105&amp;col=7&amp;number=0.0158&amp;sourceID=14","0.0158")</f>
        <v>0.0158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HYPERLINK("http://141.218.60.56/~jnz1568/getInfo.php?workbook=12_04.xlsx&amp;sheet=U0&amp;row=7106&amp;col=6&amp;number=3.2&amp;sourceID=14","3.2")</f>
        <v>3.2</v>
      </c>
      <c r="G7106" s="4" t="str">
        <f>HYPERLINK("http://141.218.60.56/~jnz1568/getInfo.php?workbook=12_04.xlsx&amp;sheet=U0&amp;row=7106&amp;col=7&amp;number=0.0158&amp;sourceID=14","0.0158")</f>
        <v>0.0158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HYPERLINK("http://141.218.60.56/~jnz1568/getInfo.php?workbook=12_04.xlsx&amp;sheet=U0&amp;row=7107&amp;col=6&amp;number=3.3&amp;sourceID=14","3.3")</f>
        <v>3.3</v>
      </c>
      <c r="G7107" s="4" t="str">
        <f>HYPERLINK("http://141.218.60.56/~jnz1568/getInfo.php?workbook=12_04.xlsx&amp;sheet=U0&amp;row=7107&amp;col=7&amp;number=0.0157&amp;sourceID=14","0.0157")</f>
        <v>0.0157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HYPERLINK("http://141.218.60.56/~jnz1568/getInfo.php?workbook=12_04.xlsx&amp;sheet=U0&amp;row=7108&amp;col=6&amp;number=3.4&amp;sourceID=14","3.4")</f>
        <v>3.4</v>
      </c>
      <c r="G7108" s="4" t="str">
        <f>HYPERLINK("http://141.218.60.56/~jnz1568/getInfo.php?workbook=12_04.xlsx&amp;sheet=U0&amp;row=7108&amp;col=7&amp;number=0.0157&amp;sourceID=14","0.0157")</f>
        <v>0.0157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HYPERLINK("http://141.218.60.56/~jnz1568/getInfo.php?workbook=12_04.xlsx&amp;sheet=U0&amp;row=7109&amp;col=6&amp;number=3.5&amp;sourceID=14","3.5")</f>
        <v>3.5</v>
      </c>
      <c r="G7109" s="4" t="str">
        <f>HYPERLINK("http://141.218.60.56/~jnz1568/getInfo.php?workbook=12_04.xlsx&amp;sheet=U0&amp;row=7109&amp;col=7&amp;number=0.0157&amp;sourceID=14","0.0157")</f>
        <v>0.0157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HYPERLINK("http://141.218.60.56/~jnz1568/getInfo.php?workbook=12_04.xlsx&amp;sheet=U0&amp;row=7110&amp;col=6&amp;number=3.6&amp;sourceID=14","3.6")</f>
        <v>3.6</v>
      </c>
      <c r="G7110" s="4" t="str">
        <f>HYPERLINK("http://141.218.60.56/~jnz1568/getInfo.php?workbook=12_04.xlsx&amp;sheet=U0&amp;row=7110&amp;col=7&amp;number=0.0157&amp;sourceID=14","0.0157")</f>
        <v>0.0157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HYPERLINK("http://141.218.60.56/~jnz1568/getInfo.php?workbook=12_04.xlsx&amp;sheet=U0&amp;row=7111&amp;col=6&amp;number=3.7&amp;sourceID=14","3.7")</f>
        <v>3.7</v>
      </c>
      <c r="G7111" s="4" t="str">
        <f>HYPERLINK("http://141.218.60.56/~jnz1568/getInfo.php?workbook=12_04.xlsx&amp;sheet=U0&amp;row=7111&amp;col=7&amp;number=0.0156&amp;sourceID=14","0.0156")</f>
        <v>0.0156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HYPERLINK("http://141.218.60.56/~jnz1568/getInfo.php?workbook=12_04.xlsx&amp;sheet=U0&amp;row=7112&amp;col=6&amp;number=3.8&amp;sourceID=14","3.8")</f>
        <v>3.8</v>
      </c>
      <c r="G7112" s="4" t="str">
        <f>HYPERLINK("http://141.218.60.56/~jnz1568/getInfo.php?workbook=12_04.xlsx&amp;sheet=U0&amp;row=7112&amp;col=7&amp;number=0.0156&amp;sourceID=14","0.0156")</f>
        <v>0.0156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HYPERLINK("http://141.218.60.56/~jnz1568/getInfo.php?workbook=12_04.xlsx&amp;sheet=U0&amp;row=7113&amp;col=6&amp;number=3.9&amp;sourceID=14","3.9")</f>
        <v>3.9</v>
      </c>
      <c r="G7113" s="4" t="str">
        <f>HYPERLINK("http://141.218.60.56/~jnz1568/getInfo.php?workbook=12_04.xlsx&amp;sheet=U0&amp;row=7113&amp;col=7&amp;number=0.0155&amp;sourceID=14","0.0155")</f>
        <v>0.0155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HYPERLINK("http://141.218.60.56/~jnz1568/getInfo.php?workbook=12_04.xlsx&amp;sheet=U0&amp;row=7114&amp;col=6&amp;number=4&amp;sourceID=14","4")</f>
        <v>4</v>
      </c>
      <c r="G7114" s="4" t="str">
        <f>HYPERLINK("http://141.218.60.56/~jnz1568/getInfo.php?workbook=12_04.xlsx&amp;sheet=U0&amp;row=7114&amp;col=7&amp;number=0.0155&amp;sourceID=14","0.0155")</f>
        <v>0.0155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HYPERLINK("http://141.218.60.56/~jnz1568/getInfo.php?workbook=12_04.xlsx&amp;sheet=U0&amp;row=7115&amp;col=6&amp;number=4.1&amp;sourceID=14","4.1")</f>
        <v>4.1</v>
      </c>
      <c r="G7115" s="4" t="str">
        <f>HYPERLINK("http://141.218.60.56/~jnz1568/getInfo.php?workbook=12_04.xlsx&amp;sheet=U0&amp;row=7115&amp;col=7&amp;number=0.0154&amp;sourceID=14","0.0154")</f>
        <v>0.0154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HYPERLINK("http://141.218.60.56/~jnz1568/getInfo.php?workbook=12_04.xlsx&amp;sheet=U0&amp;row=7116&amp;col=6&amp;number=4.2&amp;sourceID=14","4.2")</f>
        <v>4.2</v>
      </c>
      <c r="G7116" s="4" t="str">
        <f>HYPERLINK("http://141.218.60.56/~jnz1568/getInfo.php?workbook=12_04.xlsx&amp;sheet=U0&amp;row=7116&amp;col=7&amp;number=0.0153&amp;sourceID=14","0.0153")</f>
        <v>0.0153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HYPERLINK("http://141.218.60.56/~jnz1568/getInfo.php?workbook=12_04.xlsx&amp;sheet=U0&amp;row=7117&amp;col=6&amp;number=4.3&amp;sourceID=14","4.3")</f>
        <v>4.3</v>
      </c>
      <c r="G7117" s="4" t="str">
        <f>HYPERLINK("http://141.218.60.56/~jnz1568/getInfo.php?workbook=12_04.xlsx&amp;sheet=U0&amp;row=7117&amp;col=7&amp;number=0.0151&amp;sourceID=14","0.0151")</f>
        <v>0.0151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HYPERLINK("http://141.218.60.56/~jnz1568/getInfo.php?workbook=12_04.xlsx&amp;sheet=U0&amp;row=7118&amp;col=6&amp;number=4.4&amp;sourceID=14","4.4")</f>
        <v>4.4</v>
      </c>
      <c r="G7118" s="4" t="str">
        <f>HYPERLINK("http://141.218.60.56/~jnz1568/getInfo.php?workbook=12_04.xlsx&amp;sheet=U0&amp;row=7118&amp;col=7&amp;number=0.015&amp;sourceID=14","0.015")</f>
        <v>0.015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HYPERLINK("http://141.218.60.56/~jnz1568/getInfo.php?workbook=12_04.xlsx&amp;sheet=U0&amp;row=7119&amp;col=6&amp;number=4.5&amp;sourceID=14","4.5")</f>
        <v>4.5</v>
      </c>
      <c r="G7119" s="4" t="str">
        <f>HYPERLINK("http://141.218.60.56/~jnz1568/getInfo.php?workbook=12_04.xlsx&amp;sheet=U0&amp;row=7119&amp;col=7&amp;number=0.0147&amp;sourceID=14","0.0147")</f>
        <v>0.0147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HYPERLINK("http://141.218.60.56/~jnz1568/getInfo.php?workbook=12_04.xlsx&amp;sheet=U0&amp;row=7120&amp;col=6&amp;number=4.6&amp;sourceID=14","4.6")</f>
        <v>4.6</v>
      </c>
      <c r="G7120" s="4" t="str">
        <f>HYPERLINK("http://141.218.60.56/~jnz1568/getInfo.php?workbook=12_04.xlsx&amp;sheet=U0&amp;row=7120&amp;col=7&amp;number=0.0145&amp;sourceID=14","0.0145")</f>
        <v>0.0145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HYPERLINK("http://141.218.60.56/~jnz1568/getInfo.php?workbook=12_04.xlsx&amp;sheet=U0&amp;row=7121&amp;col=6&amp;number=4.7&amp;sourceID=14","4.7")</f>
        <v>4.7</v>
      </c>
      <c r="G7121" s="4" t="str">
        <f>HYPERLINK("http://141.218.60.56/~jnz1568/getInfo.php?workbook=12_04.xlsx&amp;sheet=U0&amp;row=7121&amp;col=7&amp;number=0.0142&amp;sourceID=14","0.0142")</f>
        <v>0.0142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HYPERLINK("http://141.218.60.56/~jnz1568/getInfo.php?workbook=12_04.xlsx&amp;sheet=U0&amp;row=7122&amp;col=6&amp;number=4.8&amp;sourceID=14","4.8")</f>
        <v>4.8</v>
      </c>
      <c r="G7122" s="4" t="str">
        <f>HYPERLINK("http://141.218.60.56/~jnz1568/getInfo.php?workbook=12_04.xlsx&amp;sheet=U0&amp;row=7122&amp;col=7&amp;number=0.0138&amp;sourceID=14","0.0138")</f>
        <v>0.0138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HYPERLINK("http://141.218.60.56/~jnz1568/getInfo.php?workbook=12_04.xlsx&amp;sheet=U0&amp;row=7123&amp;col=6&amp;number=4.9&amp;sourceID=14","4.9")</f>
        <v>4.9</v>
      </c>
      <c r="G7123" s="4" t="str">
        <f>HYPERLINK("http://141.218.60.56/~jnz1568/getInfo.php?workbook=12_04.xlsx&amp;sheet=U0&amp;row=7123&amp;col=7&amp;number=0.0133&amp;sourceID=14","0.0133")</f>
        <v>0.0133</v>
      </c>
    </row>
    <row r="7124" spans="1:7">
      <c r="A7124" s="3">
        <v>12</v>
      </c>
      <c r="B7124" s="3">
        <v>4</v>
      </c>
      <c r="C7124" s="3">
        <v>4</v>
      </c>
      <c r="D7124" s="3">
        <v>73</v>
      </c>
      <c r="E7124" s="3">
        <v>1</v>
      </c>
      <c r="F7124" s="4" t="str">
        <f>HYPERLINK("http://141.218.60.56/~jnz1568/getInfo.php?workbook=12_04.xlsx&amp;sheet=U0&amp;row=7124&amp;col=6&amp;number=3&amp;sourceID=14","3")</f>
        <v>3</v>
      </c>
      <c r="G7124" s="4" t="str">
        <f>HYPERLINK("http://141.218.60.56/~jnz1568/getInfo.php?workbook=12_04.xlsx&amp;sheet=U0&amp;row=7124&amp;col=7&amp;number=0.00216&amp;sourceID=14","0.00216")</f>
        <v>0.00216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HYPERLINK("http://141.218.60.56/~jnz1568/getInfo.php?workbook=12_04.xlsx&amp;sheet=U0&amp;row=7125&amp;col=6&amp;number=3.1&amp;sourceID=14","3.1")</f>
        <v>3.1</v>
      </c>
      <c r="G7125" s="4" t="str">
        <f>HYPERLINK("http://141.218.60.56/~jnz1568/getInfo.php?workbook=12_04.xlsx&amp;sheet=U0&amp;row=7125&amp;col=7&amp;number=0.00215&amp;sourceID=14","0.00215")</f>
        <v>0.00215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HYPERLINK("http://141.218.60.56/~jnz1568/getInfo.php?workbook=12_04.xlsx&amp;sheet=U0&amp;row=7126&amp;col=6&amp;number=3.2&amp;sourceID=14","3.2")</f>
        <v>3.2</v>
      </c>
      <c r="G7126" s="4" t="str">
        <f>HYPERLINK("http://141.218.60.56/~jnz1568/getInfo.php?workbook=12_04.xlsx&amp;sheet=U0&amp;row=7126&amp;col=7&amp;number=0.00215&amp;sourceID=14","0.00215")</f>
        <v>0.00215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HYPERLINK("http://141.218.60.56/~jnz1568/getInfo.php?workbook=12_04.xlsx&amp;sheet=U0&amp;row=7127&amp;col=6&amp;number=3.3&amp;sourceID=14","3.3")</f>
        <v>3.3</v>
      </c>
      <c r="G7127" s="4" t="str">
        <f>HYPERLINK("http://141.218.60.56/~jnz1568/getInfo.php?workbook=12_04.xlsx&amp;sheet=U0&amp;row=7127&amp;col=7&amp;number=0.00214&amp;sourceID=14","0.00214")</f>
        <v>0.00214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HYPERLINK("http://141.218.60.56/~jnz1568/getInfo.php?workbook=12_04.xlsx&amp;sheet=U0&amp;row=7128&amp;col=6&amp;number=3.4&amp;sourceID=14","3.4")</f>
        <v>3.4</v>
      </c>
      <c r="G7128" s="4" t="str">
        <f>HYPERLINK("http://141.218.60.56/~jnz1568/getInfo.php?workbook=12_04.xlsx&amp;sheet=U0&amp;row=7128&amp;col=7&amp;number=0.00213&amp;sourceID=14","0.00213")</f>
        <v>0.00213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HYPERLINK("http://141.218.60.56/~jnz1568/getInfo.php?workbook=12_04.xlsx&amp;sheet=U0&amp;row=7129&amp;col=6&amp;number=3.5&amp;sourceID=14","3.5")</f>
        <v>3.5</v>
      </c>
      <c r="G7129" s="4" t="str">
        <f>HYPERLINK("http://141.218.60.56/~jnz1568/getInfo.php?workbook=12_04.xlsx&amp;sheet=U0&amp;row=7129&amp;col=7&amp;number=0.00211&amp;sourceID=14","0.00211")</f>
        <v>0.00211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HYPERLINK("http://141.218.60.56/~jnz1568/getInfo.php?workbook=12_04.xlsx&amp;sheet=U0&amp;row=7130&amp;col=6&amp;number=3.6&amp;sourceID=14","3.6")</f>
        <v>3.6</v>
      </c>
      <c r="G7130" s="4" t="str">
        <f>HYPERLINK("http://141.218.60.56/~jnz1568/getInfo.php?workbook=12_04.xlsx&amp;sheet=U0&amp;row=7130&amp;col=7&amp;number=0.00209&amp;sourceID=14","0.00209")</f>
        <v>0.00209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HYPERLINK("http://141.218.60.56/~jnz1568/getInfo.php?workbook=12_04.xlsx&amp;sheet=U0&amp;row=7131&amp;col=6&amp;number=3.7&amp;sourceID=14","3.7")</f>
        <v>3.7</v>
      </c>
      <c r="G7131" s="4" t="str">
        <f>HYPERLINK("http://141.218.60.56/~jnz1568/getInfo.php?workbook=12_04.xlsx&amp;sheet=U0&amp;row=7131&amp;col=7&amp;number=0.00207&amp;sourceID=14","0.00207")</f>
        <v>0.00207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HYPERLINK("http://141.218.60.56/~jnz1568/getInfo.php?workbook=12_04.xlsx&amp;sheet=U0&amp;row=7132&amp;col=6&amp;number=3.8&amp;sourceID=14","3.8")</f>
        <v>3.8</v>
      </c>
      <c r="G7132" s="4" t="str">
        <f>HYPERLINK("http://141.218.60.56/~jnz1568/getInfo.php?workbook=12_04.xlsx&amp;sheet=U0&amp;row=7132&amp;col=7&amp;number=0.00204&amp;sourceID=14","0.00204")</f>
        <v>0.00204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HYPERLINK("http://141.218.60.56/~jnz1568/getInfo.php?workbook=12_04.xlsx&amp;sheet=U0&amp;row=7133&amp;col=6&amp;number=3.9&amp;sourceID=14","3.9")</f>
        <v>3.9</v>
      </c>
      <c r="G7133" s="4" t="str">
        <f>HYPERLINK("http://141.218.60.56/~jnz1568/getInfo.php?workbook=12_04.xlsx&amp;sheet=U0&amp;row=7133&amp;col=7&amp;number=0.002&amp;sourceID=14","0.002")</f>
        <v>0.002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HYPERLINK("http://141.218.60.56/~jnz1568/getInfo.php?workbook=12_04.xlsx&amp;sheet=U0&amp;row=7134&amp;col=6&amp;number=4&amp;sourceID=14","4")</f>
        <v>4</v>
      </c>
      <c r="G7134" s="4" t="str">
        <f>HYPERLINK("http://141.218.60.56/~jnz1568/getInfo.php?workbook=12_04.xlsx&amp;sheet=U0&amp;row=7134&amp;col=7&amp;number=0.00195&amp;sourceID=14","0.00195")</f>
        <v>0.00195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HYPERLINK("http://141.218.60.56/~jnz1568/getInfo.php?workbook=12_04.xlsx&amp;sheet=U0&amp;row=7135&amp;col=6&amp;number=4.1&amp;sourceID=14","4.1")</f>
        <v>4.1</v>
      </c>
      <c r="G7135" s="4" t="str">
        <f>HYPERLINK("http://141.218.60.56/~jnz1568/getInfo.php?workbook=12_04.xlsx&amp;sheet=U0&amp;row=7135&amp;col=7&amp;number=0.0019&amp;sourceID=14","0.0019")</f>
        <v>0.0019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HYPERLINK("http://141.218.60.56/~jnz1568/getInfo.php?workbook=12_04.xlsx&amp;sheet=U0&amp;row=7136&amp;col=6&amp;number=4.2&amp;sourceID=14","4.2")</f>
        <v>4.2</v>
      </c>
      <c r="G7136" s="4" t="str">
        <f>HYPERLINK("http://141.218.60.56/~jnz1568/getInfo.php?workbook=12_04.xlsx&amp;sheet=U0&amp;row=7136&amp;col=7&amp;number=0.00182&amp;sourceID=14","0.00182")</f>
        <v>0.00182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HYPERLINK("http://141.218.60.56/~jnz1568/getInfo.php?workbook=12_04.xlsx&amp;sheet=U0&amp;row=7137&amp;col=6&amp;number=4.3&amp;sourceID=14","4.3")</f>
        <v>4.3</v>
      </c>
      <c r="G7137" s="4" t="str">
        <f>HYPERLINK("http://141.218.60.56/~jnz1568/getInfo.php?workbook=12_04.xlsx&amp;sheet=U0&amp;row=7137&amp;col=7&amp;number=0.00174&amp;sourceID=14","0.00174")</f>
        <v>0.00174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HYPERLINK("http://141.218.60.56/~jnz1568/getInfo.php?workbook=12_04.xlsx&amp;sheet=U0&amp;row=7138&amp;col=6&amp;number=4.4&amp;sourceID=14","4.4")</f>
        <v>4.4</v>
      </c>
      <c r="G7138" s="4" t="str">
        <f>HYPERLINK("http://141.218.60.56/~jnz1568/getInfo.php?workbook=12_04.xlsx&amp;sheet=U0&amp;row=7138&amp;col=7&amp;number=0.00163&amp;sourceID=14","0.00163")</f>
        <v>0.00163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HYPERLINK("http://141.218.60.56/~jnz1568/getInfo.php?workbook=12_04.xlsx&amp;sheet=U0&amp;row=7139&amp;col=6&amp;number=4.5&amp;sourceID=14","4.5")</f>
        <v>4.5</v>
      </c>
      <c r="G7139" s="4" t="str">
        <f>HYPERLINK("http://141.218.60.56/~jnz1568/getInfo.php?workbook=12_04.xlsx&amp;sheet=U0&amp;row=7139&amp;col=7&amp;number=0.0015&amp;sourceID=14","0.0015")</f>
        <v>0.0015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HYPERLINK("http://141.218.60.56/~jnz1568/getInfo.php?workbook=12_04.xlsx&amp;sheet=U0&amp;row=7140&amp;col=6&amp;number=4.6&amp;sourceID=14","4.6")</f>
        <v>4.6</v>
      </c>
      <c r="G7140" s="4" t="str">
        <f>HYPERLINK("http://141.218.60.56/~jnz1568/getInfo.php?workbook=12_04.xlsx&amp;sheet=U0&amp;row=7140&amp;col=7&amp;number=0.00134&amp;sourceID=14","0.00134")</f>
        <v>0.00134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HYPERLINK("http://141.218.60.56/~jnz1568/getInfo.php?workbook=12_04.xlsx&amp;sheet=U0&amp;row=7141&amp;col=6&amp;number=4.7&amp;sourceID=14","4.7")</f>
        <v>4.7</v>
      </c>
      <c r="G7141" s="4" t="str">
        <f>HYPERLINK("http://141.218.60.56/~jnz1568/getInfo.php?workbook=12_04.xlsx&amp;sheet=U0&amp;row=7141&amp;col=7&amp;number=0.00117&amp;sourceID=14","0.00117")</f>
        <v>0.00117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HYPERLINK("http://141.218.60.56/~jnz1568/getInfo.php?workbook=12_04.xlsx&amp;sheet=U0&amp;row=7142&amp;col=6&amp;number=4.8&amp;sourceID=14","4.8")</f>
        <v>4.8</v>
      </c>
      <c r="G7142" s="4" t="str">
        <f>HYPERLINK("http://141.218.60.56/~jnz1568/getInfo.php?workbook=12_04.xlsx&amp;sheet=U0&amp;row=7142&amp;col=7&amp;number=0.000973&amp;sourceID=14","0.000973")</f>
        <v>0.000973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HYPERLINK("http://141.218.60.56/~jnz1568/getInfo.php?workbook=12_04.xlsx&amp;sheet=U0&amp;row=7143&amp;col=6&amp;number=4.9&amp;sourceID=14","4.9")</f>
        <v>4.9</v>
      </c>
      <c r="G7143" s="4" t="str">
        <f>HYPERLINK("http://141.218.60.56/~jnz1568/getInfo.php?workbook=12_04.xlsx&amp;sheet=U0&amp;row=7143&amp;col=7&amp;number=0.000777&amp;sourceID=14","0.000777")</f>
        <v>0.000777</v>
      </c>
    </row>
    <row r="7144" spans="1:7">
      <c r="A7144" s="3">
        <v>12</v>
      </c>
      <c r="B7144" s="3">
        <v>4</v>
      </c>
      <c r="C7144" s="3">
        <v>4</v>
      </c>
      <c r="D7144" s="3">
        <v>74</v>
      </c>
      <c r="E7144" s="3">
        <v>1</v>
      </c>
      <c r="F7144" s="4" t="str">
        <f>HYPERLINK("http://141.218.60.56/~jnz1568/getInfo.php?workbook=12_04.xlsx&amp;sheet=U0&amp;row=7144&amp;col=6&amp;number=3&amp;sourceID=14","3")</f>
        <v>3</v>
      </c>
      <c r="G7144" s="4" t="str">
        <f>HYPERLINK("http://141.218.60.56/~jnz1568/getInfo.php?workbook=12_04.xlsx&amp;sheet=U0&amp;row=7144&amp;col=7&amp;number=0.00737&amp;sourceID=14","0.00737")</f>
        <v>0.00737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HYPERLINK("http://141.218.60.56/~jnz1568/getInfo.php?workbook=12_04.xlsx&amp;sheet=U0&amp;row=7145&amp;col=6&amp;number=3.1&amp;sourceID=14","3.1")</f>
        <v>3.1</v>
      </c>
      <c r="G7145" s="4" t="str">
        <f>HYPERLINK("http://141.218.60.56/~jnz1568/getInfo.php?workbook=12_04.xlsx&amp;sheet=U0&amp;row=7145&amp;col=7&amp;number=0.00736&amp;sourceID=14","0.00736")</f>
        <v>0.00736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HYPERLINK("http://141.218.60.56/~jnz1568/getInfo.php?workbook=12_04.xlsx&amp;sheet=U0&amp;row=7146&amp;col=6&amp;number=3.2&amp;sourceID=14","3.2")</f>
        <v>3.2</v>
      </c>
      <c r="G7146" s="4" t="str">
        <f>HYPERLINK("http://141.218.60.56/~jnz1568/getInfo.php?workbook=12_04.xlsx&amp;sheet=U0&amp;row=7146&amp;col=7&amp;number=0.00735&amp;sourceID=14","0.00735")</f>
        <v>0.00735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HYPERLINK("http://141.218.60.56/~jnz1568/getInfo.php?workbook=12_04.xlsx&amp;sheet=U0&amp;row=7147&amp;col=6&amp;number=3.3&amp;sourceID=14","3.3")</f>
        <v>3.3</v>
      </c>
      <c r="G7147" s="4" t="str">
        <f>HYPERLINK("http://141.218.60.56/~jnz1568/getInfo.php?workbook=12_04.xlsx&amp;sheet=U0&amp;row=7147&amp;col=7&amp;number=0.00734&amp;sourceID=14","0.00734")</f>
        <v>0.00734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HYPERLINK("http://141.218.60.56/~jnz1568/getInfo.php?workbook=12_04.xlsx&amp;sheet=U0&amp;row=7148&amp;col=6&amp;number=3.4&amp;sourceID=14","3.4")</f>
        <v>3.4</v>
      </c>
      <c r="G7148" s="4" t="str">
        <f>HYPERLINK("http://141.218.60.56/~jnz1568/getInfo.php?workbook=12_04.xlsx&amp;sheet=U0&amp;row=7148&amp;col=7&amp;number=0.00732&amp;sourceID=14","0.00732")</f>
        <v>0.00732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HYPERLINK("http://141.218.60.56/~jnz1568/getInfo.php?workbook=12_04.xlsx&amp;sheet=U0&amp;row=7149&amp;col=6&amp;number=3.5&amp;sourceID=14","3.5")</f>
        <v>3.5</v>
      </c>
      <c r="G7149" s="4" t="str">
        <f>HYPERLINK("http://141.218.60.56/~jnz1568/getInfo.php?workbook=12_04.xlsx&amp;sheet=U0&amp;row=7149&amp;col=7&amp;number=0.00729&amp;sourceID=14","0.00729")</f>
        <v>0.00729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HYPERLINK("http://141.218.60.56/~jnz1568/getInfo.php?workbook=12_04.xlsx&amp;sheet=U0&amp;row=7150&amp;col=6&amp;number=3.6&amp;sourceID=14","3.6")</f>
        <v>3.6</v>
      </c>
      <c r="G7150" s="4" t="str">
        <f>HYPERLINK("http://141.218.60.56/~jnz1568/getInfo.php?workbook=12_04.xlsx&amp;sheet=U0&amp;row=7150&amp;col=7&amp;number=0.00726&amp;sourceID=14","0.00726")</f>
        <v>0.00726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HYPERLINK("http://141.218.60.56/~jnz1568/getInfo.php?workbook=12_04.xlsx&amp;sheet=U0&amp;row=7151&amp;col=6&amp;number=3.7&amp;sourceID=14","3.7")</f>
        <v>3.7</v>
      </c>
      <c r="G7151" s="4" t="str">
        <f>HYPERLINK("http://141.218.60.56/~jnz1568/getInfo.php?workbook=12_04.xlsx&amp;sheet=U0&amp;row=7151&amp;col=7&amp;number=0.00722&amp;sourceID=14","0.00722")</f>
        <v>0.00722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HYPERLINK("http://141.218.60.56/~jnz1568/getInfo.php?workbook=12_04.xlsx&amp;sheet=U0&amp;row=7152&amp;col=6&amp;number=3.8&amp;sourceID=14","3.8")</f>
        <v>3.8</v>
      </c>
      <c r="G7152" s="4" t="str">
        <f>HYPERLINK("http://141.218.60.56/~jnz1568/getInfo.php?workbook=12_04.xlsx&amp;sheet=U0&amp;row=7152&amp;col=7&amp;number=0.00717&amp;sourceID=14","0.00717")</f>
        <v>0.00717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HYPERLINK("http://141.218.60.56/~jnz1568/getInfo.php?workbook=12_04.xlsx&amp;sheet=U0&amp;row=7153&amp;col=6&amp;number=3.9&amp;sourceID=14","3.9")</f>
        <v>3.9</v>
      </c>
      <c r="G7153" s="4" t="str">
        <f>HYPERLINK("http://141.218.60.56/~jnz1568/getInfo.php?workbook=12_04.xlsx&amp;sheet=U0&amp;row=7153&amp;col=7&amp;number=0.00711&amp;sourceID=14","0.00711")</f>
        <v>0.00711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HYPERLINK("http://141.218.60.56/~jnz1568/getInfo.php?workbook=12_04.xlsx&amp;sheet=U0&amp;row=7154&amp;col=6&amp;number=4&amp;sourceID=14","4")</f>
        <v>4</v>
      </c>
      <c r="G7154" s="4" t="str">
        <f>HYPERLINK("http://141.218.60.56/~jnz1568/getInfo.php?workbook=12_04.xlsx&amp;sheet=U0&amp;row=7154&amp;col=7&amp;number=0.00704&amp;sourceID=14","0.00704")</f>
        <v>0.00704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HYPERLINK("http://141.218.60.56/~jnz1568/getInfo.php?workbook=12_04.xlsx&amp;sheet=U0&amp;row=7155&amp;col=6&amp;number=4.1&amp;sourceID=14","4.1")</f>
        <v>4.1</v>
      </c>
      <c r="G7155" s="4" t="str">
        <f>HYPERLINK("http://141.218.60.56/~jnz1568/getInfo.php?workbook=12_04.xlsx&amp;sheet=U0&amp;row=7155&amp;col=7&amp;number=0.00694&amp;sourceID=14","0.00694")</f>
        <v>0.00694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HYPERLINK("http://141.218.60.56/~jnz1568/getInfo.php?workbook=12_04.xlsx&amp;sheet=U0&amp;row=7156&amp;col=6&amp;number=4.2&amp;sourceID=14","4.2")</f>
        <v>4.2</v>
      </c>
      <c r="G7156" s="4" t="str">
        <f>HYPERLINK("http://141.218.60.56/~jnz1568/getInfo.php?workbook=12_04.xlsx&amp;sheet=U0&amp;row=7156&amp;col=7&amp;number=0.00683&amp;sourceID=14","0.00683")</f>
        <v>0.00683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HYPERLINK("http://141.218.60.56/~jnz1568/getInfo.php?workbook=12_04.xlsx&amp;sheet=U0&amp;row=7157&amp;col=6&amp;number=4.3&amp;sourceID=14","4.3")</f>
        <v>4.3</v>
      </c>
      <c r="G7157" s="4" t="str">
        <f>HYPERLINK("http://141.218.60.56/~jnz1568/getInfo.php?workbook=12_04.xlsx&amp;sheet=U0&amp;row=7157&amp;col=7&amp;number=0.00668&amp;sourceID=14","0.00668")</f>
        <v>0.00668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HYPERLINK("http://141.218.60.56/~jnz1568/getInfo.php?workbook=12_04.xlsx&amp;sheet=U0&amp;row=7158&amp;col=6&amp;number=4.4&amp;sourceID=14","4.4")</f>
        <v>4.4</v>
      </c>
      <c r="G7158" s="4" t="str">
        <f>HYPERLINK("http://141.218.60.56/~jnz1568/getInfo.php?workbook=12_04.xlsx&amp;sheet=U0&amp;row=7158&amp;col=7&amp;number=0.00651&amp;sourceID=14","0.00651")</f>
        <v>0.00651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HYPERLINK("http://141.218.60.56/~jnz1568/getInfo.php?workbook=12_04.xlsx&amp;sheet=U0&amp;row=7159&amp;col=6&amp;number=4.5&amp;sourceID=14","4.5")</f>
        <v>4.5</v>
      </c>
      <c r="G7159" s="4" t="str">
        <f>HYPERLINK("http://141.218.60.56/~jnz1568/getInfo.php?workbook=12_04.xlsx&amp;sheet=U0&amp;row=7159&amp;col=7&amp;number=0.00629&amp;sourceID=14","0.00629")</f>
        <v>0.00629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HYPERLINK("http://141.218.60.56/~jnz1568/getInfo.php?workbook=12_04.xlsx&amp;sheet=U0&amp;row=7160&amp;col=6&amp;number=4.6&amp;sourceID=14","4.6")</f>
        <v>4.6</v>
      </c>
      <c r="G7160" s="4" t="str">
        <f>HYPERLINK("http://141.218.60.56/~jnz1568/getInfo.php?workbook=12_04.xlsx&amp;sheet=U0&amp;row=7160&amp;col=7&amp;number=0.00604&amp;sourceID=14","0.00604")</f>
        <v>0.00604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HYPERLINK("http://141.218.60.56/~jnz1568/getInfo.php?workbook=12_04.xlsx&amp;sheet=U0&amp;row=7161&amp;col=6&amp;number=4.7&amp;sourceID=14","4.7")</f>
        <v>4.7</v>
      </c>
      <c r="G7161" s="4" t="str">
        <f>HYPERLINK("http://141.218.60.56/~jnz1568/getInfo.php?workbook=12_04.xlsx&amp;sheet=U0&amp;row=7161&amp;col=7&amp;number=0.00575&amp;sourceID=14","0.00575")</f>
        <v>0.00575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HYPERLINK("http://141.218.60.56/~jnz1568/getInfo.php?workbook=12_04.xlsx&amp;sheet=U0&amp;row=7162&amp;col=6&amp;number=4.8&amp;sourceID=14","4.8")</f>
        <v>4.8</v>
      </c>
      <c r="G7162" s="4" t="str">
        <f>HYPERLINK("http://141.218.60.56/~jnz1568/getInfo.php?workbook=12_04.xlsx&amp;sheet=U0&amp;row=7162&amp;col=7&amp;number=0.00543&amp;sourceID=14","0.00543")</f>
        <v>0.00543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HYPERLINK("http://141.218.60.56/~jnz1568/getInfo.php?workbook=12_04.xlsx&amp;sheet=U0&amp;row=7163&amp;col=6&amp;number=4.9&amp;sourceID=14","4.9")</f>
        <v>4.9</v>
      </c>
      <c r="G7163" s="4" t="str">
        <f>HYPERLINK("http://141.218.60.56/~jnz1568/getInfo.php?workbook=12_04.xlsx&amp;sheet=U0&amp;row=7163&amp;col=7&amp;number=0.00511&amp;sourceID=14","0.00511")</f>
        <v>0.00511</v>
      </c>
    </row>
    <row r="7164" spans="1:7">
      <c r="A7164" s="3">
        <v>12</v>
      </c>
      <c r="B7164" s="3">
        <v>4</v>
      </c>
      <c r="C7164" s="3">
        <v>4</v>
      </c>
      <c r="D7164" s="3">
        <v>75</v>
      </c>
      <c r="E7164" s="3">
        <v>1</v>
      </c>
      <c r="F7164" s="4" t="str">
        <f>HYPERLINK("http://141.218.60.56/~jnz1568/getInfo.php?workbook=12_04.xlsx&amp;sheet=U0&amp;row=7164&amp;col=6&amp;number=3&amp;sourceID=14","3")</f>
        <v>3</v>
      </c>
      <c r="G7164" s="4" t="str">
        <f>HYPERLINK("http://141.218.60.56/~jnz1568/getInfo.php?workbook=12_04.xlsx&amp;sheet=U0&amp;row=7164&amp;col=7&amp;number=0.00593&amp;sourceID=14","0.00593")</f>
        <v>0.00593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HYPERLINK("http://141.218.60.56/~jnz1568/getInfo.php?workbook=12_04.xlsx&amp;sheet=U0&amp;row=7165&amp;col=6&amp;number=3.1&amp;sourceID=14","3.1")</f>
        <v>3.1</v>
      </c>
      <c r="G7165" s="4" t="str">
        <f>HYPERLINK("http://141.218.60.56/~jnz1568/getInfo.php?workbook=12_04.xlsx&amp;sheet=U0&amp;row=7165&amp;col=7&amp;number=0.00593&amp;sourceID=14","0.00593")</f>
        <v>0.00593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HYPERLINK("http://141.218.60.56/~jnz1568/getInfo.php?workbook=12_04.xlsx&amp;sheet=U0&amp;row=7166&amp;col=6&amp;number=3.2&amp;sourceID=14","3.2")</f>
        <v>3.2</v>
      </c>
      <c r="G7166" s="4" t="str">
        <f>HYPERLINK("http://141.218.60.56/~jnz1568/getInfo.php?workbook=12_04.xlsx&amp;sheet=U0&amp;row=7166&amp;col=7&amp;number=0.00592&amp;sourceID=14","0.00592")</f>
        <v>0.00592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HYPERLINK("http://141.218.60.56/~jnz1568/getInfo.php?workbook=12_04.xlsx&amp;sheet=U0&amp;row=7167&amp;col=6&amp;number=3.3&amp;sourceID=14","3.3")</f>
        <v>3.3</v>
      </c>
      <c r="G7167" s="4" t="str">
        <f>HYPERLINK("http://141.218.60.56/~jnz1568/getInfo.php?workbook=12_04.xlsx&amp;sheet=U0&amp;row=7167&amp;col=7&amp;number=0.00591&amp;sourceID=14","0.00591")</f>
        <v>0.00591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HYPERLINK("http://141.218.60.56/~jnz1568/getInfo.php?workbook=12_04.xlsx&amp;sheet=U0&amp;row=7168&amp;col=6&amp;number=3.4&amp;sourceID=14","3.4")</f>
        <v>3.4</v>
      </c>
      <c r="G7168" s="4" t="str">
        <f>HYPERLINK("http://141.218.60.56/~jnz1568/getInfo.php?workbook=12_04.xlsx&amp;sheet=U0&amp;row=7168&amp;col=7&amp;number=0.0059&amp;sourceID=14","0.0059")</f>
        <v>0.0059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HYPERLINK("http://141.218.60.56/~jnz1568/getInfo.php?workbook=12_04.xlsx&amp;sheet=U0&amp;row=7169&amp;col=6&amp;number=3.5&amp;sourceID=14","3.5")</f>
        <v>3.5</v>
      </c>
      <c r="G7169" s="4" t="str">
        <f>HYPERLINK("http://141.218.60.56/~jnz1568/getInfo.php?workbook=12_04.xlsx&amp;sheet=U0&amp;row=7169&amp;col=7&amp;number=0.00589&amp;sourceID=14","0.00589")</f>
        <v>0.00589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HYPERLINK("http://141.218.60.56/~jnz1568/getInfo.php?workbook=12_04.xlsx&amp;sheet=U0&amp;row=7170&amp;col=6&amp;number=3.6&amp;sourceID=14","3.6")</f>
        <v>3.6</v>
      </c>
      <c r="G7170" s="4" t="str">
        <f>HYPERLINK("http://141.218.60.56/~jnz1568/getInfo.php?workbook=12_04.xlsx&amp;sheet=U0&amp;row=7170&amp;col=7&amp;number=0.00588&amp;sourceID=14","0.00588")</f>
        <v>0.00588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HYPERLINK("http://141.218.60.56/~jnz1568/getInfo.php?workbook=12_04.xlsx&amp;sheet=U0&amp;row=7171&amp;col=6&amp;number=3.7&amp;sourceID=14","3.7")</f>
        <v>3.7</v>
      </c>
      <c r="G7171" s="4" t="str">
        <f>HYPERLINK("http://141.218.60.56/~jnz1568/getInfo.php?workbook=12_04.xlsx&amp;sheet=U0&amp;row=7171&amp;col=7&amp;number=0.00586&amp;sourceID=14","0.00586")</f>
        <v>0.00586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HYPERLINK("http://141.218.60.56/~jnz1568/getInfo.php?workbook=12_04.xlsx&amp;sheet=U0&amp;row=7172&amp;col=6&amp;number=3.8&amp;sourceID=14","3.8")</f>
        <v>3.8</v>
      </c>
      <c r="G7172" s="4" t="str">
        <f>HYPERLINK("http://141.218.60.56/~jnz1568/getInfo.php?workbook=12_04.xlsx&amp;sheet=U0&amp;row=7172&amp;col=7&amp;number=0.00583&amp;sourceID=14","0.00583")</f>
        <v>0.00583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HYPERLINK("http://141.218.60.56/~jnz1568/getInfo.php?workbook=12_04.xlsx&amp;sheet=U0&amp;row=7173&amp;col=6&amp;number=3.9&amp;sourceID=14","3.9")</f>
        <v>3.9</v>
      </c>
      <c r="G7173" s="4" t="str">
        <f>HYPERLINK("http://141.218.60.56/~jnz1568/getInfo.php?workbook=12_04.xlsx&amp;sheet=U0&amp;row=7173&amp;col=7&amp;number=0.0058&amp;sourceID=14","0.0058")</f>
        <v>0.0058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HYPERLINK("http://141.218.60.56/~jnz1568/getInfo.php?workbook=12_04.xlsx&amp;sheet=U0&amp;row=7174&amp;col=6&amp;number=4&amp;sourceID=14","4")</f>
        <v>4</v>
      </c>
      <c r="G7174" s="4" t="str">
        <f>HYPERLINK("http://141.218.60.56/~jnz1568/getInfo.php?workbook=12_04.xlsx&amp;sheet=U0&amp;row=7174&amp;col=7&amp;number=0.00577&amp;sourceID=14","0.00577")</f>
        <v>0.00577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HYPERLINK("http://141.218.60.56/~jnz1568/getInfo.php?workbook=12_04.xlsx&amp;sheet=U0&amp;row=7175&amp;col=6&amp;number=4.1&amp;sourceID=14","4.1")</f>
        <v>4.1</v>
      </c>
      <c r="G7175" s="4" t="str">
        <f>HYPERLINK("http://141.218.60.56/~jnz1568/getInfo.php?workbook=12_04.xlsx&amp;sheet=U0&amp;row=7175&amp;col=7&amp;number=0.00572&amp;sourceID=14","0.00572")</f>
        <v>0.00572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HYPERLINK("http://141.218.60.56/~jnz1568/getInfo.php?workbook=12_04.xlsx&amp;sheet=U0&amp;row=7176&amp;col=6&amp;number=4.2&amp;sourceID=14","4.2")</f>
        <v>4.2</v>
      </c>
      <c r="G7176" s="4" t="str">
        <f>HYPERLINK("http://141.218.60.56/~jnz1568/getInfo.php?workbook=12_04.xlsx&amp;sheet=U0&amp;row=7176&amp;col=7&amp;number=0.00566&amp;sourceID=14","0.00566")</f>
        <v>0.00566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HYPERLINK("http://141.218.60.56/~jnz1568/getInfo.php?workbook=12_04.xlsx&amp;sheet=U0&amp;row=7177&amp;col=6&amp;number=4.3&amp;sourceID=14","4.3")</f>
        <v>4.3</v>
      </c>
      <c r="G7177" s="4" t="str">
        <f>HYPERLINK("http://141.218.60.56/~jnz1568/getInfo.php?workbook=12_04.xlsx&amp;sheet=U0&amp;row=7177&amp;col=7&amp;number=0.00559&amp;sourceID=14","0.00559")</f>
        <v>0.00559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HYPERLINK("http://141.218.60.56/~jnz1568/getInfo.php?workbook=12_04.xlsx&amp;sheet=U0&amp;row=7178&amp;col=6&amp;number=4.4&amp;sourceID=14","4.4")</f>
        <v>4.4</v>
      </c>
      <c r="G7178" s="4" t="str">
        <f>HYPERLINK("http://141.218.60.56/~jnz1568/getInfo.php?workbook=12_04.xlsx&amp;sheet=U0&amp;row=7178&amp;col=7&amp;number=0.0055&amp;sourceID=14","0.0055")</f>
        <v>0.0055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HYPERLINK("http://141.218.60.56/~jnz1568/getInfo.php?workbook=12_04.xlsx&amp;sheet=U0&amp;row=7179&amp;col=6&amp;number=4.5&amp;sourceID=14","4.5")</f>
        <v>4.5</v>
      </c>
      <c r="G7179" s="4" t="str">
        <f>HYPERLINK("http://141.218.60.56/~jnz1568/getInfo.php?workbook=12_04.xlsx&amp;sheet=U0&amp;row=7179&amp;col=7&amp;number=0.00539&amp;sourceID=14","0.00539")</f>
        <v>0.00539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HYPERLINK("http://141.218.60.56/~jnz1568/getInfo.php?workbook=12_04.xlsx&amp;sheet=U0&amp;row=7180&amp;col=6&amp;number=4.6&amp;sourceID=14","4.6")</f>
        <v>4.6</v>
      </c>
      <c r="G7180" s="4" t="str">
        <f>HYPERLINK("http://141.218.60.56/~jnz1568/getInfo.php?workbook=12_04.xlsx&amp;sheet=U0&amp;row=7180&amp;col=7&amp;number=0.00526&amp;sourceID=14","0.00526")</f>
        <v>0.00526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HYPERLINK("http://141.218.60.56/~jnz1568/getInfo.php?workbook=12_04.xlsx&amp;sheet=U0&amp;row=7181&amp;col=6&amp;number=4.7&amp;sourceID=14","4.7")</f>
        <v>4.7</v>
      </c>
      <c r="G7181" s="4" t="str">
        <f>HYPERLINK("http://141.218.60.56/~jnz1568/getInfo.php?workbook=12_04.xlsx&amp;sheet=U0&amp;row=7181&amp;col=7&amp;number=0.00509&amp;sourceID=14","0.00509")</f>
        <v>0.00509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HYPERLINK("http://141.218.60.56/~jnz1568/getInfo.php?workbook=12_04.xlsx&amp;sheet=U0&amp;row=7182&amp;col=6&amp;number=4.8&amp;sourceID=14","4.8")</f>
        <v>4.8</v>
      </c>
      <c r="G7182" s="4" t="str">
        <f>HYPERLINK("http://141.218.60.56/~jnz1568/getInfo.php?workbook=12_04.xlsx&amp;sheet=U0&amp;row=7182&amp;col=7&amp;number=0.00489&amp;sourceID=14","0.00489")</f>
        <v>0.00489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HYPERLINK("http://141.218.60.56/~jnz1568/getInfo.php?workbook=12_04.xlsx&amp;sheet=U0&amp;row=7183&amp;col=6&amp;number=4.9&amp;sourceID=14","4.9")</f>
        <v>4.9</v>
      </c>
      <c r="G7183" s="4" t="str">
        <f>HYPERLINK("http://141.218.60.56/~jnz1568/getInfo.php?workbook=12_04.xlsx&amp;sheet=U0&amp;row=7183&amp;col=7&amp;number=0.00466&amp;sourceID=14","0.00466")</f>
        <v>0.00466</v>
      </c>
    </row>
    <row r="7184" spans="1:7">
      <c r="A7184" s="3">
        <v>12</v>
      </c>
      <c r="B7184" s="3">
        <v>4</v>
      </c>
      <c r="C7184" s="3">
        <v>4</v>
      </c>
      <c r="D7184" s="3">
        <v>76</v>
      </c>
      <c r="E7184" s="3">
        <v>1</v>
      </c>
      <c r="F7184" s="4" t="str">
        <f>HYPERLINK("http://141.218.60.56/~jnz1568/getInfo.php?workbook=12_04.xlsx&amp;sheet=U0&amp;row=7184&amp;col=6&amp;number=3&amp;sourceID=14","3")</f>
        <v>3</v>
      </c>
      <c r="G7184" s="4" t="str">
        <f>HYPERLINK("http://141.218.60.56/~jnz1568/getInfo.php?workbook=12_04.xlsx&amp;sheet=U0&amp;row=7184&amp;col=7&amp;number=0.0102&amp;sourceID=14","0.0102")</f>
        <v>0.0102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HYPERLINK("http://141.218.60.56/~jnz1568/getInfo.php?workbook=12_04.xlsx&amp;sheet=U0&amp;row=7185&amp;col=6&amp;number=3.1&amp;sourceID=14","3.1")</f>
        <v>3.1</v>
      </c>
      <c r="G7185" s="4" t="str">
        <f>HYPERLINK("http://141.218.60.56/~jnz1568/getInfo.php?workbook=12_04.xlsx&amp;sheet=U0&amp;row=7185&amp;col=7&amp;number=0.0101&amp;sourceID=14","0.0101")</f>
        <v>0.0101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HYPERLINK("http://141.218.60.56/~jnz1568/getInfo.php?workbook=12_04.xlsx&amp;sheet=U0&amp;row=7186&amp;col=6&amp;number=3.2&amp;sourceID=14","3.2")</f>
        <v>3.2</v>
      </c>
      <c r="G7186" s="4" t="str">
        <f>HYPERLINK("http://141.218.60.56/~jnz1568/getInfo.php?workbook=12_04.xlsx&amp;sheet=U0&amp;row=7186&amp;col=7&amp;number=0.0101&amp;sourceID=14","0.0101")</f>
        <v>0.0101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HYPERLINK("http://141.218.60.56/~jnz1568/getInfo.php?workbook=12_04.xlsx&amp;sheet=U0&amp;row=7187&amp;col=6&amp;number=3.3&amp;sourceID=14","3.3")</f>
        <v>3.3</v>
      </c>
      <c r="G7187" s="4" t="str">
        <f>HYPERLINK("http://141.218.60.56/~jnz1568/getInfo.php?workbook=12_04.xlsx&amp;sheet=U0&amp;row=7187&amp;col=7&amp;number=0.0101&amp;sourceID=14","0.0101")</f>
        <v>0.0101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HYPERLINK("http://141.218.60.56/~jnz1568/getInfo.php?workbook=12_04.xlsx&amp;sheet=U0&amp;row=7188&amp;col=6&amp;number=3.4&amp;sourceID=14","3.4")</f>
        <v>3.4</v>
      </c>
      <c r="G7188" s="4" t="str">
        <f>HYPERLINK("http://141.218.60.56/~jnz1568/getInfo.php?workbook=12_04.xlsx&amp;sheet=U0&amp;row=7188&amp;col=7&amp;number=0.0101&amp;sourceID=14","0.0101")</f>
        <v>0.0101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HYPERLINK("http://141.218.60.56/~jnz1568/getInfo.php?workbook=12_04.xlsx&amp;sheet=U0&amp;row=7189&amp;col=6&amp;number=3.5&amp;sourceID=14","3.5")</f>
        <v>3.5</v>
      </c>
      <c r="G7189" s="4" t="str">
        <f>HYPERLINK("http://141.218.60.56/~jnz1568/getInfo.php?workbook=12_04.xlsx&amp;sheet=U0&amp;row=7189&amp;col=7&amp;number=0.0101&amp;sourceID=14","0.0101")</f>
        <v>0.0101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HYPERLINK("http://141.218.60.56/~jnz1568/getInfo.php?workbook=12_04.xlsx&amp;sheet=U0&amp;row=7190&amp;col=6&amp;number=3.6&amp;sourceID=14","3.6")</f>
        <v>3.6</v>
      </c>
      <c r="G7190" s="4" t="str">
        <f>HYPERLINK("http://141.218.60.56/~jnz1568/getInfo.php?workbook=12_04.xlsx&amp;sheet=U0&amp;row=7190&amp;col=7&amp;number=0.0101&amp;sourceID=14","0.0101")</f>
        <v>0.0101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HYPERLINK("http://141.218.60.56/~jnz1568/getInfo.php?workbook=12_04.xlsx&amp;sheet=U0&amp;row=7191&amp;col=6&amp;number=3.7&amp;sourceID=14","3.7")</f>
        <v>3.7</v>
      </c>
      <c r="G7191" s="4" t="str">
        <f>HYPERLINK("http://141.218.60.56/~jnz1568/getInfo.php?workbook=12_04.xlsx&amp;sheet=U0&amp;row=7191&amp;col=7&amp;number=0.01&amp;sourceID=14","0.01")</f>
        <v>0.01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HYPERLINK("http://141.218.60.56/~jnz1568/getInfo.php?workbook=12_04.xlsx&amp;sheet=U0&amp;row=7192&amp;col=6&amp;number=3.8&amp;sourceID=14","3.8")</f>
        <v>3.8</v>
      </c>
      <c r="G7192" s="4" t="str">
        <f>HYPERLINK("http://141.218.60.56/~jnz1568/getInfo.php?workbook=12_04.xlsx&amp;sheet=U0&amp;row=7192&amp;col=7&amp;number=0.00999&amp;sourceID=14","0.00999")</f>
        <v>0.00999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HYPERLINK("http://141.218.60.56/~jnz1568/getInfo.php?workbook=12_04.xlsx&amp;sheet=U0&amp;row=7193&amp;col=6&amp;number=3.9&amp;sourceID=14","3.9")</f>
        <v>3.9</v>
      </c>
      <c r="G7193" s="4" t="str">
        <f>HYPERLINK("http://141.218.60.56/~jnz1568/getInfo.php?workbook=12_04.xlsx&amp;sheet=U0&amp;row=7193&amp;col=7&amp;number=0.00993&amp;sourceID=14","0.00993")</f>
        <v>0.00993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HYPERLINK("http://141.218.60.56/~jnz1568/getInfo.php?workbook=12_04.xlsx&amp;sheet=U0&amp;row=7194&amp;col=6&amp;number=4&amp;sourceID=14","4")</f>
        <v>4</v>
      </c>
      <c r="G7194" s="4" t="str">
        <f>HYPERLINK("http://141.218.60.56/~jnz1568/getInfo.php?workbook=12_04.xlsx&amp;sheet=U0&amp;row=7194&amp;col=7&amp;number=0.00987&amp;sourceID=14","0.00987")</f>
        <v>0.00987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HYPERLINK("http://141.218.60.56/~jnz1568/getInfo.php?workbook=12_04.xlsx&amp;sheet=U0&amp;row=7195&amp;col=6&amp;number=4.1&amp;sourceID=14","4.1")</f>
        <v>4.1</v>
      </c>
      <c r="G7195" s="4" t="str">
        <f>HYPERLINK("http://141.218.60.56/~jnz1568/getInfo.php?workbook=12_04.xlsx&amp;sheet=U0&amp;row=7195&amp;col=7&amp;number=0.00979&amp;sourceID=14","0.00979")</f>
        <v>0.00979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HYPERLINK("http://141.218.60.56/~jnz1568/getInfo.php?workbook=12_04.xlsx&amp;sheet=U0&amp;row=7196&amp;col=6&amp;number=4.2&amp;sourceID=14","4.2")</f>
        <v>4.2</v>
      </c>
      <c r="G7196" s="4" t="str">
        <f>HYPERLINK("http://141.218.60.56/~jnz1568/getInfo.php?workbook=12_04.xlsx&amp;sheet=U0&amp;row=7196&amp;col=7&amp;number=0.00969&amp;sourceID=14","0.00969")</f>
        <v>0.00969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HYPERLINK("http://141.218.60.56/~jnz1568/getInfo.php?workbook=12_04.xlsx&amp;sheet=U0&amp;row=7197&amp;col=6&amp;number=4.3&amp;sourceID=14","4.3")</f>
        <v>4.3</v>
      </c>
      <c r="G7197" s="4" t="str">
        <f>HYPERLINK("http://141.218.60.56/~jnz1568/getInfo.php?workbook=12_04.xlsx&amp;sheet=U0&amp;row=7197&amp;col=7&amp;number=0.00956&amp;sourceID=14","0.00956")</f>
        <v>0.00956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HYPERLINK("http://141.218.60.56/~jnz1568/getInfo.php?workbook=12_04.xlsx&amp;sheet=U0&amp;row=7198&amp;col=6&amp;number=4.4&amp;sourceID=14","4.4")</f>
        <v>4.4</v>
      </c>
      <c r="G7198" s="4" t="str">
        <f>HYPERLINK("http://141.218.60.56/~jnz1568/getInfo.php?workbook=12_04.xlsx&amp;sheet=U0&amp;row=7198&amp;col=7&amp;number=0.0094&amp;sourceID=14","0.0094")</f>
        <v>0.0094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HYPERLINK("http://141.218.60.56/~jnz1568/getInfo.php?workbook=12_04.xlsx&amp;sheet=U0&amp;row=7199&amp;col=6&amp;number=4.5&amp;sourceID=14","4.5")</f>
        <v>4.5</v>
      </c>
      <c r="G7199" s="4" t="str">
        <f>HYPERLINK("http://141.218.60.56/~jnz1568/getInfo.php?workbook=12_04.xlsx&amp;sheet=U0&amp;row=7199&amp;col=7&amp;number=0.0092&amp;sourceID=14","0.0092")</f>
        <v>0.0092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HYPERLINK("http://141.218.60.56/~jnz1568/getInfo.php?workbook=12_04.xlsx&amp;sheet=U0&amp;row=7200&amp;col=6&amp;number=4.6&amp;sourceID=14","4.6")</f>
        <v>4.6</v>
      </c>
      <c r="G7200" s="4" t="str">
        <f>HYPERLINK("http://141.218.60.56/~jnz1568/getInfo.php?workbook=12_04.xlsx&amp;sheet=U0&amp;row=7200&amp;col=7&amp;number=0.00895&amp;sourceID=14","0.00895")</f>
        <v>0.00895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HYPERLINK("http://141.218.60.56/~jnz1568/getInfo.php?workbook=12_04.xlsx&amp;sheet=U0&amp;row=7201&amp;col=6&amp;number=4.7&amp;sourceID=14","4.7")</f>
        <v>4.7</v>
      </c>
      <c r="G7201" s="4" t="str">
        <f>HYPERLINK("http://141.218.60.56/~jnz1568/getInfo.php?workbook=12_04.xlsx&amp;sheet=U0&amp;row=7201&amp;col=7&amp;number=0.00864&amp;sourceID=14","0.00864")</f>
        <v>0.00864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HYPERLINK("http://141.218.60.56/~jnz1568/getInfo.php?workbook=12_04.xlsx&amp;sheet=U0&amp;row=7202&amp;col=6&amp;number=4.8&amp;sourceID=14","4.8")</f>
        <v>4.8</v>
      </c>
      <c r="G7202" s="4" t="str">
        <f>HYPERLINK("http://141.218.60.56/~jnz1568/getInfo.php?workbook=12_04.xlsx&amp;sheet=U0&amp;row=7202&amp;col=7&amp;number=0.00826&amp;sourceID=14","0.00826")</f>
        <v>0.00826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HYPERLINK("http://141.218.60.56/~jnz1568/getInfo.php?workbook=12_04.xlsx&amp;sheet=U0&amp;row=7203&amp;col=6&amp;number=4.9&amp;sourceID=14","4.9")</f>
        <v>4.9</v>
      </c>
      <c r="G7203" s="4" t="str">
        <f>HYPERLINK("http://141.218.60.56/~jnz1568/getInfo.php?workbook=12_04.xlsx&amp;sheet=U0&amp;row=7203&amp;col=7&amp;number=0.0078&amp;sourceID=14","0.0078")</f>
        <v>0.0078</v>
      </c>
    </row>
    <row r="7204" spans="1:7">
      <c r="A7204" s="3">
        <v>12</v>
      </c>
      <c r="B7204" s="3">
        <v>4</v>
      </c>
      <c r="C7204" s="3">
        <v>4</v>
      </c>
      <c r="D7204" s="3">
        <v>77</v>
      </c>
      <c r="E7204" s="3">
        <v>1</v>
      </c>
      <c r="F7204" s="4" t="str">
        <f>HYPERLINK("http://141.218.60.56/~jnz1568/getInfo.php?workbook=12_04.xlsx&amp;sheet=U0&amp;row=7204&amp;col=6&amp;number=3&amp;sourceID=14","3")</f>
        <v>3</v>
      </c>
      <c r="G7204" s="4" t="str">
        <f>HYPERLINK("http://141.218.60.56/~jnz1568/getInfo.php?workbook=12_04.xlsx&amp;sheet=U0&amp;row=7204&amp;col=7&amp;number=0.0224&amp;sourceID=14","0.0224")</f>
        <v>0.0224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HYPERLINK("http://141.218.60.56/~jnz1568/getInfo.php?workbook=12_04.xlsx&amp;sheet=U0&amp;row=7205&amp;col=6&amp;number=3.1&amp;sourceID=14","3.1")</f>
        <v>3.1</v>
      </c>
      <c r="G7205" s="4" t="str">
        <f>HYPERLINK("http://141.218.60.56/~jnz1568/getInfo.php?workbook=12_04.xlsx&amp;sheet=U0&amp;row=7205&amp;col=7&amp;number=0.0224&amp;sourceID=14","0.0224")</f>
        <v>0.0224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HYPERLINK("http://141.218.60.56/~jnz1568/getInfo.php?workbook=12_04.xlsx&amp;sheet=U0&amp;row=7206&amp;col=6&amp;number=3.2&amp;sourceID=14","3.2")</f>
        <v>3.2</v>
      </c>
      <c r="G7206" s="4" t="str">
        <f>HYPERLINK("http://141.218.60.56/~jnz1568/getInfo.php?workbook=12_04.xlsx&amp;sheet=U0&amp;row=7206&amp;col=7&amp;number=0.0224&amp;sourceID=14","0.0224")</f>
        <v>0.0224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HYPERLINK("http://141.218.60.56/~jnz1568/getInfo.php?workbook=12_04.xlsx&amp;sheet=U0&amp;row=7207&amp;col=6&amp;number=3.3&amp;sourceID=14","3.3")</f>
        <v>3.3</v>
      </c>
      <c r="G7207" s="4" t="str">
        <f>HYPERLINK("http://141.218.60.56/~jnz1568/getInfo.php?workbook=12_04.xlsx&amp;sheet=U0&amp;row=7207&amp;col=7&amp;number=0.0224&amp;sourceID=14","0.0224")</f>
        <v>0.0224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HYPERLINK("http://141.218.60.56/~jnz1568/getInfo.php?workbook=12_04.xlsx&amp;sheet=U0&amp;row=7208&amp;col=6&amp;number=3.4&amp;sourceID=14","3.4")</f>
        <v>3.4</v>
      </c>
      <c r="G7208" s="4" t="str">
        <f>HYPERLINK("http://141.218.60.56/~jnz1568/getInfo.php?workbook=12_04.xlsx&amp;sheet=U0&amp;row=7208&amp;col=7&amp;number=0.0223&amp;sourceID=14","0.0223")</f>
        <v>0.0223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HYPERLINK("http://141.218.60.56/~jnz1568/getInfo.php?workbook=12_04.xlsx&amp;sheet=U0&amp;row=7209&amp;col=6&amp;number=3.5&amp;sourceID=14","3.5")</f>
        <v>3.5</v>
      </c>
      <c r="G7209" s="4" t="str">
        <f>HYPERLINK("http://141.218.60.56/~jnz1568/getInfo.php?workbook=12_04.xlsx&amp;sheet=U0&amp;row=7209&amp;col=7&amp;number=0.0223&amp;sourceID=14","0.0223")</f>
        <v>0.0223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HYPERLINK("http://141.218.60.56/~jnz1568/getInfo.php?workbook=12_04.xlsx&amp;sheet=U0&amp;row=7210&amp;col=6&amp;number=3.6&amp;sourceID=14","3.6")</f>
        <v>3.6</v>
      </c>
      <c r="G7210" s="4" t="str">
        <f>HYPERLINK("http://141.218.60.56/~jnz1568/getInfo.php?workbook=12_04.xlsx&amp;sheet=U0&amp;row=7210&amp;col=7&amp;number=0.0223&amp;sourceID=14","0.0223")</f>
        <v>0.0223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HYPERLINK("http://141.218.60.56/~jnz1568/getInfo.php?workbook=12_04.xlsx&amp;sheet=U0&amp;row=7211&amp;col=6&amp;number=3.7&amp;sourceID=14","3.7")</f>
        <v>3.7</v>
      </c>
      <c r="G7211" s="4" t="str">
        <f>HYPERLINK("http://141.218.60.56/~jnz1568/getInfo.php?workbook=12_04.xlsx&amp;sheet=U0&amp;row=7211&amp;col=7&amp;number=0.0223&amp;sourceID=14","0.0223")</f>
        <v>0.0223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HYPERLINK("http://141.218.60.56/~jnz1568/getInfo.php?workbook=12_04.xlsx&amp;sheet=U0&amp;row=7212&amp;col=6&amp;number=3.8&amp;sourceID=14","3.8")</f>
        <v>3.8</v>
      </c>
      <c r="G7212" s="4" t="str">
        <f>HYPERLINK("http://141.218.60.56/~jnz1568/getInfo.php?workbook=12_04.xlsx&amp;sheet=U0&amp;row=7212&amp;col=7&amp;number=0.0222&amp;sourceID=14","0.0222")</f>
        <v>0.0222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HYPERLINK("http://141.218.60.56/~jnz1568/getInfo.php?workbook=12_04.xlsx&amp;sheet=U0&amp;row=7213&amp;col=6&amp;number=3.9&amp;sourceID=14","3.9")</f>
        <v>3.9</v>
      </c>
      <c r="G7213" s="4" t="str">
        <f>HYPERLINK("http://141.218.60.56/~jnz1568/getInfo.php?workbook=12_04.xlsx&amp;sheet=U0&amp;row=7213&amp;col=7&amp;number=0.0222&amp;sourceID=14","0.0222")</f>
        <v>0.0222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HYPERLINK("http://141.218.60.56/~jnz1568/getInfo.php?workbook=12_04.xlsx&amp;sheet=U0&amp;row=7214&amp;col=6&amp;number=4&amp;sourceID=14","4")</f>
        <v>4</v>
      </c>
      <c r="G7214" s="4" t="str">
        <f>HYPERLINK("http://141.218.60.56/~jnz1568/getInfo.php?workbook=12_04.xlsx&amp;sheet=U0&amp;row=7214&amp;col=7&amp;number=0.0222&amp;sourceID=14","0.0222")</f>
        <v>0.0222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HYPERLINK("http://141.218.60.56/~jnz1568/getInfo.php?workbook=12_04.xlsx&amp;sheet=U0&amp;row=7215&amp;col=6&amp;number=4.1&amp;sourceID=14","4.1")</f>
        <v>4.1</v>
      </c>
      <c r="G7215" s="4" t="str">
        <f>HYPERLINK("http://141.218.60.56/~jnz1568/getInfo.php?workbook=12_04.xlsx&amp;sheet=U0&amp;row=7215&amp;col=7&amp;number=0.0221&amp;sourceID=14","0.0221")</f>
        <v>0.0221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HYPERLINK("http://141.218.60.56/~jnz1568/getInfo.php?workbook=12_04.xlsx&amp;sheet=U0&amp;row=7216&amp;col=6&amp;number=4.2&amp;sourceID=14","4.2")</f>
        <v>4.2</v>
      </c>
      <c r="G7216" s="4" t="str">
        <f>HYPERLINK("http://141.218.60.56/~jnz1568/getInfo.php?workbook=12_04.xlsx&amp;sheet=U0&amp;row=7216&amp;col=7&amp;number=0.022&amp;sourceID=14","0.022")</f>
        <v>0.022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HYPERLINK("http://141.218.60.56/~jnz1568/getInfo.php?workbook=12_04.xlsx&amp;sheet=U0&amp;row=7217&amp;col=6&amp;number=4.3&amp;sourceID=14","4.3")</f>
        <v>4.3</v>
      </c>
      <c r="G7217" s="4" t="str">
        <f>HYPERLINK("http://141.218.60.56/~jnz1568/getInfo.php?workbook=12_04.xlsx&amp;sheet=U0&amp;row=7217&amp;col=7&amp;number=0.0219&amp;sourceID=14","0.0219")</f>
        <v>0.0219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HYPERLINK("http://141.218.60.56/~jnz1568/getInfo.php?workbook=12_04.xlsx&amp;sheet=U0&amp;row=7218&amp;col=6&amp;number=4.4&amp;sourceID=14","4.4")</f>
        <v>4.4</v>
      </c>
      <c r="G7218" s="4" t="str">
        <f>HYPERLINK("http://141.218.60.56/~jnz1568/getInfo.php?workbook=12_04.xlsx&amp;sheet=U0&amp;row=7218&amp;col=7&amp;number=0.0218&amp;sourceID=14","0.0218")</f>
        <v>0.0218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HYPERLINK("http://141.218.60.56/~jnz1568/getInfo.php?workbook=12_04.xlsx&amp;sheet=U0&amp;row=7219&amp;col=6&amp;number=4.5&amp;sourceID=14","4.5")</f>
        <v>4.5</v>
      </c>
      <c r="G7219" s="4" t="str">
        <f>HYPERLINK("http://141.218.60.56/~jnz1568/getInfo.php?workbook=12_04.xlsx&amp;sheet=U0&amp;row=7219&amp;col=7&amp;number=0.0216&amp;sourceID=14","0.0216")</f>
        <v>0.0216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HYPERLINK("http://141.218.60.56/~jnz1568/getInfo.php?workbook=12_04.xlsx&amp;sheet=U0&amp;row=7220&amp;col=6&amp;number=4.6&amp;sourceID=14","4.6")</f>
        <v>4.6</v>
      </c>
      <c r="G7220" s="4" t="str">
        <f>HYPERLINK("http://141.218.60.56/~jnz1568/getInfo.php?workbook=12_04.xlsx&amp;sheet=U0&amp;row=7220&amp;col=7&amp;number=0.0214&amp;sourceID=14","0.0214")</f>
        <v>0.0214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HYPERLINK("http://141.218.60.56/~jnz1568/getInfo.php?workbook=12_04.xlsx&amp;sheet=U0&amp;row=7221&amp;col=6&amp;number=4.7&amp;sourceID=14","4.7")</f>
        <v>4.7</v>
      </c>
      <c r="G7221" s="4" t="str">
        <f>HYPERLINK("http://141.218.60.56/~jnz1568/getInfo.php?workbook=12_04.xlsx&amp;sheet=U0&amp;row=7221&amp;col=7&amp;number=0.0212&amp;sourceID=14","0.0212")</f>
        <v>0.0212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HYPERLINK("http://141.218.60.56/~jnz1568/getInfo.php?workbook=12_04.xlsx&amp;sheet=U0&amp;row=7222&amp;col=6&amp;number=4.8&amp;sourceID=14","4.8")</f>
        <v>4.8</v>
      </c>
      <c r="G7222" s="4" t="str">
        <f>HYPERLINK("http://141.218.60.56/~jnz1568/getInfo.php?workbook=12_04.xlsx&amp;sheet=U0&amp;row=7222&amp;col=7&amp;number=0.0209&amp;sourceID=14","0.0209")</f>
        <v>0.0209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HYPERLINK("http://141.218.60.56/~jnz1568/getInfo.php?workbook=12_04.xlsx&amp;sheet=U0&amp;row=7223&amp;col=6&amp;number=4.9&amp;sourceID=14","4.9")</f>
        <v>4.9</v>
      </c>
      <c r="G7223" s="4" t="str">
        <f>HYPERLINK("http://141.218.60.56/~jnz1568/getInfo.php?workbook=12_04.xlsx&amp;sheet=U0&amp;row=7223&amp;col=7&amp;number=0.0206&amp;sourceID=14","0.0206")</f>
        <v>0.0206</v>
      </c>
    </row>
    <row r="7224" spans="1:7">
      <c r="A7224" s="3">
        <v>12</v>
      </c>
      <c r="B7224" s="3">
        <v>4</v>
      </c>
      <c r="C7224" s="3">
        <v>4</v>
      </c>
      <c r="D7224" s="3">
        <v>78</v>
      </c>
      <c r="E7224" s="3">
        <v>1</v>
      </c>
      <c r="F7224" s="4" t="str">
        <f>HYPERLINK("http://141.218.60.56/~jnz1568/getInfo.php?workbook=12_04.xlsx&amp;sheet=U0&amp;row=7224&amp;col=6&amp;number=3&amp;sourceID=14","3")</f>
        <v>3</v>
      </c>
      <c r="G7224" s="4" t="str">
        <f>HYPERLINK("http://141.218.60.56/~jnz1568/getInfo.php?workbook=12_04.xlsx&amp;sheet=U0&amp;row=7224&amp;col=7&amp;number=0.00153&amp;sourceID=14","0.00153")</f>
        <v>0.00153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HYPERLINK("http://141.218.60.56/~jnz1568/getInfo.php?workbook=12_04.xlsx&amp;sheet=U0&amp;row=7225&amp;col=6&amp;number=3.1&amp;sourceID=14","3.1")</f>
        <v>3.1</v>
      </c>
      <c r="G7225" s="4" t="str">
        <f>HYPERLINK("http://141.218.60.56/~jnz1568/getInfo.php?workbook=12_04.xlsx&amp;sheet=U0&amp;row=7225&amp;col=7&amp;number=0.00153&amp;sourceID=14","0.00153")</f>
        <v>0.00153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HYPERLINK("http://141.218.60.56/~jnz1568/getInfo.php?workbook=12_04.xlsx&amp;sheet=U0&amp;row=7226&amp;col=6&amp;number=3.2&amp;sourceID=14","3.2")</f>
        <v>3.2</v>
      </c>
      <c r="G7226" s="4" t="str">
        <f>HYPERLINK("http://141.218.60.56/~jnz1568/getInfo.php?workbook=12_04.xlsx&amp;sheet=U0&amp;row=7226&amp;col=7&amp;number=0.00153&amp;sourceID=14","0.00153")</f>
        <v>0.00153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HYPERLINK("http://141.218.60.56/~jnz1568/getInfo.php?workbook=12_04.xlsx&amp;sheet=U0&amp;row=7227&amp;col=6&amp;number=3.3&amp;sourceID=14","3.3")</f>
        <v>3.3</v>
      </c>
      <c r="G7227" s="4" t="str">
        <f>HYPERLINK("http://141.218.60.56/~jnz1568/getInfo.php?workbook=12_04.xlsx&amp;sheet=U0&amp;row=7227&amp;col=7&amp;number=0.00153&amp;sourceID=14","0.00153")</f>
        <v>0.00153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HYPERLINK("http://141.218.60.56/~jnz1568/getInfo.php?workbook=12_04.xlsx&amp;sheet=U0&amp;row=7228&amp;col=6&amp;number=3.4&amp;sourceID=14","3.4")</f>
        <v>3.4</v>
      </c>
      <c r="G7228" s="4" t="str">
        <f>HYPERLINK("http://141.218.60.56/~jnz1568/getInfo.php?workbook=12_04.xlsx&amp;sheet=U0&amp;row=7228&amp;col=7&amp;number=0.00153&amp;sourceID=14","0.00153")</f>
        <v>0.00153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HYPERLINK("http://141.218.60.56/~jnz1568/getInfo.php?workbook=12_04.xlsx&amp;sheet=U0&amp;row=7229&amp;col=6&amp;number=3.5&amp;sourceID=14","3.5")</f>
        <v>3.5</v>
      </c>
      <c r="G7229" s="4" t="str">
        <f>HYPERLINK("http://141.218.60.56/~jnz1568/getInfo.php?workbook=12_04.xlsx&amp;sheet=U0&amp;row=7229&amp;col=7&amp;number=0.00152&amp;sourceID=14","0.00152")</f>
        <v>0.00152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HYPERLINK("http://141.218.60.56/~jnz1568/getInfo.php?workbook=12_04.xlsx&amp;sheet=U0&amp;row=7230&amp;col=6&amp;number=3.6&amp;sourceID=14","3.6")</f>
        <v>3.6</v>
      </c>
      <c r="G7230" s="4" t="str">
        <f>HYPERLINK("http://141.218.60.56/~jnz1568/getInfo.php?workbook=12_04.xlsx&amp;sheet=U0&amp;row=7230&amp;col=7&amp;number=0.00152&amp;sourceID=14","0.00152")</f>
        <v>0.00152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HYPERLINK("http://141.218.60.56/~jnz1568/getInfo.php?workbook=12_04.xlsx&amp;sheet=U0&amp;row=7231&amp;col=6&amp;number=3.7&amp;sourceID=14","3.7")</f>
        <v>3.7</v>
      </c>
      <c r="G7231" s="4" t="str">
        <f>HYPERLINK("http://141.218.60.56/~jnz1568/getInfo.php?workbook=12_04.xlsx&amp;sheet=U0&amp;row=7231&amp;col=7&amp;number=0.00152&amp;sourceID=14","0.00152")</f>
        <v>0.00152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HYPERLINK("http://141.218.60.56/~jnz1568/getInfo.php?workbook=12_04.xlsx&amp;sheet=U0&amp;row=7232&amp;col=6&amp;number=3.8&amp;sourceID=14","3.8")</f>
        <v>3.8</v>
      </c>
      <c r="G7232" s="4" t="str">
        <f>HYPERLINK("http://141.218.60.56/~jnz1568/getInfo.php?workbook=12_04.xlsx&amp;sheet=U0&amp;row=7232&amp;col=7&amp;number=0.00151&amp;sourceID=14","0.00151")</f>
        <v>0.00151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HYPERLINK("http://141.218.60.56/~jnz1568/getInfo.php?workbook=12_04.xlsx&amp;sheet=U0&amp;row=7233&amp;col=6&amp;number=3.9&amp;sourceID=14","3.9")</f>
        <v>3.9</v>
      </c>
      <c r="G7233" s="4" t="str">
        <f>HYPERLINK("http://141.218.60.56/~jnz1568/getInfo.php?workbook=12_04.xlsx&amp;sheet=U0&amp;row=7233&amp;col=7&amp;number=0.00151&amp;sourceID=14","0.00151")</f>
        <v>0.00151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HYPERLINK("http://141.218.60.56/~jnz1568/getInfo.php?workbook=12_04.xlsx&amp;sheet=U0&amp;row=7234&amp;col=6&amp;number=4&amp;sourceID=14","4")</f>
        <v>4</v>
      </c>
      <c r="G7234" s="4" t="str">
        <f>HYPERLINK("http://141.218.60.56/~jnz1568/getInfo.php?workbook=12_04.xlsx&amp;sheet=U0&amp;row=7234&amp;col=7&amp;number=0.0015&amp;sourceID=14","0.0015")</f>
        <v>0.0015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HYPERLINK("http://141.218.60.56/~jnz1568/getInfo.php?workbook=12_04.xlsx&amp;sheet=U0&amp;row=7235&amp;col=6&amp;number=4.1&amp;sourceID=14","4.1")</f>
        <v>4.1</v>
      </c>
      <c r="G7235" s="4" t="str">
        <f>HYPERLINK("http://141.218.60.56/~jnz1568/getInfo.php?workbook=12_04.xlsx&amp;sheet=U0&amp;row=7235&amp;col=7&amp;number=0.00149&amp;sourceID=14","0.00149")</f>
        <v>0.00149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HYPERLINK("http://141.218.60.56/~jnz1568/getInfo.php?workbook=12_04.xlsx&amp;sheet=U0&amp;row=7236&amp;col=6&amp;number=4.2&amp;sourceID=14","4.2")</f>
        <v>4.2</v>
      </c>
      <c r="G7236" s="4" t="str">
        <f>HYPERLINK("http://141.218.60.56/~jnz1568/getInfo.php?workbook=12_04.xlsx&amp;sheet=U0&amp;row=7236&amp;col=7&amp;number=0.00148&amp;sourceID=14","0.00148")</f>
        <v>0.00148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HYPERLINK("http://141.218.60.56/~jnz1568/getInfo.php?workbook=12_04.xlsx&amp;sheet=U0&amp;row=7237&amp;col=6&amp;number=4.3&amp;sourceID=14","4.3")</f>
        <v>4.3</v>
      </c>
      <c r="G7237" s="4" t="str">
        <f>HYPERLINK("http://141.218.60.56/~jnz1568/getInfo.php?workbook=12_04.xlsx&amp;sheet=U0&amp;row=7237&amp;col=7&amp;number=0.00146&amp;sourceID=14","0.00146")</f>
        <v>0.00146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HYPERLINK("http://141.218.60.56/~jnz1568/getInfo.php?workbook=12_04.xlsx&amp;sheet=U0&amp;row=7238&amp;col=6&amp;number=4.4&amp;sourceID=14","4.4")</f>
        <v>4.4</v>
      </c>
      <c r="G7238" s="4" t="str">
        <f>HYPERLINK("http://141.218.60.56/~jnz1568/getInfo.php?workbook=12_04.xlsx&amp;sheet=U0&amp;row=7238&amp;col=7&amp;number=0.00144&amp;sourceID=14","0.00144")</f>
        <v>0.00144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HYPERLINK("http://141.218.60.56/~jnz1568/getInfo.php?workbook=12_04.xlsx&amp;sheet=U0&amp;row=7239&amp;col=6&amp;number=4.5&amp;sourceID=14","4.5")</f>
        <v>4.5</v>
      </c>
      <c r="G7239" s="4" t="str">
        <f>HYPERLINK("http://141.218.60.56/~jnz1568/getInfo.php?workbook=12_04.xlsx&amp;sheet=U0&amp;row=7239&amp;col=7&amp;number=0.00142&amp;sourceID=14","0.00142")</f>
        <v>0.00142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HYPERLINK("http://141.218.60.56/~jnz1568/getInfo.php?workbook=12_04.xlsx&amp;sheet=U0&amp;row=7240&amp;col=6&amp;number=4.6&amp;sourceID=14","4.6")</f>
        <v>4.6</v>
      </c>
      <c r="G7240" s="4" t="str">
        <f>HYPERLINK("http://141.218.60.56/~jnz1568/getInfo.php?workbook=12_04.xlsx&amp;sheet=U0&amp;row=7240&amp;col=7&amp;number=0.0014&amp;sourceID=14","0.0014")</f>
        <v>0.0014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HYPERLINK("http://141.218.60.56/~jnz1568/getInfo.php?workbook=12_04.xlsx&amp;sheet=U0&amp;row=7241&amp;col=6&amp;number=4.7&amp;sourceID=14","4.7")</f>
        <v>4.7</v>
      </c>
      <c r="G7241" s="4" t="str">
        <f>HYPERLINK("http://141.218.60.56/~jnz1568/getInfo.php?workbook=12_04.xlsx&amp;sheet=U0&amp;row=7241&amp;col=7&amp;number=0.00137&amp;sourceID=14","0.00137")</f>
        <v>0.00137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HYPERLINK("http://141.218.60.56/~jnz1568/getInfo.php?workbook=12_04.xlsx&amp;sheet=U0&amp;row=7242&amp;col=6&amp;number=4.8&amp;sourceID=14","4.8")</f>
        <v>4.8</v>
      </c>
      <c r="G7242" s="4" t="str">
        <f>HYPERLINK("http://141.218.60.56/~jnz1568/getInfo.php?workbook=12_04.xlsx&amp;sheet=U0&amp;row=7242&amp;col=7&amp;number=0.00133&amp;sourceID=14","0.00133")</f>
        <v>0.00133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HYPERLINK("http://141.218.60.56/~jnz1568/getInfo.php?workbook=12_04.xlsx&amp;sheet=U0&amp;row=7243&amp;col=6&amp;number=4.9&amp;sourceID=14","4.9")</f>
        <v>4.9</v>
      </c>
      <c r="G7243" s="4" t="str">
        <f>HYPERLINK("http://141.218.60.56/~jnz1568/getInfo.php?workbook=12_04.xlsx&amp;sheet=U0&amp;row=7243&amp;col=7&amp;number=0.0013&amp;sourceID=14","0.0013")</f>
        <v>0.0013</v>
      </c>
    </row>
    <row r="7244" spans="1:7">
      <c r="A7244" s="3">
        <v>12</v>
      </c>
      <c r="B7244" s="3">
        <v>4</v>
      </c>
      <c r="C7244" s="3">
        <v>4</v>
      </c>
      <c r="D7244" s="3">
        <v>79</v>
      </c>
      <c r="E7244" s="3">
        <v>1</v>
      </c>
      <c r="F7244" s="4" t="str">
        <f>HYPERLINK("http://141.218.60.56/~jnz1568/getInfo.php?workbook=12_04.xlsx&amp;sheet=U0&amp;row=7244&amp;col=6&amp;number=3&amp;sourceID=14","3")</f>
        <v>3</v>
      </c>
      <c r="G7244" s="4" t="str">
        <f>HYPERLINK("http://141.218.60.56/~jnz1568/getInfo.php?workbook=12_04.xlsx&amp;sheet=U0&amp;row=7244&amp;col=7&amp;number=0.00527&amp;sourceID=14","0.00527")</f>
        <v>0.00527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HYPERLINK("http://141.218.60.56/~jnz1568/getInfo.php?workbook=12_04.xlsx&amp;sheet=U0&amp;row=7245&amp;col=6&amp;number=3.1&amp;sourceID=14","3.1")</f>
        <v>3.1</v>
      </c>
      <c r="G7245" s="4" t="str">
        <f>HYPERLINK("http://141.218.60.56/~jnz1568/getInfo.php?workbook=12_04.xlsx&amp;sheet=U0&amp;row=7245&amp;col=7&amp;number=0.00526&amp;sourceID=14","0.00526")</f>
        <v>0.00526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HYPERLINK("http://141.218.60.56/~jnz1568/getInfo.php?workbook=12_04.xlsx&amp;sheet=U0&amp;row=7246&amp;col=6&amp;number=3.2&amp;sourceID=14","3.2")</f>
        <v>3.2</v>
      </c>
      <c r="G7246" s="4" t="str">
        <f>HYPERLINK("http://141.218.60.56/~jnz1568/getInfo.php?workbook=12_04.xlsx&amp;sheet=U0&amp;row=7246&amp;col=7&amp;number=0.00526&amp;sourceID=14","0.00526")</f>
        <v>0.00526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HYPERLINK("http://141.218.60.56/~jnz1568/getInfo.php?workbook=12_04.xlsx&amp;sheet=U0&amp;row=7247&amp;col=6&amp;number=3.3&amp;sourceID=14","3.3")</f>
        <v>3.3</v>
      </c>
      <c r="G7247" s="4" t="str">
        <f>HYPERLINK("http://141.218.60.56/~jnz1568/getInfo.php?workbook=12_04.xlsx&amp;sheet=U0&amp;row=7247&amp;col=7&amp;number=0.00525&amp;sourceID=14","0.00525")</f>
        <v>0.00525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HYPERLINK("http://141.218.60.56/~jnz1568/getInfo.php?workbook=12_04.xlsx&amp;sheet=U0&amp;row=7248&amp;col=6&amp;number=3.4&amp;sourceID=14","3.4")</f>
        <v>3.4</v>
      </c>
      <c r="G7248" s="4" t="str">
        <f>HYPERLINK("http://141.218.60.56/~jnz1568/getInfo.php?workbook=12_04.xlsx&amp;sheet=U0&amp;row=7248&amp;col=7&amp;number=0.00525&amp;sourceID=14","0.00525")</f>
        <v>0.00525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HYPERLINK("http://141.218.60.56/~jnz1568/getInfo.php?workbook=12_04.xlsx&amp;sheet=U0&amp;row=7249&amp;col=6&amp;number=3.5&amp;sourceID=14","3.5")</f>
        <v>3.5</v>
      </c>
      <c r="G7249" s="4" t="str">
        <f>HYPERLINK("http://141.218.60.56/~jnz1568/getInfo.php?workbook=12_04.xlsx&amp;sheet=U0&amp;row=7249&amp;col=7&amp;number=0.00524&amp;sourceID=14","0.00524")</f>
        <v>0.00524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HYPERLINK("http://141.218.60.56/~jnz1568/getInfo.php?workbook=12_04.xlsx&amp;sheet=U0&amp;row=7250&amp;col=6&amp;number=3.6&amp;sourceID=14","3.6")</f>
        <v>3.6</v>
      </c>
      <c r="G7250" s="4" t="str">
        <f>HYPERLINK("http://141.218.60.56/~jnz1568/getInfo.php?workbook=12_04.xlsx&amp;sheet=U0&amp;row=7250&amp;col=7&amp;number=0.00523&amp;sourceID=14","0.00523")</f>
        <v>0.00523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HYPERLINK("http://141.218.60.56/~jnz1568/getInfo.php?workbook=12_04.xlsx&amp;sheet=U0&amp;row=7251&amp;col=6&amp;number=3.7&amp;sourceID=14","3.7")</f>
        <v>3.7</v>
      </c>
      <c r="G7251" s="4" t="str">
        <f>HYPERLINK("http://141.218.60.56/~jnz1568/getInfo.php?workbook=12_04.xlsx&amp;sheet=U0&amp;row=7251&amp;col=7&amp;number=0.00521&amp;sourceID=14","0.00521")</f>
        <v>0.00521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HYPERLINK("http://141.218.60.56/~jnz1568/getInfo.php?workbook=12_04.xlsx&amp;sheet=U0&amp;row=7252&amp;col=6&amp;number=3.8&amp;sourceID=14","3.8")</f>
        <v>3.8</v>
      </c>
      <c r="G7252" s="4" t="str">
        <f>HYPERLINK("http://141.218.60.56/~jnz1568/getInfo.php?workbook=12_04.xlsx&amp;sheet=U0&amp;row=7252&amp;col=7&amp;number=0.0052&amp;sourceID=14","0.0052")</f>
        <v>0.0052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HYPERLINK("http://141.218.60.56/~jnz1568/getInfo.php?workbook=12_04.xlsx&amp;sheet=U0&amp;row=7253&amp;col=6&amp;number=3.9&amp;sourceID=14","3.9")</f>
        <v>3.9</v>
      </c>
      <c r="G7253" s="4" t="str">
        <f>HYPERLINK("http://141.218.60.56/~jnz1568/getInfo.php?workbook=12_04.xlsx&amp;sheet=U0&amp;row=7253&amp;col=7&amp;number=0.00518&amp;sourceID=14","0.00518")</f>
        <v>0.00518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HYPERLINK("http://141.218.60.56/~jnz1568/getInfo.php?workbook=12_04.xlsx&amp;sheet=U0&amp;row=7254&amp;col=6&amp;number=4&amp;sourceID=14","4")</f>
        <v>4</v>
      </c>
      <c r="G7254" s="4" t="str">
        <f>HYPERLINK("http://141.218.60.56/~jnz1568/getInfo.php?workbook=12_04.xlsx&amp;sheet=U0&amp;row=7254&amp;col=7&amp;number=0.00515&amp;sourceID=14","0.00515")</f>
        <v>0.00515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HYPERLINK("http://141.218.60.56/~jnz1568/getInfo.php?workbook=12_04.xlsx&amp;sheet=U0&amp;row=7255&amp;col=6&amp;number=4.1&amp;sourceID=14","4.1")</f>
        <v>4.1</v>
      </c>
      <c r="G7255" s="4" t="str">
        <f>HYPERLINK("http://141.218.60.56/~jnz1568/getInfo.php?workbook=12_04.xlsx&amp;sheet=U0&amp;row=7255&amp;col=7&amp;number=0.00512&amp;sourceID=14","0.00512")</f>
        <v>0.00512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HYPERLINK("http://141.218.60.56/~jnz1568/getInfo.php?workbook=12_04.xlsx&amp;sheet=U0&amp;row=7256&amp;col=6&amp;number=4.2&amp;sourceID=14","4.2")</f>
        <v>4.2</v>
      </c>
      <c r="G7256" s="4" t="str">
        <f>HYPERLINK("http://141.218.60.56/~jnz1568/getInfo.php?workbook=12_04.xlsx&amp;sheet=U0&amp;row=7256&amp;col=7&amp;number=0.00508&amp;sourceID=14","0.00508")</f>
        <v>0.00508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HYPERLINK("http://141.218.60.56/~jnz1568/getInfo.php?workbook=12_04.xlsx&amp;sheet=U0&amp;row=7257&amp;col=6&amp;number=4.3&amp;sourceID=14","4.3")</f>
        <v>4.3</v>
      </c>
      <c r="G7257" s="4" t="str">
        <f>HYPERLINK("http://141.218.60.56/~jnz1568/getInfo.php?workbook=12_04.xlsx&amp;sheet=U0&amp;row=7257&amp;col=7&amp;number=0.00503&amp;sourceID=14","0.00503")</f>
        <v>0.00503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HYPERLINK("http://141.218.60.56/~jnz1568/getInfo.php?workbook=12_04.xlsx&amp;sheet=U0&amp;row=7258&amp;col=6&amp;number=4.4&amp;sourceID=14","4.4")</f>
        <v>4.4</v>
      </c>
      <c r="G7258" s="4" t="str">
        <f>HYPERLINK("http://141.218.60.56/~jnz1568/getInfo.php?workbook=12_04.xlsx&amp;sheet=U0&amp;row=7258&amp;col=7&amp;number=0.00496&amp;sourceID=14","0.00496")</f>
        <v>0.00496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HYPERLINK("http://141.218.60.56/~jnz1568/getInfo.php?workbook=12_04.xlsx&amp;sheet=U0&amp;row=7259&amp;col=6&amp;number=4.5&amp;sourceID=14","4.5")</f>
        <v>4.5</v>
      </c>
      <c r="G7259" s="4" t="str">
        <f>HYPERLINK("http://141.218.60.56/~jnz1568/getInfo.php?workbook=12_04.xlsx&amp;sheet=U0&amp;row=7259&amp;col=7&amp;number=0.00489&amp;sourceID=14","0.00489")</f>
        <v>0.00489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HYPERLINK("http://141.218.60.56/~jnz1568/getInfo.php?workbook=12_04.xlsx&amp;sheet=U0&amp;row=7260&amp;col=6&amp;number=4.6&amp;sourceID=14","4.6")</f>
        <v>4.6</v>
      </c>
      <c r="G7260" s="4" t="str">
        <f>HYPERLINK("http://141.218.60.56/~jnz1568/getInfo.php?workbook=12_04.xlsx&amp;sheet=U0&amp;row=7260&amp;col=7&amp;number=0.0048&amp;sourceID=14","0.0048")</f>
        <v>0.0048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HYPERLINK("http://141.218.60.56/~jnz1568/getInfo.php?workbook=12_04.xlsx&amp;sheet=U0&amp;row=7261&amp;col=6&amp;number=4.7&amp;sourceID=14","4.7")</f>
        <v>4.7</v>
      </c>
      <c r="G7261" s="4" t="str">
        <f>HYPERLINK("http://141.218.60.56/~jnz1568/getInfo.php?workbook=12_04.xlsx&amp;sheet=U0&amp;row=7261&amp;col=7&amp;number=0.0047&amp;sourceID=14","0.0047")</f>
        <v>0.0047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HYPERLINK("http://141.218.60.56/~jnz1568/getInfo.php?workbook=12_04.xlsx&amp;sheet=U0&amp;row=7262&amp;col=6&amp;number=4.8&amp;sourceID=14","4.8")</f>
        <v>4.8</v>
      </c>
      <c r="G7262" s="4" t="str">
        <f>HYPERLINK("http://141.218.60.56/~jnz1568/getInfo.php?workbook=12_04.xlsx&amp;sheet=U0&amp;row=7262&amp;col=7&amp;number=0.00459&amp;sourceID=14","0.00459")</f>
        <v>0.00459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HYPERLINK("http://141.218.60.56/~jnz1568/getInfo.php?workbook=12_04.xlsx&amp;sheet=U0&amp;row=7263&amp;col=6&amp;number=4.9&amp;sourceID=14","4.9")</f>
        <v>4.9</v>
      </c>
      <c r="G7263" s="4" t="str">
        <f>HYPERLINK("http://141.218.60.56/~jnz1568/getInfo.php?workbook=12_04.xlsx&amp;sheet=U0&amp;row=7263&amp;col=7&amp;number=0.00448&amp;sourceID=14","0.00448")</f>
        <v>0.00448</v>
      </c>
    </row>
    <row r="7264" spans="1:7">
      <c r="A7264" s="3">
        <v>12</v>
      </c>
      <c r="B7264" s="3">
        <v>4</v>
      </c>
      <c r="C7264" s="3">
        <v>4</v>
      </c>
      <c r="D7264" s="3">
        <v>80</v>
      </c>
      <c r="E7264" s="3">
        <v>1</v>
      </c>
      <c r="F7264" s="4" t="str">
        <f>HYPERLINK("http://141.218.60.56/~jnz1568/getInfo.php?workbook=12_04.xlsx&amp;sheet=U0&amp;row=7264&amp;col=6&amp;number=3&amp;sourceID=14","3")</f>
        <v>3</v>
      </c>
      <c r="G7264" s="4" t="str">
        <f>HYPERLINK("http://141.218.60.56/~jnz1568/getInfo.php?workbook=12_04.xlsx&amp;sheet=U0&amp;row=7264&amp;col=7&amp;number=0.00152&amp;sourceID=14","0.00152")</f>
        <v>0.00152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HYPERLINK("http://141.218.60.56/~jnz1568/getInfo.php?workbook=12_04.xlsx&amp;sheet=U0&amp;row=7265&amp;col=6&amp;number=3.1&amp;sourceID=14","3.1")</f>
        <v>3.1</v>
      </c>
      <c r="G7265" s="4" t="str">
        <f>HYPERLINK("http://141.218.60.56/~jnz1568/getInfo.php?workbook=12_04.xlsx&amp;sheet=U0&amp;row=7265&amp;col=7&amp;number=0.00152&amp;sourceID=14","0.00152")</f>
        <v>0.00152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HYPERLINK("http://141.218.60.56/~jnz1568/getInfo.php?workbook=12_04.xlsx&amp;sheet=U0&amp;row=7266&amp;col=6&amp;number=3.2&amp;sourceID=14","3.2")</f>
        <v>3.2</v>
      </c>
      <c r="G7266" s="4" t="str">
        <f>HYPERLINK("http://141.218.60.56/~jnz1568/getInfo.php?workbook=12_04.xlsx&amp;sheet=U0&amp;row=7266&amp;col=7&amp;number=0.00152&amp;sourceID=14","0.00152")</f>
        <v>0.00152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HYPERLINK("http://141.218.60.56/~jnz1568/getInfo.php?workbook=12_04.xlsx&amp;sheet=U0&amp;row=7267&amp;col=6&amp;number=3.3&amp;sourceID=14","3.3")</f>
        <v>3.3</v>
      </c>
      <c r="G7267" s="4" t="str">
        <f>HYPERLINK("http://141.218.60.56/~jnz1568/getInfo.php?workbook=12_04.xlsx&amp;sheet=U0&amp;row=7267&amp;col=7&amp;number=0.00152&amp;sourceID=14","0.00152")</f>
        <v>0.00152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HYPERLINK("http://141.218.60.56/~jnz1568/getInfo.php?workbook=12_04.xlsx&amp;sheet=U0&amp;row=7268&amp;col=6&amp;number=3.4&amp;sourceID=14","3.4")</f>
        <v>3.4</v>
      </c>
      <c r="G7268" s="4" t="str">
        <f>HYPERLINK("http://141.218.60.56/~jnz1568/getInfo.php?workbook=12_04.xlsx&amp;sheet=U0&amp;row=7268&amp;col=7&amp;number=0.00152&amp;sourceID=14","0.00152")</f>
        <v>0.00152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HYPERLINK("http://141.218.60.56/~jnz1568/getInfo.php?workbook=12_04.xlsx&amp;sheet=U0&amp;row=7269&amp;col=6&amp;number=3.5&amp;sourceID=14","3.5")</f>
        <v>3.5</v>
      </c>
      <c r="G7269" s="4" t="str">
        <f>HYPERLINK("http://141.218.60.56/~jnz1568/getInfo.php?workbook=12_04.xlsx&amp;sheet=U0&amp;row=7269&amp;col=7&amp;number=0.00152&amp;sourceID=14","0.00152")</f>
        <v>0.00152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HYPERLINK("http://141.218.60.56/~jnz1568/getInfo.php?workbook=12_04.xlsx&amp;sheet=U0&amp;row=7270&amp;col=6&amp;number=3.6&amp;sourceID=14","3.6")</f>
        <v>3.6</v>
      </c>
      <c r="G7270" s="4" t="str">
        <f>HYPERLINK("http://141.218.60.56/~jnz1568/getInfo.php?workbook=12_04.xlsx&amp;sheet=U0&amp;row=7270&amp;col=7&amp;number=0.00151&amp;sourceID=14","0.00151")</f>
        <v>0.00151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HYPERLINK("http://141.218.60.56/~jnz1568/getInfo.php?workbook=12_04.xlsx&amp;sheet=U0&amp;row=7271&amp;col=6&amp;number=3.7&amp;sourceID=14","3.7")</f>
        <v>3.7</v>
      </c>
      <c r="G7271" s="4" t="str">
        <f>HYPERLINK("http://141.218.60.56/~jnz1568/getInfo.php?workbook=12_04.xlsx&amp;sheet=U0&amp;row=7271&amp;col=7&amp;number=0.00151&amp;sourceID=14","0.00151")</f>
        <v>0.00151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HYPERLINK("http://141.218.60.56/~jnz1568/getInfo.php?workbook=12_04.xlsx&amp;sheet=U0&amp;row=7272&amp;col=6&amp;number=3.8&amp;sourceID=14","3.8")</f>
        <v>3.8</v>
      </c>
      <c r="G7272" s="4" t="str">
        <f>HYPERLINK("http://141.218.60.56/~jnz1568/getInfo.php?workbook=12_04.xlsx&amp;sheet=U0&amp;row=7272&amp;col=7&amp;number=0.0015&amp;sourceID=14","0.0015")</f>
        <v>0.0015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HYPERLINK("http://141.218.60.56/~jnz1568/getInfo.php?workbook=12_04.xlsx&amp;sheet=U0&amp;row=7273&amp;col=6&amp;number=3.9&amp;sourceID=14","3.9")</f>
        <v>3.9</v>
      </c>
      <c r="G7273" s="4" t="str">
        <f>HYPERLINK("http://141.218.60.56/~jnz1568/getInfo.php?workbook=12_04.xlsx&amp;sheet=U0&amp;row=7273&amp;col=7&amp;number=0.0015&amp;sourceID=14","0.0015")</f>
        <v>0.0015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HYPERLINK("http://141.218.60.56/~jnz1568/getInfo.php?workbook=12_04.xlsx&amp;sheet=U0&amp;row=7274&amp;col=6&amp;number=4&amp;sourceID=14","4")</f>
        <v>4</v>
      </c>
      <c r="G7274" s="4" t="str">
        <f>HYPERLINK("http://141.218.60.56/~jnz1568/getInfo.php?workbook=12_04.xlsx&amp;sheet=U0&amp;row=7274&amp;col=7&amp;number=0.00149&amp;sourceID=14","0.00149")</f>
        <v>0.00149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HYPERLINK("http://141.218.60.56/~jnz1568/getInfo.php?workbook=12_04.xlsx&amp;sheet=U0&amp;row=7275&amp;col=6&amp;number=4.1&amp;sourceID=14","4.1")</f>
        <v>4.1</v>
      </c>
      <c r="G7275" s="4" t="str">
        <f>HYPERLINK("http://141.218.60.56/~jnz1568/getInfo.php?workbook=12_04.xlsx&amp;sheet=U0&amp;row=7275&amp;col=7&amp;number=0.00148&amp;sourceID=14","0.00148")</f>
        <v>0.00148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HYPERLINK("http://141.218.60.56/~jnz1568/getInfo.php?workbook=12_04.xlsx&amp;sheet=U0&amp;row=7276&amp;col=6&amp;number=4.2&amp;sourceID=14","4.2")</f>
        <v>4.2</v>
      </c>
      <c r="G7276" s="4" t="str">
        <f>HYPERLINK("http://141.218.60.56/~jnz1568/getInfo.php?workbook=12_04.xlsx&amp;sheet=U0&amp;row=7276&amp;col=7&amp;number=0.00147&amp;sourceID=14","0.00147")</f>
        <v>0.00147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HYPERLINK("http://141.218.60.56/~jnz1568/getInfo.php?workbook=12_04.xlsx&amp;sheet=U0&amp;row=7277&amp;col=6&amp;number=4.3&amp;sourceID=14","4.3")</f>
        <v>4.3</v>
      </c>
      <c r="G7277" s="4" t="str">
        <f>HYPERLINK("http://141.218.60.56/~jnz1568/getInfo.php?workbook=12_04.xlsx&amp;sheet=U0&amp;row=7277&amp;col=7&amp;number=0.00145&amp;sourceID=14","0.00145")</f>
        <v>0.00145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HYPERLINK("http://141.218.60.56/~jnz1568/getInfo.php?workbook=12_04.xlsx&amp;sheet=U0&amp;row=7278&amp;col=6&amp;number=4.4&amp;sourceID=14","4.4")</f>
        <v>4.4</v>
      </c>
      <c r="G7278" s="4" t="str">
        <f>HYPERLINK("http://141.218.60.56/~jnz1568/getInfo.php?workbook=12_04.xlsx&amp;sheet=U0&amp;row=7278&amp;col=7&amp;number=0.00143&amp;sourceID=14","0.00143")</f>
        <v>0.00143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HYPERLINK("http://141.218.60.56/~jnz1568/getInfo.php?workbook=12_04.xlsx&amp;sheet=U0&amp;row=7279&amp;col=6&amp;number=4.5&amp;sourceID=14","4.5")</f>
        <v>4.5</v>
      </c>
      <c r="G7279" s="4" t="str">
        <f>HYPERLINK("http://141.218.60.56/~jnz1568/getInfo.php?workbook=12_04.xlsx&amp;sheet=U0&amp;row=7279&amp;col=7&amp;number=0.00141&amp;sourceID=14","0.00141")</f>
        <v>0.00141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HYPERLINK("http://141.218.60.56/~jnz1568/getInfo.php?workbook=12_04.xlsx&amp;sheet=U0&amp;row=7280&amp;col=6&amp;number=4.6&amp;sourceID=14","4.6")</f>
        <v>4.6</v>
      </c>
      <c r="G7280" s="4" t="str">
        <f>HYPERLINK("http://141.218.60.56/~jnz1568/getInfo.php?workbook=12_04.xlsx&amp;sheet=U0&amp;row=7280&amp;col=7&amp;number=0.00138&amp;sourceID=14","0.00138")</f>
        <v>0.00138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HYPERLINK("http://141.218.60.56/~jnz1568/getInfo.php?workbook=12_04.xlsx&amp;sheet=U0&amp;row=7281&amp;col=6&amp;number=4.7&amp;sourceID=14","4.7")</f>
        <v>4.7</v>
      </c>
      <c r="G7281" s="4" t="str">
        <f>HYPERLINK("http://141.218.60.56/~jnz1568/getInfo.php?workbook=12_04.xlsx&amp;sheet=U0&amp;row=7281&amp;col=7&amp;number=0.00134&amp;sourceID=14","0.00134")</f>
        <v>0.00134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HYPERLINK("http://141.218.60.56/~jnz1568/getInfo.php?workbook=12_04.xlsx&amp;sheet=U0&amp;row=7282&amp;col=6&amp;number=4.8&amp;sourceID=14","4.8")</f>
        <v>4.8</v>
      </c>
      <c r="G7282" s="4" t="str">
        <f>HYPERLINK("http://141.218.60.56/~jnz1568/getInfo.php?workbook=12_04.xlsx&amp;sheet=U0&amp;row=7282&amp;col=7&amp;number=0.00129&amp;sourceID=14","0.00129")</f>
        <v>0.00129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HYPERLINK("http://141.218.60.56/~jnz1568/getInfo.php?workbook=12_04.xlsx&amp;sheet=U0&amp;row=7283&amp;col=6&amp;number=4.9&amp;sourceID=14","4.9")</f>
        <v>4.9</v>
      </c>
      <c r="G7283" s="4" t="str">
        <f>HYPERLINK("http://141.218.60.56/~jnz1568/getInfo.php?workbook=12_04.xlsx&amp;sheet=U0&amp;row=7283&amp;col=7&amp;number=0.00124&amp;sourceID=14","0.00124")</f>
        <v>0.00124</v>
      </c>
    </row>
    <row r="7284" spans="1:7">
      <c r="A7284" s="3">
        <v>12</v>
      </c>
      <c r="B7284" s="3">
        <v>4</v>
      </c>
      <c r="C7284" s="3">
        <v>4</v>
      </c>
      <c r="D7284" s="3">
        <v>81</v>
      </c>
      <c r="E7284" s="3">
        <v>1</v>
      </c>
      <c r="F7284" s="4" t="str">
        <f>HYPERLINK("http://141.218.60.56/~jnz1568/getInfo.php?workbook=12_04.xlsx&amp;sheet=U0&amp;row=7284&amp;col=6&amp;number=3&amp;sourceID=14","3")</f>
        <v>3</v>
      </c>
      <c r="G7284" s="4" t="str">
        <f>HYPERLINK("http://141.218.60.56/~jnz1568/getInfo.php?workbook=12_04.xlsx&amp;sheet=U0&amp;row=7284&amp;col=7&amp;number=0.0131&amp;sourceID=14","0.0131")</f>
        <v>0.0131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HYPERLINK("http://141.218.60.56/~jnz1568/getInfo.php?workbook=12_04.xlsx&amp;sheet=U0&amp;row=7285&amp;col=6&amp;number=3.1&amp;sourceID=14","3.1")</f>
        <v>3.1</v>
      </c>
      <c r="G7285" s="4" t="str">
        <f>HYPERLINK("http://141.218.60.56/~jnz1568/getInfo.php?workbook=12_04.xlsx&amp;sheet=U0&amp;row=7285&amp;col=7&amp;number=0.0131&amp;sourceID=14","0.0131")</f>
        <v>0.0131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HYPERLINK("http://141.218.60.56/~jnz1568/getInfo.php?workbook=12_04.xlsx&amp;sheet=U0&amp;row=7286&amp;col=6&amp;number=3.2&amp;sourceID=14","3.2")</f>
        <v>3.2</v>
      </c>
      <c r="G7286" s="4" t="str">
        <f>HYPERLINK("http://141.218.60.56/~jnz1568/getInfo.php?workbook=12_04.xlsx&amp;sheet=U0&amp;row=7286&amp;col=7&amp;number=0.0131&amp;sourceID=14","0.0131")</f>
        <v>0.0131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HYPERLINK("http://141.218.60.56/~jnz1568/getInfo.php?workbook=12_04.xlsx&amp;sheet=U0&amp;row=7287&amp;col=6&amp;number=3.3&amp;sourceID=14","3.3")</f>
        <v>3.3</v>
      </c>
      <c r="G7287" s="4" t="str">
        <f>HYPERLINK("http://141.218.60.56/~jnz1568/getInfo.php?workbook=12_04.xlsx&amp;sheet=U0&amp;row=7287&amp;col=7&amp;number=0.0131&amp;sourceID=14","0.0131")</f>
        <v>0.0131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HYPERLINK("http://141.218.60.56/~jnz1568/getInfo.php?workbook=12_04.xlsx&amp;sheet=U0&amp;row=7288&amp;col=6&amp;number=3.4&amp;sourceID=14","3.4")</f>
        <v>3.4</v>
      </c>
      <c r="G7288" s="4" t="str">
        <f>HYPERLINK("http://141.218.60.56/~jnz1568/getInfo.php?workbook=12_04.xlsx&amp;sheet=U0&amp;row=7288&amp;col=7&amp;number=0.0131&amp;sourceID=14","0.0131")</f>
        <v>0.0131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HYPERLINK("http://141.218.60.56/~jnz1568/getInfo.php?workbook=12_04.xlsx&amp;sheet=U0&amp;row=7289&amp;col=6&amp;number=3.5&amp;sourceID=14","3.5")</f>
        <v>3.5</v>
      </c>
      <c r="G7289" s="4" t="str">
        <f>HYPERLINK("http://141.218.60.56/~jnz1568/getInfo.php?workbook=12_04.xlsx&amp;sheet=U0&amp;row=7289&amp;col=7&amp;number=0.0131&amp;sourceID=14","0.0131")</f>
        <v>0.0131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HYPERLINK("http://141.218.60.56/~jnz1568/getInfo.php?workbook=12_04.xlsx&amp;sheet=U0&amp;row=7290&amp;col=6&amp;number=3.6&amp;sourceID=14","3.6")</f>
        <v>3.6</v>
      </c>
      <c r="G7290" s="4" t="str">
        <f>HYPERLINK("http://141.218.60.56/~jnz1568/getInfo.php?workbook=12_04.xlsx&amp;sheet=U0&amp;row=7290&amp;col=7&amp;number=0.0131&amp;sourceID=14","0.0131")</f>
        <v>0.0131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HYPERLINK("http://141.218.60.56/~jnz1568/getInfo.php?workbook=12_04.xlsx&amp;sheet=U0&amp;row=7291&amp;col=6&amp;number=3.7&amp;sourceID=14","3.7")</f>
        <v>3.7</v>
      </c>
      <c r="G7291" s="4" t="str">
        <f>HYPERLINK("http://141.218.60.56/~jnz1568/getInfo.php?workbook=12_04.xlsx&amp;sheet=U0&amp;row=7291&amp;col=7&amp;number=0.0131&amp;sourceID=14","0.0131")</f>
        <v>0.0131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HYPERLINK("http://141.218.60.56/~jnz1568/getInfo.php?workbook=12_04.xlsx&amp;sheet=U0&amp;row=7292&amp;col=6&amp;number=3.8&amp;sourceID=14","3.8")</f>
        <v>3.8</v>
      </c>
      <c r="G7292" s="4" t="str">
        <f>HYPERLINK("http://141.218.60.56/~jnz1568/getInfo.php?workbook=12_04.xlsx&amp;sheet=U0&amp;row=7292&amp;col=7&amp;number=0.0131&amp;sourceID=14","0.0131")</f>
        <v>0.0131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HYPERLINK("http://141.218.60.56/~jnz1568/getInfo.php?workbook=12_04.xlsx&amp;sheet=U0&amp;row=7293&amp;col=6&amp;number=3.9&amp;sourceID=14","3.9")</f>
        <v>3.9</v>
      </c>
      <c r="G7293" s="4" t="str">
        <f>HYPERLINK("http://141.218.60.56/~jnz1568/getInfo.php?workbook=12_04.xlsx&amp;sheet=U0&amp;row=7293&amp;col=7&amp;number=0.0131&amp;sourceID=14","0.0131")</f>
        <v>0.0131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HYPERLINK("http://141.218.60.56/~jnz1568/getInfo.php?workbook=12_04.xlsx&amp;sheet=U0&amp;row=7294&amp;col=6&amp;number=4&amp;sourceID=14","4")</f>
        <v>4</v>
      </c>
      <c r="G7294" s="4" t="str">
        <f>HYPERLINK("http://141.218.60.56/~jnz1568/getInfo.php?workbook=12_04.xlsx&amp;sheet=U0&amp;row=7294&amp;col=7&amp;number=0.0131&amp;sourceID=14","0.0131")</f>
        <v>0.0131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HYPERLINK("http://141.218.60.56/~jnz1568/getInfo.php?workbook=12_04.xlsx&amp;sheet=U0&amp;row=7295&amp;col=6&amp;number=4.1&amp;sourceID=14","4.1")</f>
        <v>4.1</v>
      </c>
      <c r="G7295" s="4" t="str">
        <f>HYPERLINK("http://141.218.60.56/~jnz1568/getInfo.php?workbook=12_04.xlsx&amp;sheet=U0&amp;row=7295&amp;col=7&amp;number=0.0131&amp;sourceID=14","0.0131")</f>
        <v>0.0131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HYPERLINK("http://141.218.60.56/~jnz1568/getInfo.php?workbook=12_04.xlsx&amp;sheet=U0&amp;row=7296&amp;col=6&amp;number=4.2&amp;sourceID=14","4.2")</f>
        <v>4.2</v>
      </c>
      <c r="G7296" s="4" t="str">
        <f>HYPERLINK("http://141.218.60.56/~jnz1568/getInfo.php?workbook=12_04.xlsx&amp;sheet=U0&amp;row=7296&amp;col=7&amp;number=0.013&amp;sourceID=14","0.013")</f>
        <v>0.013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HYPERLINK("http://141.218.60.56/~jnz1568/getInfo.php?workbook=12_04.xlsx&amp;sheet=U0&amp;row=7297&amp;col=6&amp;number=4.3&amp;sourceID=14","4.3")</f>
        <v>4.3</v>
      </c>
      <c r="G7297" s="4" t="str">
        <f>HYPERLINK("http://141.218.60.56/~jnz1568/getInfo.php?workbook=12_04.xlsx&amp;sheet=U0&amp;row=7297&amp;col=7&amp;number=0.013&amp;sourceID=14","0.013")</f>
        <v>0.013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HYPERLINK("http://141.218.60.56/~jnz1568/getInfo.php?workbook=12_04.xlsx&amp;sheet=U0&amp;row=7298&amp;col=6&amp;number=4.4&amp;sourceID=14","4.4")</f>
        <v>4.4</v>
      </c>
      <c r="G7298" s="4" t="str">
        <f>HYPERLINK("http://141.218.60.56/~jnz1568/getInfo.php?workbook=12_04.xlsx&amp;sheet=U0&amp;row=7298&amp;col=7&amp;number=0.013&amp;sourceID=14","0.013")</f>
        <v>0.013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HYPERLINK("http://141.218.60.56/~jnz1568/getInfo.php?workbook=12_04.xlsx&amp;sheet=U0&amp;row=7299&amp;col=6&amp;number=4.5&amp;sourceID=14","4.5")</f>
        <v>4.5</v>
      </c>
      <c r="G7299" s="4" t="str">
        <f>HYPERLINK("http://141.218.60.56/~jnz1568/getInfo.php?workbook=12_04.xlsx&amp;sheet=U0&amp;row=7299&amp;col=7&amp;number=0.013&amp;sourceID=14","0.013")</f>
        <v>0.013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HYPERLINK("http://141.218.60.56/~jnz1568/getInfo.php?workbook=12_04.xlsx&amp;sheet=U0&amp;row=7300&amp;col=6&amp;number=4.6&amp;sourceID=14","4.6")</f>
        <v>4.6</v>
      </c>
      <c r="G7300" s="4" t="str">
        <f>HYPERLINK("http://141.218.60.56/~jnz1568/getInfo.php?workbook=12_04.xlsx&amp;sheet=U0&amp;row=7300&amp;col=7&amp;number=0.013&amp;sourceID=14","0.013")</f>
        <v>0.013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HYPERLINK("http://141.218.60.56/~jnz1568/getInfo.php?workbook=12_04.xlsx&amp;sheet=U0&amp;row=7301&amp;col=6&amp;number=4.7&amp;sourceID=14","4.7")</f>
        <v>4.7</v>
      </c>
      <c r="G7301" s="4" t="str">
        <f>HYPERLINK("http://141.218.60.56/~jnz1568/getInfo.php?workbook=12_04.xlsx&amp;sheet=U0&amp;row=7301&amp;col=7&amp;number=0.0129&amp;sourceID=14","0.0129")</f>
        <v>0.0129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HYPERLINK("http://141.218.60.56/~jnz1568/getInfo.php?workbook=12_04.xlsx&amp;sheet=U0&amp;row=7302&amp;col=6&amp;number=4.8&amp;sourceID=14","4.8")</f>
        <v>4.8</v>
      </c>
      <c r="G7302" s="4" t="str">
        <f>HYPERLINK("http://141.218.60.56/~jnz1568/getInfo.php?workbook=12_04.xlsx&amp;sheet=U0&amp;row=7302&amp;col=7&amp;number=0.0129&amp;sourceID=14","0.0129")</f>
        <v>0.0129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HYPERLINK("http://141.218.60.56/~jnz1568/getInfo.php?workbook=12_04.xlsx&amp;sheet=U0&amp;row=7303&amp;col=6&amp;number=4.9&amp;sourceID=14","4.9")</f>
        <v>4.9</v>
      </c>
      <c r="G7303" s="4" t="str">
        <f>HYPERLINK("http://141.218.60.56/~jnz1568/getInfo.php?workbook=12_04.xlsx&amp;sheet=U0&amp;row=7303&amp;col=7&amp;number=0.0128&amp;sourceID=14","0.0128")</f>
        <v>0.0128</v>
      </c>
    </row>
    <row r="7304" spans="1:7">
      <c r="A7304" s="3">
        <v>12</v>
      </c>
      <c r="B7304" s="3">
        <v>4</v>
      </c>
      <c r="C7304" s="3">
        <v>4</v>
      </c>
      <c r="D7304" s="3">
        <v>82</v>
      </c>
      <c r="E7304" s="3">
        <v>1</v>
      </c>
      <c r="F7304" s="4" t="str">
        <f>HYPERLINK("http://141.218.60.56/~jnz1568/getInfo.php?workbook=12_04.xlsx&amp;sheet=U0&amp;row=7304&amp;col=6&amp;number=3&amp;sourceID=14","3")</f>
        <v>3</v>
      </c>
      <c r="G7304" s="4" t="str">
        <f>HYPERLINK("http://141.218.60.56/~jnz1568/getInfo.php?workbook=12_04.xlsx&amp;sheet=U0&amp;row=7304&amp;col=7&amp;number=0.00117&amp;sourceID=14","0.00117")</f>
        <v>0.00117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HYPERLINK("http://141.218.60.56/~jnz1568/getInfo.php?workbook=12_04.xlsx&amp;sheet=U0&amp;row=7305&amp;col=6&amp;number=3.1&amp;sourceID=14","3.1")</f>
        <v>3.1</v>
      </c>
      <c r="G7305" s="4" t="str">
        <f>HYPERLINK("http://141.218.60.56/~jnz1568/getInfo.php?workbook=12_04.xlsx&amp;sheet=U0&amp;row=7305&amp;col=7&amp;number=0.00116&amp;sourceID=14","0.00116")</f>
        <v>0.00116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HYPERLINK("http://141.218.60.56/~jnz1568/getInfo.php?workbook=12_04.xlsx&amp;sheet=U0&amp;row=7306&amp;col=6&amp;number=3.2&amp;sourceID=14","3.2")</f>
        <v>3.2</v>
      </c>
      <c r="G7306" s="4" t="str">
        <f>HYPERLINK("http://141.218.60.56/~jnz1568/getInfo.php?workbook=12_04.xlsx&amp;sheet=U0&amp;row=7306&amp;col=7&amp;number=0.00116&amp;sourceID=14","0.00116")</f>
        <v>0.00116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HYPERLINK("http://141.218.60.56/~jnz1568/getInfo.php?workbook=12_04.xlsx&amp;sheet=U0&amp;row=7307&amp;col=6&amp;number=3.3&amp;sourceID=14","3.3")</f>
        <v>3.3</v>
      </c>
      <c r="G7307" s="4" t="str">
        <f>HYPERLINK("http://141.218.60.56/~jnz1568/getInfo.php?workbook=12_04.xlsx&amp;sheet=U0&amp;row=7307&amp;col=7&amp;number=0.00116&amp;sourceID=14","0.00116")</f>
        <v>0.00116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HYPERLINK("http://141.218.60.56/~jnz1568/getInfo.php?workbook=12_04.xlsx&amp;sheet=U0&amp;row=7308&amp;col=6&amp;number=3.4&amp;sourceID=14","3.4")</f>
        <v>3.4</v>
      </c>
      <c r="G7308" s="4" t="str">
        <f>HYPERLINK("http://141.218.60.56/~jnz1568/getInfo.php?workbook=12_04.xlsx&amp;sheet=U0&amp;row=7308&amp;col=7&amp;number=0.00116&amp;sourceID=14","0.00116")</f>
        <v>0.00116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HYPERLINK("http://141.218.60.56/~jnz1568/getInfo.php?workbook=12_04.xlsx&amp;sheet=U0&amp;row=7309&amp;col=6&amp;number=3.5&amp;sourceID=14","3.5")</f>
        <v>3.5</v>
      </c>
      <c r="G7309" s="4" t="str">
        <f>HYPERLINK("http://141.218.60.56/~jnz1568/getInfo.php?workbook=12_04.xlsx&amp;sheet=U0&amp;row=7309&amp;col=7&amp;number=0.00116&amp;sourceID=14","0.00116")</f>
        <v>0.00116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HYPERLINK("http://141.218.60.56/~jnz1568/getInfo.php?workbook=12_04.xlsx&amp;sheet=U0&amp;row=7310&amp;col=6&amp;number=3.6&amp;sourceID=14","3.6")</f>
        <v>3.6</v>
      </c>
      <c r="G7310" s="4" t="str">
        <f>HYPERLINK("http://141.218.60.56/~jnz1568/getInfo.php?workbook=12_04.xlsx&amp;sheet=U0&amp;row=7310&amp;col=7&amp;number=0.00115&amp;sourceID=14","0.00115")</f>
        <v>0.00115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HYPERLINK("http://141.218.60.56/~jnz1568/getInfo.php?workbook=12_04.xlsx&amp;sheet=U0&amp;row=7311&amp;col=6&amp;number=3.7&amp;sourceID=14","3.7")</f>
        <v>3.7</v>
      </c>
      <c r="G7311" s="4" t="str">
        <f>HYPERLINK("http://141.218.60.56/~jnz1568/getInfo.php?workbook=12_04.xlsx&amp;sheet=U0&amp;row=7311&amp;col=7&amp;number=0.00115&amp;sourceID=14","0.00115")</f>
        <v>0.00115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HYPERLINK("http://141.218.60.56/~jnz1568/getInfo.php?workbook=12_04.xlsx&amp;sheet=U0&amp;row=7312&amp;col=6&amp;number=3.8&amp;sourceID=14","3.8")</f>
        <v>3.8</v>
      </c>
      <c r="G7312" s="4" t="str">
        <f>HYPERLINK("http://141.218.60.56/~jnz1568/getInfo.php?workbook=12_04.xlsx&amp;sheet=U0&amp;row=7312&amp;col=7&amp;number=0.00114&amp;sourceID=14","0.00114")</f>
        <v>0.00114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HYPERLINK("http://141.218.60.56/~jnz1568/getInfo.php?workbook=12_04.xlsx&amp;sheet=U0&amp;row=7313&amp;col=6&amp;number=3.9&amp;sourceID=14","3.9")</f>
        <v>3.9</v>
      </c>
      <c r="G7313" s="4" t="str">
        <f>HYPERLINK("http://141.218.60.56/~jnz1568/getInfo.php?workbook=12_04.xlsx&amp;sheet=U0&amp;row=7313&amp;col=7&amp;number=0.00114&amp;sourceID=14","0.00114")</f>
        <v>0.00114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HYPERLINK("http://141.218.60.56/~jnz1568/getInfo.php?workbook=12_04.xlsx&amp;sheet=U0&amp;row=7314&amp;col=6&amp;number=4&amp;sourceID=14","4")</f>
        <v>4</v>
      </c>
      <c r="G7314" s="4" t="str">
        <f>HYPERLINK("http://141.218.60.56/~jnz1568/getInfo.php?workbook=12_04.xlsx&amp;sheet=U0&amp;row=7314&amp;col=7&amp;number=0.00113&amp;sourceID=14","0.00113")</f>
        <v>0.00113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HYPERLINK("http://141.218.60.56/~jnz1568/getInfo.php?workbook=12_04.xlsx&amp;sheet=U0&amp;row=7315&amp;col=6&amp;number=4.1&amp;sourceID=14","4.1")</f>
        <v>4.1</v>
      </c>
      <c r="G7315" s="4" t="str">
        <f>HYPERLINK("http://141.218.60.56/~jnz1568/getInfo.php?workbook=12_04.xlsx&amp;sheet=U0&amp;row=7315&amp;col=7&amp;number=0.00112&amp;sourceID=14","0.00112")</f>
        <v>0.00112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HYPERLINK("http://141.218.60.56/~jnz1568/getInfo.php?workbook=12_04.xlsx&amp;sheet=U0&amp;row=7316&amp;col=6&amp;number=4.2&amp;sourceID=14","4.2")</f>
        <v>4.2</v>
      </c>
      <c r="G7316" s="4" t="str">
        <f>HYPERLINK("http://141.218.60.56/~jnz1568/getInfo.php?workbook=12_04.xlsx&amp;sheet=U0&amp;row=7316&amp;col=7&amp;number=0.0011&amp;sourceID=14","0.0011")</f>
        <v>0.0011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HYPERLINK("http://141.218.60.56/~jnz1568/getInfo.php?workbook=12_04.xlsx&amp;sheet=U0&amp;row=7317&amp;col=6&amp;number=4.3&amp;sourceID=14","4.3")</f>
        <v>4.3</v>
      </c>
      <c r="G7317" s="4" t="str">
        <f>HYPERLINK("http://141.218.60.56/~jnz1568/getInfo.php?workbook=12_04.xlsx&amp;sheet=U0&amp;row=7317&amp;col=7&amp;number=0.00109&amp;sourceID=14","0.00109")</f>
        <v>0.00109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HYPERLINK("http://141.218.60.56/~jnz1568/getInfo.php?workbook=12_04.xlsx&amp;sheet=U0&amp;row=7318&amp;col=6&amp;number=4.4&amp;sourceID=14","4.4")</f>
        <v>4.4</v>
      </c>
      <c r="G7318" s="4" t="str">
        <f>HYPERLINK("http://141.218.60.56/~jnz1568/getInfo.php?workbook=12_04.xlsx&amp;sheet=U0&amp;row=7318&amp;col=7&amp;number=0.00107&amp;sourceID=14","0.00107")</f>
        <v>0.00107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HYPERLINK("http://141.218.60.56/~jnz1568/getInfo.php?workbook=12_04.xlsx&amp;sheet=U0&amp;row=7319&amp;col=6&amp;number=4.5&amp;sourceID=14","4.5")</f>
        <v>4.5</v>
      </c>
      <c r="G7319" s="4" t="str">
        <f>HYPERLINK("http://141.218.60.56/~jnz1568/getInfo.php?workbook=12_04.xlsx&amp;sheet=U0&amp;row=7319&amp;col=7&amp;number=0.00105&amp;sourceID=14","0.00105")</f>
        <v>0.00105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HYPERLINK("http://141.218.60.56/~jnz1568/getInfo.php?workbook=12_04.xlsx&amp;sheet=U0&amp;row=7320&amp;col=6&amp;number=4.6&amp;sourceID=14","4.6")</f>
        <v>4.6</v>
      </c>
      <c r="G7320" s="4" t="str">
        <f>HYPERLINK("http://141.218.60.56/~jnz1568/getInfo.php?workbook=12_04.xlsx&amp;sheet=U0&amp;row=7320&amp;col=7&amp;number=0.00102&amp;sourceID=14","0.00102")</f>
        <v>0.00102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HYPERLINK("http://141.218.60.56/~jnz1568/getInfo.php?workbook=12_04.xlsx&amp;sheet=U0&amp;row=7321&amp;col=6&amp;number=4.7&amp;sourceID=14","4.7")</f>
        <v>4.7</v>
      </c>
      <c r="G7321" s="4" t="str">
        <f>HYPERLINK("http://141.218.60.56/~jnz1568/getInfo.php?workbook=12_04.xlsx&amp;sheet=U0&amp;row=7321&amp;col=7&amp;number=0.001&amp;sourceID=14","0.001")</f>
        <v>0.001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HYPERLINK("http://141.218.60.56/~jnz1568/getInfo.php?workbook=12_04.xlsx&amp;sheet=U0&amp;row=7322&amp;col=6&amp;number=4.8&amp;sourceID=14","4.8")</f>
        <v>4.8</v>
      </c>
      <c r="G7322" s="4" t="str">
        <f>HYPERLINK("http://141.218.60.56/~jnz1568/getInfo.php?workbook=12_04.xlsx&amp;sheet=U0&amp;row=7322&amp;col=7&amp;number=0.000982&amp;sourceID=14","0.000982")</f>
        <v>0.000982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HYPERLINK("http://141.218.60.56/~jnz1568/getInfo.php?workbook=12_04.xlsx&amp;sheet=U0&amp;row=7323&amp;col=6&amp;number=4.9&amp;sourceID=14","4.9")</f>
        <v>4.9</v>
      </c>
      <c r="G7323" s="4" t="str">
        <f>HYPERLINK("http://141.218.60.56/~jnz1568/getInfo.php?workbook=12_04.xlsx&amp;sheet=U0&amp;row=7323&amp;col=7&amp;number=0.000969&amp;sourceID=14","0.000969")</f>
        <v>0.000969</v>
      </c>
    </row>
    <row r="7324" spans="1:7">
      <c r="A7324" s="3">
        <v>12</v>
      </c>
      <c r="B7324" s="3">
        <v>4</v>
      </c>
      <c r="C7324" s="3">
        <v>4</v>
      </c>
      <c r="D7324" s="3">
        <v>83</v>
      </c>
      <c r="E7324" s="3">
        <v>1</v>
      </c>
      <c r="F7324" s="4" t="str">
        <f>HYPERLINK("http://141.218.60.56/~jnz1568/getInfo.php?workbook=12_04.xlsx&amp;sheet=U0&amp;row=7324&amp;col=6&amp;number=3&amp;sourceID=14","3")</f>
        <v>3</v>
      </c>
      <c r="G7324" s="4" t="str">
        <f>HYPERLINK("http://141.218.60.56/~jnz1568/getInfo.php?workbook=12_04.xlsx&amp;sheet=U0&amp;row=7324&amp;col=7&amp;number=0.00134&amp;sourceID=14","0.00134")</f>
        <v>0.00134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HYPERLINK("http://141.218.60.56/~jnz1568/getInfo.php?workbook=12_04.xlsx&amp;sheet=U0&amp;row=7325&amp;col=6&amp;number=3.1&amp;sourceID=14","3.1")</f>
        <v>3.1</v>
      </c>
      <c r="G7325" s="4" t="str">
        <f>HYPERLINK("http://141.218.60.56/~jnz1568/getInfo.php?workbook=12_04.xlsx&amp;sheet=U0&amp;row=7325&amp;col=7&amp;number=0.00134&amp;sourceID=14","0.00134")</f>
        <v>0.00134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HYPERLINK("http://141.218.60.56/~jnz1568/getInfo.php?workbook=12_04.xlsx&amp;sheet=U0&amp;row=7326&amp;col=6&amp;number=3.2&amp;sourceID=14","3.2")</f>
        <v>3.2</v>
      </c>
      <c r="G7326" s="4" t="str">
        <f>HYPERLINK("http://141.218.60.56/~jnz1568/getInfo.php?workbook=12_04.xlsx&amp;sheet=U0&amp;row=7326&amp;col=7&amp;number=0.00134&amp;sourceID=14","0.00134")</f>
        <v>0.00134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HYPERLINK("http://141.218.60.56/~jnz1568/getInfo.php?workbook=12_04.xlsx&amp;sheet=U0&amp;row=7327&amp;col=6&amp;number=3.3&amp;sourceID=14","3.3")</f>
        <v>3.3</v>
      </c>
      <c r="G7327" s="4" t="str">
        <f>HYPERLINK("http://141.218.60.56/~jnz1568/getInfo.php?workbook=12_04.xlsx&amp;sheet=U0&amp;row=7327&amp;col=7&amp;number=0.00134&amp;sourceID=14","0.00134")</f>
        <v>0.00134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HYPERLINK("http://141.218.60.56/~jnz1568/getInfo.php?workbook=12_04.xlsx&amp;sheet=U0&amp;row=7328&amp;col=6&amp;number=3.4&amp;sourceID=14","3.4")</f>
        <v>3.4</v>
      </c>
      <c r="G7328" s="4" t="str">
        <f>HYPERLINK("http://141.218.60.56/~jnz1568/getInfo.php?workbook=12_04.xlsx&amp;sheet=U0&amp;row=7328&amp;col=7&amp;number=0.00134&amp;sourceID=14","0.00134")</f>
        <v>0.00134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HYPERLINK("http://141.218.60.56/~jnz1568/getInfo.php?workbook=12_04.xlsx&amp;sheet=U0&amp;row=7329&amp;col=6&amp;number=3.5&amp;sourceID=14","3.5")</f>
        <v>3.5</v>
      </c>
      <c r="G7329" s="4" t="str">
        <f>HYPERLINK("http://141.218.60.56/~jnz1568/getInfo.php?workbook=12_04.xlsx&amp;sheet=U0&amp;row=7329&amp;col=7&amp;number=0.00133&amp;sourceID=14","0.00133")</f>
        <v>0.00133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HYPERLINK("http://141.218.60.56/~jnz1568/getInfo.php?workbook=12_04.xlsx&amp;sheet=U0&amp;row=7330&amp;col=6&amp;number=3.6&amp;sourceID=14","3.6")</f>
        <v>3.6</v>
      </c>
      <c r="G7330" s="4" t="str">
        <f>HYPERLINK("http://141.218.60.56/~jnz1568/getInfo.php?workbook=12_04.xlsx&amp;sheet=U0&amp;row=7330&amp;col=7&amp;number=0.00133&amp;sourceID=14","0.00133")</f>
        <v>0.00133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HYPERLINK("http://141.218.60.56/~jnz1568/getInfo.php?workbook=12_04.xlsx&amp;sheet=U0&amp;row=7331&amp;col=6&amp;number=3.7&amp;sourceID=14","3.7")</f>
        <v>3.7</v>
      </c>
      <c r="G7331" s="4" t="str">
        <f>HYPERLINK("http://141.218.60.56/~jnz1568/getInfo.php?workbook=12_04.xlsx&amp;sheet=U0&amp;row=7331&amp;col=7&amp;number=0.00133&amp;sourceID=14","0.00133")</f>
        <v>0.00133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HYPERLINK("http://141.218.60.56/~jnz1568/getInfo.php?workbook=12_04.xlsx&amp;sheet=U0&amp;row=7332&amp;col=6&amp;number=3.8&amp;sourceID=14","3.8")</f>
        <v>3.8</v>
      </c>
      <c r="G7332" s="4" t="str">
        <f>HYPERLINK("http://141.218.60.56/~jnz1568/getInfo.php?workbook=12_04.xlsx&amp;sheet=U0&amp;row=7332&amp;col=7&amp;number=0.00133&amp;sourceID=14","0.00133")</f>
        <v>0.00133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HYPERLINK("http://141.218.60.56/~jnz1568/getInfo.php?workbook=12_04.xlsx&amp;sheet=U0&amp;row=7333&amp;col=6&amp;number=3.9&amp;sourceID=14","3.9")</f>
        <v>3.9</v>
      </c>
      <c r="G7333" s="4" t="str">
        <f>HYPERLINK("http://141.218.60.56/~jnz1568/getInfo.php?workbook=12_04.xlsx&amp;sheet=U0&amp;row=7333&amp;col=7&amp;number=0.00133&amp;sourceID=14","0.00133")</f>
        <v>0.00133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HYPERLINK("http://141.218.60.56/~jnz1568/getInfo.php?workbook=12_04.xlsx&amp;sheet=U0&amp;row=7334&amp;col=6&amp;number=4&amp;sourceID=14","4")</f>
        <v>4</v>
      </c>
      <c r="G7334" s="4" t="str">
        <f>HYPERLINK("http://141.218.60.56/~jnz1568/getInfo.php?workbook=12_04.xlsx&amp;sheet=U0&amp;row=7334&amp;col=7&amp;number=0.00132&amp;sourceID=14","0.00132")</f>
        <v>0.00132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HYPERLINK("http://141.218.60.56/~jnz1568/getInfo.php?workbook=12_04.xlsx&amp;sheet=U0&amp;row=7335&amp;col=6&amp;number=4.1&amp;sourceID=14","4.1")</f>
        <v>4.1</v>
      </c>
      <c r="G7335" s="4" t="str">
        <f>HYPERLINK("http://141.218.60.56/~jnz1568/getInfo.php?workbook=12_04.xlsx&amp;sheet=U0&amp;row=7335&amp;col=7&amp;number=0.00132&amp;sourceID=14","0.00132")</f>
        <v>0.00132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HYPERLINK("http://141.218.60.56/~jnz1568/getInfo.php?workbook=12_04.xlsx&amp;sheet=U0&amp;row=7336&amp;col=6&amp;number=4.2&amp;sourceID=14","4.2")</f>
        <v>4.2</v>
      </c>
      <c r="G7336" s="4" t="str">
        <f>HYPERLINK("http://141.218.60.56/~jnz1568/getInfo.php?workbook=12_04.xlsx&amp;sheet=U0&amp;row=7336&amp;col=7&amp;number=0.00131&amp;sourceID=14","0.00131")</f>
        <v>0.00131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HYPERLINK("http://141.218.60.56/~jnz1568/getInfo.php?workbook=12_04.xlsx&amp;sheet=U0&amp;row=7337&amp;col=6&amp;number=4.3&amp;sourceID=14","4.3")</f>
        <v>4.3</v>
      </c>
      <c r="G7337" s="4" t="str">
        <f>HYPERLINK("http://141.218.60.56/~jnz1568/getInfo.php?workbook=12_04.xlsx&amp;sheet=U0&amp;row=7337&amp;col=7&amp;number=0.00131&amp;sourceID=14","0.00131")</f>
        <v>0.00131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HYPERLINK("http://141.218.60.56/~jnz1568/getInfo.php?workbook=12_04.xlsx&amp;sheet=U0&amp;row=7338&amp;col=6&amp;number=4.4&amp;sourceID=14","4.4")</f>
        <v>4.4</v>
      </c>
      <c r="G7338" s="4" t="str">
        <f>HYPERLINK("http://141.218.60.56/~jnz1568/getInfo.php?workbook=12_04.xlsx&amp;sheet=U0&amp;row=7338&amp;col=7&amp;number=0.0013&amp;sourceID=14","0.0013")</f>
        <v>0.0013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HYPERLINK("http://141.218.60.56/~jnz1568/getInfo.php?workbook=12_04.xlsx&amp;sheet=U0&amp;row=7339&amp;col=6&amp;number=4.5&amp;sourceID=14","4.5")</f>
        <v>4.5</v>
      </c>
      <c r="G7339" s="4" t="str">
        <f>HYPERLINK("http://141.218.60.56/~jnz1568/getInfo.php?workbook=12_04.xlsx&amp;sheet=U0&amp;row=7339&amp;col=7&amp;number=0.00129&amp;sourceID=14","0.00129")</f>
        <v>0.00129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HYPERLINK("http://141.218.60.56/~jnz1568/getInfo.php?workbook=12_04.xlsx&amp;sheet=U0&amp;row=7340&amp;col=6&amp;number=4.6&amp;sourceID=14","4.6")</f>
        <v>4.6</v>
      </c>
      <c r="G7340" s="4" t="str">
        <f>HYPERLINK("http://141.218.60.56/~jnz1568/getInfo.php?workbook=12_04.xlsx&amp;sheet=U0&amp;row=7340&amp;col=7&amp;number=0.00127&amp;sourceID=14","0.00127")</f>
        <v>0.00127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HYPERLINK("http://141.218.60.56/~jnz1568/getInfo.php?workbook=12_04.xlsx&amp;sheet=U0&amp;row=7341&amp;col=6&amp;number=4.7&amp;sourceID=14","4.7")</f>
        <v>4.7</v>
      </c>
      <c r="G7341" s="4" t="str">
        <f>HYPERLINK("http://141.218.60.56/~jnz1568/getInfo.php?workbook=12_04.xlsx&amp;sheet=U0&amp;row=7341&amp;col=7&amp;number=0.00125&amp;sourceID=14","0.00125")</f>
        <v>0.00125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HYPERLINK("http://141.218.60.56/~jnz1568/getInfo.php?workbook=12_04.xlsx&amp;sheet=U0&amp;row=7342&amp;col=6&amp;number=4.8&amp;sourceID=14","4.8")</f>
        <v>4.8</v>
      </c>
      <c r="G7342" s="4" t="str">
        <f>HYPERLINK("http://141.218.60.56/~jnz1568/getInfo.php?workbook=12_04.xlsx&amp;sheet=U0&amp;row=7342&amp;col=7&amp;number=0.00123&amp;sourceID=14","0.00123")</f>
        <v>0.00123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HYPERLINK("http://141.218.60.56/~jnz1568/getInfo.php?workbook=12_04.xlsx&amp;sheet=U0&amp;row=7343&amp;col=6&amp;number=4.9&amp;sourceID=14","4.9")</f>
        <v>4.9</v>
      </c>
      <c r="G7343" s="4" t="str">
        <f>HYPERLINK("http://141.218.60.56/~jnz1568/getInfo.php?workbook=12_04.xlsx&amp;sheet=U0&amp;row=7343&amp;col=7&amp;number=0.00121&amp;sourceID=14","0.00121")</f>
        <v>0.00121</v>
      </c>
    </row>
    <row r="7344" spans="1:7">
      <c r="A7344" s="3">
        <v>12</v>
      </c>
      <c r="B7344" s="3">
        <v>4</v>
      </c>
      <c r="C7344" s="3">
        <v>4</v>
      </c>
      <c r="D7344" s="3">
        <v>84</v>
      </c>
      <c r="E7344" s="3">
        <v>1</v>
      </c>
      <c r="F7344" s="4" t="str">
        <f>HYPERLINK("http://141.218.60.56/~jnz1568/getInfo.php?workbook=12_04.xlsx&amp;sheet=U0&amp;row=7344&amp;col=6&amp;number=3&amp;sourceID=14","3")</f>
        <v>3</v>
      </c>
      <c r="G7344" s="4" t="str">
        <f>HYPERLINK("http://141.218.60.56/~jnz1568/getInfo.php?workbook=12_04.xlsx&amp;sheet=U0&amp;row=7344&amp;col=7&amp;number=0.00193&amp;sourceID=14","0.00193")</f>
        <v>0.00193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HYPERLINK("http://141.218.60.56/~jnz1568/getInfo.php?workbook=12_04.xlsx&amp;sheet=U0&amp;row=7345&amp;col=6&amp;number=3.1&amp;sourceID=14","3.1")</f>
        <v>3.1</v>
      </c>
      <c r="G7345" s="4" t="str">
        <f>HYPERLINK("http://141.218.60.56/~jnz1568/getInfo.php?workbook=12_04.xlsx&amp;sheet=U0&amp;row=7345&amp;col=7&amp;number=0.00192&amp;sourceID=14","0.00192")</f>
        <v>0.00192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HYPERLINK("http://141.218.60.56/~jnz1568/getInfo.php?workbook=12_04.xlsx&amp;sheet=U0&amp;row=7346&amp;col=6&amp;number=3.2&amp;sourceID=14","3.2")</f>
        <v>3.2</v>
      </c>
      <c r="G7346" s="4" t="str">
        <f>HYPERLINK("http://141.218.60.56/~jnz1568/getInfo.php?workbook=12_04.xlsx&amp;sheet=U0&amp;row=7346&amp;col=7&amp;number=0.00192&amp;sourceID=14","0.00192")</f>
        <v>0.00192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HYPERLINK("http://141.218.60.56/~jnz1568/getInfo.php?workbook=12_04.xlsx&amp;sheet=U0&amp;row=7347&amp;col=6&amp;number=3.3&amp;sourceID=14","3.3")</f>
        <v>3.3</v>
      </c>
      <c r="G7347" s="4" t="str">
        <f>HYPERLINK("http://141.218.60.56/~jnz1568/getInfo.php?workbook=12_04.xlsx&amp;sheet=U0&amp;row=7347&amp;col=7&amp;number=0.00192&amp;sourceID=14","0.00192")</f>
        <v>0.00192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HYPERLINK("http://141.218.60.56/~jnz1568/getInfo.php?workbook=12_04.xlsx&amp;sheet=U0&amp;row=7348&amp;col=6&amp;number=3.4&amp;sourceID=14","3.4")</f>
        <v>3.4</v>
      </c>
      <c r="G7348" s="4" t="str">
        <f>HYPERLINK("http://141.218.60.56/~jnz1568/getInfo.php?workbook=12_04.xlsx&amp;sheet=U0&amp;row=7348&amp;col=7&amp;number=0.00192&amp;sourceID=14","0.00192")</f>
        <v>0.00192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HYPERLINK("http://141.218.60.56/~jnz1568/getInfo.php?workbook=12_04.xlsx&amp;sheet=U0&amp;row=7349&amp;col=6&amp;number=3.5&amp;sourceID=14","3.5")</f>
        <v>3.5</v>
      </c>
      <c r="G7349" s="4" t="str">
        <f>HYPERLINK("http://141.218.60.56/~jnz1568/getInfo.php?workbook=12_04.xlsx&amp;sheet=U0&amp;row=7349&amp;col=7&amp;number=0.00191&amp;sourceID=14","0.00191")</f>
        <v>0.00191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HYPERLINK("http://141.218.60.56/~jnz1568/getInfo.php?workbook=12_04.xlsx&amp;sheet=U0&amp;row=7350&amp;col=6&amp;number=3.6&amp;sourceID=14","3.6")</f>
        <v>3.6</v>
      </c>
      <c r="G7350" s="4" t="str">
        <f>HYPERLINK("http://141.218.60.56/~jnz1568/getInfo.php?workbook=12_04.xlsx&amp;sheet=U0&amp;row=7350&amp;col=7&amp;number=0.00191&amp;sourceID=14","0.00191")</f>
        <v>0.00191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HYPERLINK("http://141.218.60.56/~jnz1568/getInfo.php?workbook=12_04.xlsx&amp;sheet=U0&amp;row=7351&amp;col=6&amp;number=3.7&amp;sourceID=14","3.7")</f>
        <v>3.7</v>
      </c>
      <c r="G7351" s="4" t="str">
        <f>HYPERLINK("http://141.218.60.56/~jnz1568/getInfo.php?workbook=12_04.xlsx&amp;sheet=U0&amp;row=7351&amp;col=7&amp;number=0.0019&amp;sourceID=14","0.0019")</f>
        <v>0.0019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HYPERLINK("http://141.218.60.56/~jnz1568/getInfo.php?workbook=12_04.xlsx&amp;sheet=U0&amp;row=7352&amp;col=6&amp;number=3.8&amp;sourceID=14","3.8")</f>
        <v>3.8</v>
      </c>
      <c r="G7352" s="4" t="str">
        <f>HYPERLINK("http://141.218.60.56/~jnz1568/getInfo.php?workbook=12_04.xlsx&amp;sheet=U0&amp;row=7352&amp;col=7&amp;number=0.0019&amp;sourceID=14","0.0019")</f>
        <v>0.0019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HYPERLINK("http://141.218.60.56/~jnz1568/getInfo.php?workbook=12_04.xlsx&amp;sheet=U0&amp;row=7353&amp;col=6&amp;number=3.9&amp;sourceID=14","3.9")</f>
        <v>3.9</v>
      </c>
      <c r="G7353" s="4" t="str">
        <f>HYPERLINK("http://141.218.60.56/~jnz1568/getInfo.php?workbook=12_04.xlsx&amp;sheet=U0&amp;row=7353&amp;col=7&amp;number=0.00189&amp;sourceID=14","0.00189")</f>
        <v>0.00189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HYPERLINK("http://141.218.60.56/~jnz1568/getInfo.php?workbook=12_04.xlsx&amp;sheet=U0&amp;row=7354&amp;col=6&amp;number=4&amp;sourceID=14","4")</f>
        <v>4</v>
      </c>
      <c r="G7354" s="4" t="str">
        <f>HYPERLINK("http://141.218.60.56/~jnz1568/getInfo.php?workbook=12_04.xlsx&amp;sheet=U0&amp;row=7354&amp;col=7&amp;number=0.00188&amp;sourceID=14","0.00188")</f>
        <v>0.00188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HYPERLINK("http://141.218.60.56/~jnz1568/getInfo.php?workbook=12_04.xlsx&amp;sheet=U0&amp;row=7355&amp;col=6&amp;number=4.1&amp;sourceID=14","4.1")</f>
        <v>4.1</v>
      </c>
      <c r="G7355" s="4" t="str">
        <f>HYPERLINK("http://141.218.60.56/~jnz1568/getInfo.php?workbook=12_04.xlsx&amp;sheet=U0&amp;row=7355&amp;col=7&amp;number=0.00186&amp;sourceID=14","0.00186")</f>
        <v>0.00186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HYPERLINK("http://141.218.60.56/~jnz1568/getInfo.php?workbook=12_04.xlsx&amp;sheet=U0&amp;row=7356&amp;col=6&amp;number=4.2&amp;sourceID=14","4.2")</f>
        <v>4.2</v>
      </c>
      <c r="G7356" s="4" t="str">
        <f>HYPERLINK("http://141.218.60.56/~jnz1568/getInfo.php?workbook=12_04.xlsx&amp;sheet=U0&amp;row=7356&amp;col=7&amp;number=0.00185&amp;sourceID=14","0.00185")</f>
        <v>0.00185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HYPERLINK("http://141.218.60.56/~jnz1568/getInfo.php?workbook=12_04.xlsx&amp;sheet=U0&amp;row=7357&amp;col=6&amp;number=4.3&amp;sourceID=14","4.3")</f>
        <v>4.3</v>
      </c>
      <c r="G7357" s="4" t="str">
        <f>HYPERLINK("http://141.218.60.56/~jnz1568/getInfo.php?workbook=12_04.xlsx&amp;sheet=U0&amp;row=7357&amp;col=7&amp;number=0.00183&amp;sourceID=14","0.00183")</f>
        <v>0.00183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HYPERLINK("http://141.218.60.56/~jnz1568/getInfo.php?workbook=12_04.xlsx&amp;sheet=U0&amp;row=7358&amp;col=6&amp;number=4.4&amp;sourceID=14","4.4")</f>
        <v>4.4</v>
      </c>
      <c r="G7358" s="4" t="str">
        <f>HYPERLINK("http://141.218.60.56/~jnz1568/getInfo.php?workbook=12_04.xlsx&amp;sheet=U0&amp;row=7358&amp;col=7&amp;number=0.0018&amp;sourceID=14","0.0018")</f>
        <v>0.0018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HYPERLINK("http://141.218.60.56/~jnz1568/getInfo.php?workbook=12_04.xlsx&amp;sheet=U0&amp;row=7359&amp;col=6&amp;number=4.5&amp;sourceID=14","4.5")</f>
        <v>4.5</v>
      </c>
      <c r="G7359" s="4" t="str">
        <f>HYPERLINK("http://141.218.60.56/~jnz1568/getInfo.php?workbook=12_04.xlsx&amp;sheet=U0&amp;row=7359&amp;col=7&amp;number=0.00177&amp;sourceID=14","0.00177")</f>
        <v>0.00177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HYPERLINK("http://141.218.60.56/~jnz1568/getInfo.php?workbook=12_04.xlsx&amp;sheet=U0&amp;row=7360&amp;col=6&amp;number=4.6&amp;sourceID=14","4.6")</f>
        <v>4.6</v>
      </c>
      <c r="G7360" s="4" t="str">
        <f>HYPERLINK("http://141.218.60.56/~jnz1568/getInfo.php?workbook=12_04.xlsx&amp;sheet=U0&amp;row=7360&amp;col=7&amp;number=0.00173&amp;sourceID=14","0.00173")</f>
        <v>0.00173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HYPERLINK("http://141.218.60.56/~jnz1568/getInfo.php?workbook=12_04.xlsx&amp;sheet=U0&amp;row=7361&amp;col=6&amp;number=4.7&amp;sourceID=14","4.7")</f>
        <v>4.7</v>
      </c>
      <c r="G7361" s="4" t="str">
        <f>HYPERLINK("http://141.218.60.56/~jnz1568/getInfo.php?workbook=12_04.xlsx&amp;sheet=U0&amp;row=7361&amp;col=7&amp;number=0.00169&amp;sourceID=14","0.00169")</f>
        <v>0.00169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HYPERLINK("http://141.218.60.56/~jnz1568/getInfo.php?workbook=12_04.xlsx&amp;sheet=U0&amp;row=7362&amp;col=6&amp;number=4.8&amp;sourceID=14","4.8")</f>
        <v>4.8</v>
      </c>
      <c r="G7362" s="4" t="str">
        <f>HYPERLINK("http://141.218.60.56/~jnz1568/getInfo.php?workbook=12_04.xlsx&amp;sheet=U0&amp;row=7362&amp;col=7&amp;number=0.00165&amp;sourceID=14","0.00165")</f>
        <v>0.00165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HYPERLINK("http://141.218.60.56/~jnz1568/getInfo.php?workbook=12_04.xlsx&amp;sheet=U0&amp;row=7363&amp;col=6&amp;number=4.9&amp;sourceID=14","4.9")</f>
        <v>4.9</v>
      </c>
      <c r="G7363" s="4" t="str">
        <f>HYPERLINK("http://141.218.60.56/~jnz1568/getInfo.php?workbook=12_04.xlsx&amp;sheet=U0&amp;row=7363&amp;col=7&amp;number=0.0016&amp;sourceID=14","0.0016")</f>
        <v>0.0016</v>
      </c>
    </row>
    <row r="7364" spans="1:7">
      <c r="A7364" s="3">
        <v>12</v>
      </c>
      <c r="B7364" s="3">
        <v>4</v>
      </c>
      <c r="C7364" s="3">
        <v>4</v>
      </c>
      <c r="D7364" s="3">
        <v>85</v>
      </c>
      <c r="E7364" s="3">
        <v>1</v>
      </c>
      <c r="F7364" s="4" t="str">
        <f>HYPERLINK("http://141.218.60.56/~jnz1568/getInfo.php?workbook=12_04.xlsx&amp;sheet=U0&amp;row=7364&amp;col=6&amp;number=3&amp;sourceID=14","3")</f>
        <v>3</v>
      </c>
      <c r="G7364" s="4" t="str">
        <f>HYPERLINK("http://141.218.60.56/~jnz1568/getInfo.php?workbook=12_04.xlsx&amp;sheet=U0&amp;row=7364&amp;col=7&amp;number=0.00912&amp;sourceID=14","0.00912")</f>
        <v>0.00912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HYPERLINK("http://141.218.60.56/~jnz1568/getInfo.php?workbook=12_04.xlsx&amp;sheet=U0&amp;row=7365&amp;col=6&amp;number=3.1&amp;sourceID=14","3.1")</f>
        <v>3.1</v>
      </c>
      <c r="G7365" s="4" t="str">
        <f>HYPERLINK("http://141.218.60.56/~jnz1568/getInfo.php?workbook=12_04.xlsx&amp;sheet=U0&amp;row=7365&amp;col=7&amp;number=0.00912&amp;sourceID=14","0.00912")</f>
        <v>0.00912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HYPERLINK("http://141.218.60.56/~jnz1568/getInfo.php?workbook=12_04.xlsx&amp;sheet=U0&amp;row=7366&amp;col=6&amp;number=3.2&amp;sourceID=14","3.2")</f>
        <v>3.2</v>
      </c>
      <c r="G7366" s="4" t="str">
        <f>HYPERLINK("http://141.218.60.56/~jnz1568/getInfo.php?workbook=12_04.xlsx&amp;sheet=U0&amp;row=7366&amp;col=7&amp;number=0.00912&amp;sourceID=14","0.00912")</f>
        <v>0.00912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HYPERLINK("http://141.218.60.56/~jnz1568/getInfo.php?workbook=12_04.xlsx&amp;sheet=U0&amp;row=7367&amp;col=6&amp;number=3.3&amp;sourceID=14","3.3")</f>
        <v>3.3</v>
      </c>
      <c r="G7367" s="4" t="str">
        <f>HYPERLINK("http://141.218.60.56/~jnz1568/getInfo.php?workbook=12_04.xlsx&amp;sheet=U0&amp;row=7367&amp;col=7&amp;number=0.00912&amp;sourceID=14","0.00912")</f>
        <v>0.00912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HYPERLINK("http://141.218.60.56/~jnz1568/getInfo.php?workbook=12_04.xlsx&amp;sheet=U0&amp;row=7368&amp;col=6&amp;number=3.4&amp;sourceID=14","3.4")</f>
        <v>3.4</v>
      </c>
      <c r="G7368" s="4" t="str">
        <f>HYPERLINK("http://141.218.60.56/~jnz1568/getInfo.php?workbook=12_04.xlsx&amp;sheet=U0&amp;row=7368&amp;col=7&amp;number=0.00911&amp;sourceID=14","0.00911")</f>
        <v>0.00911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HYPERLINK("http://141.218.60.56/~jnz1568/getInfo.php?workbook=12_04.xlsx&amp;sheet=U0&amp;row=7369&amp;col=6&amp;number=3.5&amp;sourceID=14","3.5")</f>
        <v>3.5</v>
      </c>
      <c r="G7369" s="4" t="str">
        <f>HYPERLINK("http://141.218.60.56/~jnz1568/getInfo.php?workbook=12_04.xlsx&amp;sheet=U0&amp;row=7369&amp;col=7&amp;number=0.00911&amp;sourceID=14","0.00911")</f>
        <v>0.00911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HYPERLINK("http://141.218.60.56/~jnz1568/getInfo.php?workbook=12_04.xlsx&amp;sheet=U0&amp;row=7370&amp;col=6&amp;number=3.6&amp;sourceID=14","3.6")</f>
        <v>3.6</v>
      </c>
      <c r="G7370" s="4" t="str">
        <f>HYPERLINK("http://141.218.60.56/~jnz1568/getInfo.php?workbook=12_04.xlsx&amp;sheet=U0&amp;row=7370&amp;col=7&amp;number=0.00911&amp;sourceID=14","0.00911")</f>
        <v>0.00911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HYPERLINK("http://141.218.60.56/~jnz1568/getInfo.php?workbook=12_04.xlsx&amp;sheet=U0&amp;row=7371&amp;col=6&amp;number=3.7&amp;sourceID=14","3.7")</f>
        <v>3.7</v>
      </c>
      <c r="G7371" s="4" t="str">
        <f>HYPERLINK("http://141.218.60.56/~jnz1568/getInfo.php?workbook=12_04.xlsx&amp;sheet=U0&amp;row=7371&amp;col=7&amp;number=0.00911&amp;sourceID=14","0.00911")</f>
        <v>0.00911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HYPERLINK("http://141.218.60.56/~jnz1568/getInfo.php?workbook=12_04.xlsx&amp;sheet=U0&amp;row=7372&amp;col=6&amp;number=3.8&amp;sourceID=14","3.8")</f>
        <v>3.8</v>
      </c>
      <c r="G7372" s="4" t="str">
        <f>HYPERLINK("http://141.218.60.56/~jnz1568/getInfo.php?workbook=12_04.xlsx&amp;sheet=U0&amp;row=7372&amp;col=7&amp;number=0.0091&amp;sourceID=14","0.0091")</f>
        <v>0.0091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HYPERLINK("http://141.218.60.56/~jnz1568/getInfo.php?workbook=12_04.xlsx&amp;sheet=U0&amp;row=7373&amp;col=6&amp;number=3.9&amp;sourceID=14","3.9")</f>
        <v>3.9</v>
      </c>
      <c r="G7373" s="4" t="str">
        <f>HYPERLINK("http://141.218.60.56/~jnz1568/getInfo.php?workbook=12_04.xlsx&amp;sheet=U0&amp;row=7373&amp;col=7&amp;number=0.0091&amp;sourceID=14","0.0091")</f>
        <v>0.0091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HYPERLINK("http://141.218.60.56/~jnz1568/getInfo.php?workbook=12_04.xlsx&amp;sheet=U0&amp;row=7374&amp;col=6&amp;number=4&amp;sourceID=14","4")</f>
        <v>4</v>
      </c>
      <c r="G7374" s="4" t="str">
        <f>HYPERLINK("http://141.218.60.56/~jnz1568/getInfo.php?workbook=12_04.xlsx&amp;sheet=U0&amp;row=7374&amp;col=7&amp;number=0.00909&amp;sourceID=14","0.00909")</f>
        <v>0.00909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HYPERLINK("http://141.218.60.56/~jnz1568/getInfo.php?workbook=12_04.xlsx&amp;sheet=U0&amp;row=7375&amp;col=6&amp;number=4.1&amp;sourceID=14","4.1")</f>
        <v>4.1</v>
      </c>
      <c r="G7375" s="4" t="str">
        <f>HYPERLINK("http://141.218.60.56/~jnz1568/getInfo.php?workbook=12_04.xlsx&amp;sheet=U0&amp;row=7375&amp;col=7&amp;number=0.00908&amp;sourceID=14","0.00908")</f>
        <v>0.00908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HYPERLINK("http://141.218.60.56/~jnz1568/getInfo.php?workbook=12_04.xlsx&amp;sheet=U0&amp;row=7376&amp;col=6&amp;number=4.2&amp;sourceID=14","4.2")</f>
        <v>4.2</v>
      </c>
      <c r="G7376" s="4" t="str">
        <f>HYPERLINK("http://141.218.60.56/~jnz1568/getInfo.php?workbook=12_04.xlsx&amp;sheet=U0&amp;row=7376&amp;col=7&amp;number=0.00907&amp;sourceID=14","0.00907")</f>
        <v>0.00907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HYPERLINK("http://141.218.60.56/~jnz1568/getInfo.php?workbook=12_04.xlsx&amp;sheet=U0&amp;row=7377&amp;col=6&amp;number=4.3&amp;sourceID=14","4.3")</f>
        <v>4.3</v>
      </c>
      <c r="G7377" s="4" t="str">
        <f>HYPERLINK("http://141.218.60.56/~jnz1568/getInfo.php?workbook=12_04.xlsx&amp;sheet=U0&amp;row=7377&amp;col=7&amp;number=0.00906&amp;sourceID=14","0.00906")</f>
        <v>0.00906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HYPERLINK("http://141.218.60.56/~jnz1568/getInfo.php?workbook=12_04.xlsx&amp;sheet=U0&amp;row=7378&amp;col=6&amp;number=4.4&amp;sourceID=14","4.4")</f>
        <v>4.4</v>
      </c>
      <c r="G7378" s="4" t="str">
        <f>HYPERLINK("http://141.218.60.56/~jnz1568/getInfo.php?workbook=12_04.xlsx&amp;sheet=U0&amp;row=7378&amp;col=7&amp;number=0.00904&amp;sourceID=14","0.00904")</f>
        <v>0.00904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HYPERLINK("http://141.218.60.56/~jnz1568/getInfo.php?workbook=12_04.xlsx&amp;sheet=U0&amp;row=7379&amp;col=6&amp;number=4.5&amp;sourceID=14","4.5")</f>
        <v>4.5</v>
      </c>
      <c r="G7379" s="4" t="str">
        <f>HYPERLINK("http://141.218.60.56/~jnz1568/getInfo.php?workbook=12_04.xlsx&amp;sheet=U0&amp;row=7379&amp;col=7&amp;number=0.00902&amp;sourceID=14","0.00902")</f>
        <v>0.00902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HYPERLINK("http://141.218.60.56/~jnz1568/getInfo.php?workbook=12_04.xlsx&amp;sheet=U0&amp;row=7380&amp;col=6&amp;number=4.6&amp;sourceID=14","4.6")</f>
        <v>4.6</v>
      </c>
      <c r="G7380" s="4" t="str">
        <f>HYPERLINK("http://141.218.60.56/~jnz1568/getInfo.php?workbook=12_04.xlsx&amp;sheet=U0&amp;row=7380&amp;col=7&amp;number=0.009&amp;sourceID=14","0.009")</f>
        <v>0.009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HYPERLINK("http://141.218.60.56/~jnz1568/getInfo.php?workbook=12_04.xlsx&amp;sheet=U0&amp;row=7381&amp;col=6&amp;number=4.7&amp;sourceID=14","4.7")</f>
        <v>4.7</v>
      </c>
      <c r="G7381" s="4" t="str">
        <f>HYPERLINK("http://141.218.60.56/~jnz1568/getInfo.php?workbook=12_04.xlsx&amp;sheet=U0&amp;row=7381&amp;col=7&amp;number=0.00897&amp;sourceID=14","0.00897")</f>
        <v>0.00897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HYPERLINK("http://141.218.60.56/~jnz1568/getInfo.php?workbook=12_04.xlsx&amp;sheet=U0&amp;row=7382&amp;col=6&amp;number=4.8&amp;sourceID=14","4.8")</f>
        <v>4.8</v>
      </c>
      <c r="G7382" s="4" t="str">
        <f>HYPERLINK("http://141.218.60.56/~jnz1568/getInfo.php?workbook=12_04.xlsx&amp;sheet=U0&amp;row=7382&amp;col=7&amp;number=0.00894&amp;sourceID=14","0.00894")</f>
        <v>0.00894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HYPERLINK("http://141.218.60.56/~jnz1568/getInfo.php?workbook=12_04.xlsx&amp;sheet=U0&amp;row=7383&amp;col=6&amp;number=4.9&amp;sourceID=14","4.9")</f>
        <v>4.9</v>
      </c>
      <c r="G7383" s="4" t="str">
        <f>HYPERLINK("http://141.218.60.56/~jnz1568/getInfo.php?workbook=12_04.xlsx&amp;sheet=U0&amp;row=7383&amp;col=7&amp;number=0.0089&amp;sourceID=14","0.0089")</f>
        <v>0.0089</v>
      </c>
    </row>
    <row r="7384" spans="1:7">
      <c r="A7384" s="3">
        <v>12</v>
      </c>
      <c r="B7384" s="3">
        <v>4</v>
      </c>
      <c r="C7384" s="3">
        <v>4</v>
      </c>
      <c r="D7384" s="3">
        <v>86</v>
      </c>
      <c r="E7384" s="3">
        <v>1</v>
      </c>
      <c r="F7384" s="4" t="str">
        <f>HYPERLINK("http://141.218.60.56/~jnz1568/getInfo.php?workbook=12_04.xlsx&amp;sheet=U0&amp;row=7384&amp;col=6&amp;number=3&amp;sourceID=14","3")</f>
        <v>3</v>
      </c>
      <c r="G7384" s="4" t="str">
        <f>HYPERLINK("http://141.218.60.56/~jnz1568/getInfo.php?workbook=12_04.xlsx&amp;sheet=U0&amp;row=7384&amp;col=7&amp;number=0.00608&amp;sourceID=14","0.00608")</f>
        <v>0.00608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HYPERLINK("http://141.218.60.56/~jnz1568/getInfo.php?workbook=12_04.xlsx&amp;sheet=U0&amp;row=7385&amp;col=6&amp;number=3.1&amp;sourceID=14","3.1")</f>
        <v>3.1</v>
      </c>
      <c r="G7385" s="4" t="str">
        <f>HYPERLINK("http://141.218.60.56/~jnz1568/getInfo.php?workbook=12_04.xlsx&amp;sheet=U0&amp;row=7385&amp;col=7&amp;number=0.00608&amp;sourceID=14","0.00608")</f>
        <v>0.00608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HYPERLINK("http://141.218.60.56/~jnz1568/getInfo.php?workbook=12_04.xlsx&amp;sheet=U0&amp;row=7386&amp;col=6&amp;number=3.2&amp;sourceID=14","3.2")</f>
        <v>3.2</v>
      </c>
      <c r="G7386" s="4" t="str">
        <f>HYPERLINK("http://141.218.60.56/~jnz1568/getInfo.php?workbook=12_04.xlsx&amp;sheet=U0&amp;row=7386&amp;col=7&amp;number=0.00608&amp;sourceID=14","0.00608")</f>
        <v>0.00608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HYPERLINK("http://141.218.60.56/~jnz1568/getInfo.php?workbook=12_04.xlsx&amp;sheet=U0&amp;row=7387&amp;col=6&amp;number=3.3&amp;sourceID=14","3.3")</f>
        <v>3.3</v>
      </c>
      <c r="G7387" s="4" t="str">
        <f>HYPERLINK("http://141.218.60.56/~jnz1568/getInfo.php?workbook=12_04.xlsx&amp;sheet=U0&amp;row=7387&amp;col=7&amp;number=0.00608&amp;sourceID=14","0.00608")</f>
        <v>0.00608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HYPERLINK("http://141.218.60.56/~jnz1568/getInfo.php?workbook=12_04.xlsx&amp;sheet=U0&amp;row=7388&amp;col=6&amp;number=3.4&amp;sourceID=14","3.4")</f>
        <v>3.4</v>
      </c>
      <c r="G7388" s="4" t="str">
        <f>HYPERLINK("http://141.218.60.56/~jnz1568/getInfo.php?workbook=12_04.xlsx&amp;sheet=U0&amp;row=7388&amp;col=7&amp;number=0.00608&amp;sourceID=14","0.00608")</f>
        <v>0.00608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HYPERLINK("http://141.218.60.56/~jnz1568/getInfo.php?workbook=12_04.xlsx&amp;sheet=U0&amp;row=7389&amp;col=6&amp;number=3.5&amp;sourceID=14","3.5")</f>
        <v>3.5</v>
      </c>
      <c r="G7389" s="4" t="str">
        <f>HYPERLINK("http://141.218.60.56/~jnz1568/getInfo.php?workbook=12_04.xlsx&amp;sheet=U0&amp;row=7389&amp;col=7&amp;number=0.00608&amp;sourceID=14","0.00608")</f>
        <v>0.00608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HYPERLINK("http://141.218.60.56/~jnz1568/getInfo.php?workbook=12_04.xlsx&amp;sheet=U0&amp;row=7390&amp;col=6&amp;number=3.6&amp;sourceID=14","3.6")</f>
        <v>3.6</v>
      </c>
      <c r="G7390" s="4" t="str">
        <f>HYPERLINK("http://141.218.60.56/~jnz1568/getInfo.php?workbook=12_04.xlsx&amp;sheet=U0&amp;row=7390&amp;col=7&amp;number=0.00608&amp;sourceID=14","0.00608")</f>
        <v>0.00608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HYPERLINK("http://141.218.60.56/~jnz1568/getInfo.php?workbook=12_04.xlsx&amp;sheet=U0&amp;row=7391&amp;col=6&amp;number=3.7&amp;sourceID=14","3.7")</f>
        <v>3.7</v>
      </c>
      <c r="G7391" s="4" t="str">
        <f>HYPERLINK("http://141.218.60.56/~jnz1568/getInfo.php?workbook=12_04.xlsx&amp;sheet=U0&amp;row=7391&amp;col=7&amp;number=0.00607&amp;sourceID=14","0.00607")</f>
        <v>0.00607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HYPERLINK("http://141.218.60.56/~jnz1568/getInfo.php?workbook=12_04.xlsx&amp;sheet=U0&amp;row=7392&amp;col=6&amp;number=3.8&amp;sourceID=14","3.8")</f>
        <v>3.8</v>
      </c>
      <c r="G7392" s="4" t="str">
        <f>HYPERLINK("http://141.218.60.56/~jnz1568/getInfo.php?workbook=12_04.xlsx&amp;sheet=U0&amp;row=7392&amp;col=7&amp;number=0.00607&amp;sourceID=14","0.00607")</f>
        <v>0.00607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HYPERLINK("http://141.218.60.56/~jnz1568/getInfo.php?workbook=12_04.xlsx&amp;sheet=U0&amp;row=7393&amp;col=6&amp;number=3.9&amp;sourceID=14","3.9")</f>
        <v>3.9</v>
      </c>
      <c r="G7393" s="4" t="str">
        <f>HYPERLINK("http://141.218.60.56/~jnz1568/getInfo.php?workbook=12_04.xlsx&amp;sheet=U0&amp;row=7393&amp;col=7&amp;number=0.00607&amp;sourceID=14","0.00607")</f>
        <v>0.00607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HYPERLINK("http://141.218.60.56/~jnz1568/getInfo.php?workbook=12_04.xlsx&amp;sheet=U0&amp;row=7394&amp;col=6&amp;number=4&amp;sourceID=14","4")</f>
        <v>4</v>
      </c>
      <c r="G7394" s="4" t="str">
        <f>HYPERLINK("http://141.218.60.56/~jnz1568/getInfo.php?workbook=12_04.xlsx&amp;sheet=U0&amp;row=7394&amp;col=7&amp;number=0.00606&amp;sourceID=14","0.00606")</f>
        <v>0.00606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HYPERLINK("http://141.218.60.56/~jnz1568/getInfo.php?workbook=12_04.xlsx&amp;sheet=U0&amp;row=7395&amp;col=6&amp;number=4.1&amp;sourceID=14","4.1")</f>
        <v>4.1</v>
      </c>
      <c r="G7395" s="4" t="str">
        <f>HYPERLINK("http://141.218.60.56/~jnz1568/getInfo.php?workbook=12_04.xlsx&amp;sheet=U0&amp;row=7395&amp;col=7&amp;number=0.00606&amp;sourceID=14","0.00606")</f>
        <v>0.00606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HYPERLINK("http://141.218.60.56/~jnz1568/getInfo.php?workbook=12_04.xlsx&amp;sheet=U0&amp;row=7396&amp;col=6&amp;number=4.2&amp;sourceID=14","4.2")</f>
        <v>4.2</v>
      </c>
      <c r="G7396" s="4" t="str">
        <f>HYPERLINK("http://141.218.60.56/~jnz1568/getInfo.php?workbook=12_04.xlsx&amp;sheet=U0&amp;row=7396&amp;col=7&amp;number=0.00605&amp;sourceID=14","0.00605")</f>
        <v>0.00605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HYPERLINK("http://141.218.60.56/~jnz1568/getInfo.php?workbook=12_04.xlsx&amp;sheet=U0&amp;row=7397&amp;col=6&amp;number=4.3&amp;sourceID=14","4.3")</f>
        <v>4.3</v>
      </c>
      <c r="G7397" s="4" t="str">
        <f>HYPERLINK("http://141.218.60.56/~jnz1568/getInfo.php?workbook=12_04.xlsx&amp;sheet=U0&amp;row=7397&amp;col=7&amp;number=0.00604&amp;sourceID=14","0.00604")</f>
        <v>0.00604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HYPERLINK("http://141.218.60.56/~jnz1568/getInfo.php?workbook=12_04.xlsx&amp;sheet=U0&amp;row=7398&amp;col=6&amp;number=4.4&amp;sourceID=14","4.4")</f>
        <v>4.4</v>
      </c>
      <c r="G7398" s="4" t="str">
        <f>HYPERLINK("http://141.218.60.56/~jnz1568/getInfo.php?workbook=12_04.xlsx&amp;sheet=U0&amp;row=7398&amp;col=7&amp;number=0.00603&amp;sourceID=14","0.00603")</f>
        <v>0.00603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HYPERLINK("http://141.218.60.56/~jnz1568/getInfo.php?workbook=12_04.xlsx&amp;sheet=U0&amp;row=7399&amp;col=6&amp;number=4.5&amp;sourceID=14","4.5")</f>
        <v>4.5</v>
      </c>
      <c r="G7399" s="4" t="str">
        <f>HYPERLINK("http://141.218.60.56/~jnz1568/getInfo.php?workbook=12_04.xlsx&amp;sheet=U0&amp;row=7399&amp;col=7&amp;number=0.00602&amp;sourceID=14","0.00602")</f>
        <v>0.00602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HYPERLINK("http://141.218.60.56/~jnz1568/getInfo.php?workbook=12_04.xlsx&amp;sheet=U0&amp;row=7400&amp;col=6&amp;number=4.6&amp;sourceID=14","4.6")</f>
        <v>4.6</v>
      </c>
      <c r="G7400" s="4" t="str">
        <f>HYPERLINK("http://141.218.60.56/~jnz1568/getInfo.php?workbook=12_04.xlsx&amp;sheet=U0&amp;row=7400&amp;col=7&amp;number=0.006&amp;sourceID=14","0.006")</f>
        <v>0.006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HYPERLINK("http://141.218.60.56/~jnz1568/getInfo.php?workbook=12_04.xlsx&amp;sheet=U0&amp;row=7401&amp;col=6&amp;number=4.7&amp;sourceID=14","4.7")</f>
        <v>4.7</v>
      </c>
      <c r="G7401" s="4" t="str">
        <f>HYPERLINK("http://141.218.60.56/~jnz1568/getInfo.php?workbook=12_04.xlsx&amp;sheet=U0&amp;row=7401&amp;col=7&amp;number=0.00598&amp;sourceID=14","0.00598")</f>
        <v>0.00598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HYPERLINK("http://141.218.60.56/~jnz1568/getInfo.php?workbook=12_04.xlsx&amp;sheet=U0&amp;row=7402&amp;col=6&amp;number=4.8&amp;sourceID=14","4.8")</f>
        <v>4.8</v>
      </c>
      <c r="G7402" s="4" t="str">
        <f>HYPERLINK("http://141.218.60.56/~jnz1568/getInfo.php?workbook=12_04.xlsx&amp;sheet=U0&amp;row=7402&amp;col=7&amp;number=0.00596&amp;sourceID=14","0.00596")</f>
        <v>0.00596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HYPERLINK("http://141.218.60.56/~jnz1568/getInfo.php?workbook=12_04.xlsx&amp;sheet=U0&amp;row=7403&amp;col=6&amp;number=4.9&amp;sourceID=14","4.9")</f>
        <v>4.9</v>
      </c>
      <c r="G7403" s="4" t="str">
        <f>HYPERLINK("http://141.218.60.56/~jnz1568/getInfo.php?workbook=12_04.xlsx&amp;sheet=U0&amp;row=7403&amp;col=7&amp;number=0.00593&amp;sourceID=14","0.00593")</f>
        <v>0.00593</v>
      </c>
    </row>
    <row r="7404" spans="1:7">
      <c r="A7404" s="3">
        <v>12</v>
      </c>
      <c r="B7404" s="3">
        <v>4</v>
      </c>
      <c r="C7404" s="3">
        <v>4</v>
      </c>
      <c r="D7404" s="3">
        <v>87</v>
      </c>
      <c r="E7404" s="3">
        <v>1</v>
      </c>
      <c r="F7404" s="4" t="str">
        <f>HYPERLINK("http://141.218.60.56/~jnz1568/getInfo.php?workbook=12_04.xlsx&amp;sheet=U0&amp;row=7404&amp;col=6&amp;number=3&amp;sourceID=14","3")</f>
        <v>3</v>
      </c>
      <c r="G7404" s="4" t="str">
        <f>HYPERLINK("http://141.218.60.56/~jnz1568/getInfo.php?workbook=12_04.xlsx&amp;sheet=U0&amp;row=7404&amp;col=7&amp;number=0.00215&amp;sourceID=14","0.00215")</f>
        <v>0.00215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HYPERLINK("http://141.218.60.56/~jnz1568/getInfo.php?workbook=12_04.xlsx&amp;sheet=U0&amp;row=7405&amp;col=6&amp;number=3.1&amp;sourceID=14","3.1")</f>
        <v>3.1</v>
      </c>
      <c r="G7405" s="4" t="str">
        <f>HYPERLINK("http://141.218.60.56/~jnz1568/getInfo.php?workbook=12_04.xlsx&amp;sheet=U0&amp;row=7405&amp;col=7&amp;number=0.00215&amp;sourceID=14","0.00215")</f>
        <v>0.00215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HYPERLINK("http://141.218.60.56/~jnz1568/getInfo.php?workbook=12_04.xlsx&amp;sheet=U0&amp;row=7406&amp;col=6&amp;number=3.2&amp;sourceID=14","3.2")</f>
        <v>3.2</v>
      </c>
      <c r="G7406" s="4" t="str">
        <f>HYPERLINK("http://141.218.60.56/~jnz1568/getInfo.php?workbook=12_04.xlsx&amp;sheet=U0&amp;row=7406&amp;col=7&amp;number=0.00215&amp;sourceID=14","0.00215")</f>
        <v>0.00215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HYPERLINK("http://141.218.60.56/~jnz1568/getInfo.php?workbook=12_04.xlsx&amp;sheet=U0&amp;row=7407&amp;col=6&amp;number=3.3&amp;sourceID=14","3.3")</f>
        <v>3.3</v>
      </c>
      <c r="G7407" s="4" t="str">
        <f>HYPERLINK("http://141.218.60.56/~jnz1568/getInfo.php?workbook=12_04.xlsx&amp;sheet=U0&amp;row=7407&amp;col=7&amp;number=0.00215&amp;sourceID=14","0.00215")</f>
        <v>0.00215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HYPERLINK("http://141.218.60.56/~jnz1568/getInfo.php?workbook=12_04.xlsx&amp;sheet=U0&amp;row=7408&amp;col=6&amp;number=3.4&amp;sourceID=14","3.4")</f>
        <v>3.4</v>
      </c>
      <c r="G7408" s="4" t="str">
        <f>HYPERLINK("http://141.218.60.56/~jnz1568/getInfo.php?workbook=12_04.xlsx&amp;sheet=U0&amp;row=7408&amp;col=7&amp;number=0.00215&amp;sourceID=14","0.00215")</f>
        <v>0.00215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HYPERLINK("http://141.218.60.56/~jnz1568/getInfo.php?workbook=12_04.xlsx&amp;sheet=U0&amp;row=7409&amp;col=6&amp;number=3.5&amp;sourceID=14","3.5")</f>
        <v>3.5</v>
      </c>
      <c r="G7409" s="4" t="str">
        <f>HYPERLINK("http://141.218.60.56/~jnz1568/getInfo.php?workbook=12_04.xlsx&amp;sheet=U0&amp;row=7409&amp;col=7&amp;number=0.00215&amp;sourceID=14","0.00215")</f>
        <v>0.00215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HYPERLINK("http://141.218.60.56/~jnz1568/getInfo.php?workbook=12_04.xlsx&amp;sheet=U0&amp;row=7410&amp;col=6&amp;number=3.6&amp;sourceID=14","3.6")</f>
        <v>3.6</v>
      </c>
      <c r="G7410" s="4" t="str">
        <f>HYPERLINK("http://141.218.60.56/~jnz1568/getInfo.php?workbook=12_04.xlsx&amp;sheet=U0&amp;row=7410&amp;col=7&amp;number=0.00215&amp;sourceID=14","0.00215")</f>
        <v>0.00215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HYPERLINK("http://141.218.60.56/~jnz1568/getInfo.php?workbook=12_04.xlsx&amp;sheet=U0&amp;row=7411&amp;col=6&amp;number=3.7&amp;sourceID=14","3.7")</f>
        <v>3.7</v>
      </c>
      <c r="G7411" s="4" t="str">
        <f>HYPERLINK("http://141.218.60.56/~jnz1568/getInfo.php?workbook=12_04.xlsx&amp;sheet=U0&amp;row=7411&amp;col=7&amp;number=0.00215&amp;sourceID=14","0.00215")</f>
        <v>0.00215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HYPERLINK("http://141.218.60.56/~jnz1568/getInfo.php?workbook=12_04.xlsx&amp;sheet=U0&amp;row=7412&amp;col=6&amp;number=3.8&amp;sourceID=14","3.8")</f>
        <v>3.8</v>
      </c>
      <c r="G7412" s="4" t="str">
        <f>HYPERLINK("http://141.218.60.56/~jnz1568/getInfo.php?workbook=12_04.xlsx&amp;sheet=U0&amp;row=7412&amp;col=7&amp;number=0.00215&amp;sourceID=14","0.00215")</f>
        <v>0.00215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HYPERLINK("http://141.218.60.56/~jnz1568/getInfo.php?workbook=12_04.xlsx&amp;sheet=U0&amp;row=7413&amp;col=6&amp;number=3.9&amp;sourceID=14","3.9")</f>
        <v>3.9</v>
      </c>
      <c r="G7413" s="4" t="str">
        <f>HYPERLINK("http://141.218.60.56/~jnz1568/getInfo.php?workbook=12_04.xlsx&amp;sheet=U0&amp;row=7413&amp;col=7&amp;number=0.00215&amp;sourceID=14","0.00215")</f>
        <v>0.00215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HYPERLINK("http://141.218.60.56/~jnz1568/getInfo.php?workbook=12_04.xlsx&amp;sheet=U0&amp;row=7414&amp;col=6&amp;number=4&amp;sourceID=14","4")</f>
        <v>4</v>
      </c>
      <c r="G7414" s="4" t="str">
        <f>HYPERLINK("http://141.218.60.56/~jnz1568/getInfo.php?workbook=12_04.xlsx&amp;sheet=U0&amp;row=7414&amp;col=7&amp;number=0.00214&amp;sourceID=14","0.00214")</f>
        <v>0.00214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HYPERLINK("http://141.218.60.56/~jnz1568/getInfo.php?workbook=12_04.xlsx&amp;sheet=U0&amp;row=7415&amp;col=6&amp;number=4.1&amp;sourceID=14","4.1")</f>
        <v>4.1</v>
      </c>
      <c r="G7415" s="4" t="str">
        <f>HYPERLINK("http://141.218.60.56/~jnz1568/getInfo.php?workbook=12_04.xlsx&amp;sheet=U0&amp;row=7415&amp;col=7&amp;number=0.00214&amp;sourceID=14","0.00214")</f>
        <v>0.00214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HYPERLINK("http://141.218.60.56/~jnz1568/getInfo.php?workbook=12_04.xlsx&amp;sheet=U0&amp;row=7416&amp;col=6&amp;number=4.2&amp;sourceID=14","4.2")</f>
        <v>4.2</v>
      </c>
      <c r="G7416" s="4" t="str">
        <f>HYPERLINK("http://141.218.60.56/~jnz1568/getInfo.php?workbook=12_04.xlsx&amp;sheet=U0&amp;row=7416&amp;col=7&amp;number=0.00214&amp;sourceID=14","0.00214")</f>
        <v>0.00214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HYPERLINK("http://141.218.60.56/~jnz1568/getInfo.php?workbook=12_04.xlsx&amp;sheet=U0&amp;row=7417&amp;col=6&amp;number=4.3&amp;sourceID=14","4.3")</f>
        <v>4.3</v>
      </c>
      <c r="G7417" s="4" t="str">
        <f>HYPERLINK("http://141.218.60.56/~jnz1568/getInfo.php?workbook=12_04.xlsx&amp;sheet=U0&amp;row=7417&amp;col=7&amp;number=0.00214&amp;sourceID=14","0.00214")</f>
        <v>0.00214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HYPERLINK("http://141.218.60.56/~jnz1568/getInfo.php?workbook=12_04.xlsx&amp;sheet=U0&amp;row=7418&amp;col=6&amp;number=4.4&amp;sourceID=14","4.4")</f>
        <v>4.4</v>
      </c>
      <c r="G7418" s="4" t="str">
        <f>HYPERLINK("http://141.218.60.56/~jnz1568/getInfo.php?workbook=12_04.xlsx&amp;sheet=U0&amp;row=7418&amp;col=7&amp;number=0.00213&amp;sourceID=14","0.00213")</f>
        <v>0.00213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HYPERLINK("http://141.218.60.56/~jnz1568/getInfo.php?workbook=12_04.xlsx&amp;sheet=U0&amp;row=7419&amp;col=6&amp;number=4.5&amp;sourceID=14","4.5")</f>
        <v>4.5</v>
      </c>
      <c r="G7419" s="4" t="str">
        <f>HYPERLINK("http://141.218.60.56/~jnz1568/getInfo.php?workbook=12_04.xlsx&amp;sheet=U0&amp;row=7419&amp;col=7&amp;number=0.00213&amp;sourceID=14","0.00213")</f>
        <v>0.00213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HYPERLINK("http://141.218.60.56/~jnz1568/getInfo.php?workbook=12_04.xlsx&amp;sheet=U0&amp;row=7420&amp;col=6&amp;number=4.6&amp;sourceID=14","4.6")</f>
        <v>4.6</v>
      </c>
      <c r="G7420" s="4" t="str">
        <f>HYPERLINK("http://141.218.60.56/~jnz1568/getInfo.php?workbook=12_04.xlsx&amp;sheet=U0&amp;row=7420&amp;col=7&amp;number=0.00212&amp;sourceID=14","0.00212")</f>
        <v>0.00212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HYPERLINK("http://141.218.60.56/~jnz1568/getInfo.php?workbook=12_04.xlsx&amp;sheet=U0&amp;row=7421&amp;col=6&amp;number=4.7&amp;sourceID=14","4.7")</f>
        <v>4.7</v>
      </c>
      <c r="G7421" s="4" t="str">
        <f>HYPERLINK("http://141.218.60.56/~jnz1568/getInfo.php?workbook=12_04.xlsx&amp;sheet=U0&amp;row=7421&amp;col=7&amp;number=0.00211&amp;sourceID=14","0.00211")</f>
        <v>0.00211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HYPERLINK("http://141.218.60.56/~jnz1568/getInfo.php?workbook=12_04.xlsx&amp;sheet=U0&amp;row=7422&amp;col=6&amp;number=4.8&amp;sourceID=14","4.8")</f>
        <v>4.8</v>
      </c>
      <c r="G7422" s="4" t="str">
        <f>HYPERLINK("http://141.218.60.56/~jnz1568/getInfo.php?workbook=12_04.xlsx&amp;sheet=U0&amp;row=7422&amp;col=7&amp;number=0.0021&amp;sourceID=14","0.0021")</f>
        <v>0.0021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HYPERLINK("http://141.218.60.56/~jnz1568/getInfo.php?workbook=12_04.xlsx&amp;sheet=U0&amp;row=7423&amp;col=6&amp;number=4.9&amp;sourceID=14","4.9")</f>
        <v>4.9</v>
      </c>
      <c r="G7423" s="4" t="str">
        <f>HYPERLINK("http://141.218.60.56/~jnz1568/getInfo.php?workbook=12_04.xlsx&amp;sheet=U0&amp;row=7423&amp;col=7&amp;number=0.00209&amp;sourceID=14","0.00209")</f>
        <v>0.00209</v>
      </c>
    </row>
    <row r="7424" spans="1:7">
      <c r="A7424" s="3">
        <v>12</v>
      </c>
      <c r="B7424" s="3">
        <v>4</v>
      </c>
      <c r="C7424" s="3">
        <v>4</v>
      </c>
      <c r="D7424" s="3">
        <v>88</v>
      </c>
      <c r="E7424" s="3">
        <v>1</v>
      </c>
      <c r="F7424" s="4" t="str">
        <f>HYPERLINK("http://141.218.60.56/~jnz1568/getInfo.php?workbook=12_04.xlsx&amp;sheet=U0&amp;row=7424&amp;col=6&amp;number=3&amp;sourceID=14","3")</f>
        <v>3</v>
      </c>
      <c r="G7424" s="4" t="str">
        <f>HYPERLINK("http://141.218.60.56/~jnz1568/getInfo.php?workbook=12_04.xlsx&amp;sheet=U0&amp;row=7424&amp;col=7&amp;number=0.00323&amp;sourceID=14","0.00323")</f>
        <v>0.00323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HYPERLINK("http://141.218.60.56/~jnz1568/getInfo.php?workbook=12_04.xlsx&amp;sheet=U0&amp;row=7425&amp;col=6&amp;number=3.1&amp;sourceID=14","3.1")</f>
        <v>3.1</v>
      </c>
      <c r="G7425" s="4" t="str">
        <f>HYPERLINK("http://141.218.60.56/~jnz1568/getInfo.php?workbook=12_04.xlsx&amp;sheet=U0&amp;row=7425&amp;col=7&amp;number=0.00323&amp;sourceID=14","0.00323")</f>
        <v>0.00323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HYPERLINK("http://141.218.60.56/~jnz1568/getInfo.php?workbook=12_04.xlsx&amp;sheet=U0&amp;row=7426&amp;col=6&amp;number=3.2&amp;sourceID=14","3.2")</f>
        <v>3.2</v>
      </c>
      <c r="G7426" s="4" t="str">
        <f>HYPERLINK("http://141.218.60.56/~jnz1568/getInfo.php?workbook=12_04.xlsx&amp;sheet=U0&amp;row=7426&amp;col=7&amp;number=0.00323&amp;sourceID=14","0.00323")</f>
        <v>0.00323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HYPERLINK("http://141.218.60.56/~jnz1568/getInfo.php?workbook=12_04.xlsx&amp;sheet=U0&amp;row=7427&amp;col=6&amp;number=3.3&amp;sourceID=14","3.3")</f>
        <v>3.3</v>
      </c>
      <c r="G7427" s="4" t="str">
        <f>HYPERLINK("http://141.218.60.56/~jnz1568/getInfo.php?workbook=12_04.xlsx&amp;sheet=U0&amp;row=7427&amp;col=7&amp;number=0.00323&amp;sourceID=14","0.00323")</f>
        <v>0.00323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HYPERLINK("http://141.218.60.56/~jnz1568/getInfo.php?workbook=12_04.xlsx&amp;sheet=U0&amp;row=7428&amp;col=6&amp;number=3.4&amp;sourceID=14","3.4")</f>
        <v>3.4</v>
      </c>
      <c r="G7428" s="4" t="str">
        <f>HYPERLINK("http://141.218.60.56/~jnz1568/getInfo.php?workbook=12_04.xlsx&amp;sheet=U0&amp;row=7428&amp;col=7&amp;number=0.00323&amp;sourceID=14","0.00323")</f>
        <v>0.00323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HYPERLINK("http://141.218.60.56/~jnz1568/getInfo.php?workbook=12_04.xlsx&amp;sheet=U0&amp;row=7429&amp;col=6&amp;number=3.5&amp;sourceID=14","3.5")</f>
        <v>3.5</v>
      </c>
      <c r="G7429" s="4" t="str">
        <f>HYPERLINK("http://141.218.60.56/~jnz1568/getInfo.php?workbook=12_04.xlsx&amp;sheet=U0&amp;row=7429&amp;col=7&amp;number=0.00323&amp;sourceID=14","0.00323")</f>
        <v>0.00323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HYPERLINK("http://141.218.60.56/~jnz1568/getInfo.php?workbook=12_04.xlsx&amp;sheet=U0&amp;row=7430&amp;col=6&amp;number=3.6&amp;sourceID=14","3.6")</f>
        <v>3.6</v>
      </c>
      <c r="G7430" s="4" t="str">
        <f>HYPERLINK("http://141.218.60.56/~jnz1568/getInfo.php?workbook=12_04.xlsx&amp;sheet=U0&amp;row=7430&amp;col=7&amp;number=0.00323&amp;sourceID=14","0.00323")</f>
        <v>0.00323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HYPERLINK("http://141.218.60.56/~jnz1568/getInfo.php?workbook=12_04.xlsx&amp;sheet=U0&amp;row=7431&amp;col=6&amp;number=3.7&amp;sourceID=14","3.7")</f>
        <v>3.7</v>
      </c>
      <c r="G7431" s="4" t="str">
        <f>HYPERLINK("http://141.218.60.56/~jnz1568/getInfo.php?workbook=12_04.xlsx&amp;sheet=U0&amp;row=7431&amp;col=7&amp;number=0.00322&amp;sourceID=14","0.00322")</f>
        <v>0.00322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HYPERLINK("http://141.218.60.56/~jnz1568/getInfo.php?workbook=12_04.xlsx&amp;sheet=U0&amp;row=7432&amp;col=6&amp;number=3.8&amp;sourceID=14","3.8")</f>
        <v>3.8</v>
      </c>
      <c r="G7432" s="4" t="str">
        <f>HYPERLINK("http://141.218.60.56/~jnz1568/getInfo.php?workbook=12_04.xlsx&amp;sheet=U0&amp;row=7432&amp;col=7&amp;number=0.00322&amp;sourceID=14","0.00322")</f>
        <v>0.00322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HYPERLINK("http://141.218.60.56/~jnz1568/getInfo.php?workbook=12_04.xlsx&amp;sheet=U0&amp;row=7433&amp;col=6&amp;number=3.9&amp;sourceID=14","3.9")</f>
        <v>3.9</v>
      </c>
      <c r="G7433" s="4" t="str">
        <f>HYPERLINK("http://141.218.60.56/~jnz1568/getInfo.php?workbook=12_04.xlsx&amp;sheet=U0&amp;row=7433&amp;col=7&amp;number=0.00322&amp;sourceID=14","0.00322")</f>
        <v>0.00322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HYPERLINK("http://141.218.60.56/~jnz1568/getInfo.php?workbook=12_04.xlsx&amp;sheet=U0&amp;row=7434&amp;col=6&amp;number=4&amp;sourceID=14","4")</f>
        <v>4</v>
      </c>
      <c r="G7434" s="4" t="str">
        <f>HYPERLINK("http://141.218.60.56/~jnz1568/getInfo.php?workbook=12_04.xlsx&amp;sheet=U0&amp;row=7434&amp;col=7&amp;number=0.00321&amp;sourceID=14","0.00321")</f>
        <v>0.00321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HYPERLINK("http://141.218.60.56/~jnz1568/getInfo.php?workbook=12_04.xlsx&amp;sheet=U0&amp;row=7435&amp;col=6&amp;number=4.1&amp;sourceID=14","4.1")</f>
        <v>4.1</v>
      </c>
      <c r="G7435" s="4" t="str">
        <f>HYPERLINK("http://141.218.60.56/~jnz1568/getInfo.php?workbook=12_04.xlsx&amp;sheet=U0&amp;row=7435&amp;col=7&amp;number=0.00321&amp;sourceID=14","0.00321")</f>
        <v>0.00321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HYPERLINK("http://141.218.60.56/~jnz1568/getInfo.php?workbook=12_04.xlsx&amp;sheet=U0&amp;row=7436&amp;col=6&amp;number=4.2&amp;sourceID=14","4.2")</f>
        <v>4.2</v>
      </c>
      <c r="G7436" s="4" t="str">
        <f>HYPERLINK("http://141.218.60.56/~jnz1568/getInfo.php?workbook=12_04.xlsx&amp;sheet=U0&amp;row=7436&amp;col=7&amp;number=0.0032&amp;sourceID=14","0.0032")</f>
        <v>0.0032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HYPERLINK("http://141.218.60.56/~jnz1568/getInfo.php?workbook=12_04.xlsx&amp;sheet=U0&amp;row=7437&amp;col=6&amp;number=4.3&amp;sourceID=14","4.3")</f>
        <v>4.3</v>
      </c>
      <c r="G7437" s="4" t="str">
        <f>HYPERLINK("http://141.218.60.56/~jnz1568/getInfo.php?workbook=12_04.xlsx&amp;sheet=U0&amp;row=7437&amp;col=7&amp;number=0.00319&amp;sourceID=14","0.00319")</f>
        <v>0.00319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HYPERLINK("http://141.218.60.56/~jnz1568/getInfo.php?workbook=12_04.xlsx&amp;sheet=U0&amp;row=7438&amp;col=6&amp;number=4.4&amp;sourceID=14","4.4")</f>
        <v>4.4</v>
      </c>
      <c r="G7438" s="4" t="str">
        <f>HYPERLINK("http://141.218.60.56/~jnz1568/getInfo.php?workbook=12_04.xlsx&amp;sheet=U0&amp;row=7438&amp;col=7&amp;number=0.00318&amp;sourceID=14","0.00318")</f>
        <v>0.00318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HYPERLINK("http://141.218.60.56/~jnz1568/getInfo.php?workbook=12_04.xlsx&amp;sheet=U0&amp;row=7439&amp;col=6&amp;number=4.5&amp;sourceID=14","4.5")</f>
        <v>4.5</v>
      </c>
      <c r="G7439" s="4" t="str">
        <f>HYPERLINK("http://141.218.60.56/~jnz1568/getInfo.php?workbook=12_04.xlsx&amp;sheet=U0&amp;row=7439&amp;col=7&amp;number=0.00317&amp;sourceID=14","0.00317")</f>
        <v>0.00317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HYPERLINK("http://141.218.60.56/~jnz1568/getInfo.php?workbook=12_04.xlsx&amp;sheet=U0&amp;row=7440&amp;col=6&amp;number=4.6&amp;sourceID=14","4.6")</f>
        <v>4.6</v>
      </c>
      <c r="G7440" s="4" t="str">
        <f>HYPERLINK("http://141.218.60.56/~jnz1568/getInfo.php?workbook=12_04.xlsx&amp;sheet=U0&amp;row=7440&amp;col=7&amp;number=0.00315&amp;sourceID=14","0.00315")</f>
        <v>0.00315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HYPERLINK("http://141.218.60.56/~jnz1568/getInfo.php?workbook=12_04.xlsx&amp;sheet=U0&amp;row=7441&amp;col=6&amp;number=4.7&amp;sourceID=14","4.7")</f>
        <v>4.7</v>
      </c>
      <c r="G7441" s="4" t="str">
        <f>HYPERLINK("http://141.218.60.56/~jnz1568/getInfo.php?workbook=12_04.xlsx&amp;sheet=U0&amp;row=7441&amp;col=7&amp;number=0.00313&amp;sourceID=14","0.00313")</f>
        <v>0.00313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HYPERLINK("http://141.218.60.56/~jnz1568/getInfo.php?workbook=12_04.xlsx&amp;sheet=U0&amp;row=7442&amp;col=6&amp;number=4.8&amp;sourceID=14","4.8")</f>
        <v>4.8</v>
      </c>
      <c r="G7442" s="4" t="str">
        <f>HYPERLINK("http://141.218.60.56/~jnz1568/getInfo.php?workbook=12_04.xlsx&amp;sheet=U0&amp;row=7442&amp;col=7&amp;number=0.0031&amp;sourceID=14","0.0031")</f>
        <v>0.0031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HYPERLINK("http://141.218.60.56/~jnz1568/getInfo.php?workbook=12_04.xlsx&amp;sheet=U0&amp;row=7443&amp;col=6&amp;number=4.9&amp;sourceID=14","4.9")</f>
        <v>4.9</v>
      </c>
      <c r="G7443" s="4" t="str">
        <f>HYPERLINK("http://141.218.60.56/~jnz1568/getInfo.php?workbook=12_04.xlsx&amp;sheet=U0&amp;row=7443&amp;col=7&amp;number=0.00307&amp;sourceID=14","0.00307")</f>
        <v>0.00307</v>
      </c>
    </row>
    <row r="7444" spans="1:7">
      <c r="A7444" s="3">
        <v>12</v>
      </c>
      <c r="B7444" s="3">
        <v>4</v>
      </c>
      <c r="C7444" s="3">
        <v>4</v>
      </c>
      <c r="D7444" s="3">
        <v>89</v>
      </c>
      <c r="E7444" s="3">
        <v>1</v>
      </c>
      <c r="F7444" s="4" t="str">
        <f>HYPERLINK("http://141.218.60.56/~jnz1568/getInfo.php?workbook=12_04.xlsx&amp;sheet=U0&amp;row=7444&amp;col=6&amp;number=3&amp;sourceID=14","3")</f>
        <v>3</v>
      </c>
      <c r="G7444" s="4" t="str">
        <f>HYPERLINK("http://141.218.60.56/~jnz1568/getInfo.php?workbook=12_04.xlsx&amp;sheet=U0&amp;row=7444&amp;col=7&amp;number=0.00487&amp;sourceID=14","0.00487")</f>
        <v>0.00487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HYPERLINK("http://141.218.60.56/~jnz1568/getInfo.php?workbook=12_04.xlsx&amp;sheet=U0&amp;row=7445&amp;col=6&amp;number=3.1&amp;sourceID=14","3.1")</f>
        <v>3.1</v>
      </c>
      <c r="G7445" s="4" t="str">
        <f>HYPERLINK("http://141.218.60.56/~jnz1568/getInfo.php?workbook=12_04.xlsx&amp;sheet=U0&amp;row=7445&amp;col=7&amp;number=0.00487&amp;sourceID=14","0.00487")</f>
        <v>0.00487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HYPERLINK("http://141.218.60.56/~jnz1568/getInfo.php?workbook=12_04.xlsx&amp;sheet=U0&amp;row=7446&amp;col=6&amp;number=3.2&amp;sourceID=14","3.2")</f>
        <v>3.2</v>
      </c>
      <c r="G7446" s="4" t="str">
        <f>HYPERLINK("http://141.218.60.56/~jnz1568/getInfo.php?workbook=12_04.xlsx&amp;sheet=U0&amp;row=7446&amp;col=7&amp;number=0.00487&amp;sourceID=14","0.00487")</f>
        <v>0.00487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HYPERLINK("http://141.218.60.56/~jnz1568/getInfo.php?workbook=12_04.xlsx&amp;sheet=U0&amp;row=7447&amp;col=6&amp;number=3.3&amp;sourceID=14","3.3")</f>
        <v>3.3</v>
      </c>
      <c r="G7447" s="4" t="str">
        <f>HYPERLINK("http://141.218.60.56/~jnz1568/getInfo.php?workbook=12_04.xlsx&amp;sheet=U0&amp;row=7447&amp;col=7&amp;number=0.00487&amp;sourceID=14","0.00487")</f>
        <v>0.00487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HYPERLINK("http://141.218.60.56/~jnz1568/getInfo.php?workbook=12_04.xlsx&amp;sheet=U0&amp;row=7448&amp;col=6&amp;number=3.4&amp;sourceID=14","3.4")</f>
        <v>3.4</v>
      </c>
      <c r="G7448" s="4" t="str">
        <f>HYPERLINK("http://141.218.60.56/~jnz1568/getInfo.php?workbook=12_04.xlsx&amp;sheet=U0&amp;row=7448&amp;col=7&amp;number=0.00487&amp;sourceID=14","0.00487")</f>
        <v>0.00487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HYPERLINK("http://141.218.60.56/~jnz1568/getInfo.php?workbook=12_04.xlsx&amp;sheet=U0&amp;row=7449&amp;col=6&amp;number=3.5&amp;sourceID=14","3.5")</f>
        <v>3.5</v>
      </c>
      <c r="G7449" s="4" t="str">
        <f>HYPERLINK("http://141.218.60.56/~jnz1568/getInfo.php?workbook=12_04.xlsx&amp;sheet=U0&amp;row=7449&amp;col=7&amp;number=0.00487&amp;sourceID=14","0.00487")</f>
        <v>0.00487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HYPERLINK("http://141.218.60.56/~jnz1568/getInfo.php?workbook=12_04.xlsx&amp;sheet=U0&amp;row=7450&amp;col=6&amp;number=3.6&amp;sourceID=14","3.6")</f>
        <v>3.6</v>
      </c>
      <c r="G7450" s="4" t="str">
        <f>HYPERLINK("http://141.218.60.56/~jnz1568/getInfo.php?workbook=12_04.xlsx&amp;sheet=U0&amp;row=7450&amp;col=7&amp;number=0.00487&amp;sourceID=14","0.00487")</f>
        <v>0.00487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HYPERLINK("http://141.218.60.56/~jnz1568/getInfo.php?workbook=12_04.xlsx&amp;sheet=U0&amp;row=7451&amp;col=6&amp;number=3.7&amp;sourceID=14","3.7")</f>
        <v>3.7</v>
      </c>
      <c r="G7451" s="4" t="str">
        <f>HYPERLINK("http://141.218.60.56/~jnz1568/getInfo.php?workbook=12_04.xlsx&amp;sheet=U0&amp;row=7451&amp;col=7&amp;number=0.00486&amp;sourceID=14","0.00486")</f>
        <v>0.00486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HYPERLINK("http://141.218.60.56/~jnz1568/getInfo.php?workbook=12_04.xlsx&amp;sheet=U0&amp;row=7452&amp;col=6&amp;number=3.8&amp;sourceID=14","3.8")</f>
        <v>3.8</v>
      </c>
      <c r="G7452" s="4" t="str">
        <f>HYPERLINK("http://141.218.60.56/~jnz1568/getInfo.php?workbook=12_04.xlsx&amp;sheet=U0&amp;row=7452&amp;col=7&amp;number=0.00486&amp;sourceID=14","0.00486")</f>
        <v>0.00486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HYPERLINK("http://141.218.60.56/~jnz1568/getInfo.php?workbook=12_04.xlsx&amp;sheet=U0&amp;row=7453&amp;col=6&amp;number=3.9&amp;sourceID=14","3.9")</f>
        <v>3.9</v>
      </c>
      <c r="G7453" s="4" t="str">
        <f>HYPERLINK("http://141.218.60.56/~jnz1568/getInfo.php?workbook=12_04.xlsx&amp;sheet=U0&amp;row=7453&amp;col=7&amp;number=0.00486&amp;sourceID=14","0.00486")</f>
        <v>0.00486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HYPERLINK("http://141.218.60.56/~jnz1568/getInfo.php?workbook=12_04.xlsx&amp;sheet=U0&amp;row=7454&amp;col=6&amp;number=4&amp;sourceID=14","4")</f>
        <v>4</v>
      </c>
      <c r="G7454" s="4" t="str">
        <f>HYPERLINK("http://141.218.60.56/~jnz1568/getInfo.php?workbook=12_04.xlsx&amp;sheet=U0&amp;row=7454&amp;col=7&amp;number=0.00485&amp;sourceID=14","0.00485")</f>
        <v>0.00485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HYPERLINK("http://141.218.60.56/~jnz1568/getInfo.php?workbook=12_04.xlsx&amp;sheet=U0&amp;row=7455&amp;col=6&amp;number=4.1&amp;sourceID=14","4.1")</f>
        <v>4.1</v>
      </c>
      <c r="G7455" s="4" t="str">
        <f>HYPERLINK("http://141.218.60.56/~jnz1568/getInfo.php?workbook=12_04.xlsx&amp;sheet=U0&amp;row=7455&amp;col=7&amp;number=0.00485&amp;sourceID=14","0.00485")</f>
        <v>0.00485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HYPERLINK("http://141.218.60.56/~jnz1568/getInfo.php?workbook=12_04.xlsx&amp;sheet=U0&amp;row=7456&amp;col=6&amp;number=4.2&amp;sourceID=14","4.2")</f>
        <v>4.2</v>
      </c>
      <c r="G7456" s="4" t="str">
        <f>HYPERLINK("http://141.218.60.56/~jnz1568/getInfo.php?workbook=12_04.xlsx&amp;sheet=U0&amp;row=7456&amp;col=7&amp;number=0.00484&amp;sourceID=14","0.00484")</f>
        <v>0.00484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HYPERLINK("http://141.218.60.56/~jnz1568/getInfo.php?workbook=12_04.xlsx&amp;sheet=U0&amp;row=7457&amp;col=6&amp;number=4.3&amp;sourceID=14","4.3")</f>
        <v>4.3</v>
      </c>
      <c r="G7457" s="4" t="str">
        <f>HYPERLINK("http://141.218.60.56/~jnz1568/getInfo.php?workbook=12_04.xlsx&amp;sheet=U0&amp;row=7457&amp;col=7&amp;number=0.00483&amp;sourceID=14","0.00483")</f>
        <v>0.00483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HYPERLINK("http://141.218.60.56/~jnz1568/getInfo.php?workbook=12_04.xlsx&amp;sheet=U0&amp;row=7458&amp;col=6&amp;number=4.4&amp;sourceID=14","4.4")</f>
        <v>4.4</v>
      </c>
      <c r="G7458" s="4" t="str">
        <f>HYPERLINK("http://141.218.60.56/~jnz1568/getInfo.php?workbook=12_04.xlsx&amp;sheet=U0&amp;row=7458&amp;col=7&amp;number=0.00481&amp;sourceID=14","0.00481")</f>
        <v>0.00481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HYPERLINK("http://141.218.60.56/~jnz1568/getInfo.php?workbook=12_04.xlsx&amp;sheet=U0&amp;row=7459&amp;col=6&amp;number=4.5&amp;sourceID=14","4.5")</f>
        <v>4.5</v>
      </c>
      <c r="G7459" s="4" t="str">
        <f>HYPERLINK("http://141.218.60.56/~jnz1568/getInfo.php?workbook=12_04.xlsx&amp;sheet=U0&amp;row=7459&amp;col=7&amp;number=0.0048&amp;sourceID=14","0.0048")</f>
        <v>0.0048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HYPERLINK("http://141.218.60.56/~jnz1568/getInfo.php?workbook=12_04.xlsx&amp;sheet=U0&amp;row=7460&amp;col=6&amp;number=4.6&amp;sourceID=14","4.6")</f>
        <v>4.6</v>
      </c>
      <c r="G7460" s="4" t="str">
        <f>HYPERLINK("http://141.218.60.56/~jnz1568/getInfo.php?workbook=12_04.xlsx&amp;sheet=U0&amp;row=7460&amp;col=7&amp;number=0.00478&amp;sourceID=14","0.00478")</f>
        <v>0.00478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HYPERLINK("http://141.218.60.56/~jnz1568/getInfo.php?workbook=12_04.xlsx&amp;sheet=U0&amp;row=7461&amp;col=6&amp;number=4.7&amp;sourceID=14","4.7")</f>
        <v>4.7</v>
      </c>
      <c r="G7461" s="4" t="str">
        <f>HYPERLINK("http://141.218.60.56/~jnz1568/getInfo.php?workbook=12_04.xlsx&amp;sheet=U0&amp;row=7461&amp;col=7&amp;number=0.00476&amp;sourceID=14","0.00476")</f>
        <v>0.00476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HYPERLINK("http://141.218.60.56/~jnz1568/getInfo.php?workbook=12_04.xlsx&amp;sheet=U0&amp;row=7462&amp;col=6&amp;number=4.8&amp;sourceID=14","4.8")</f>
        <v>4.8</v>
      </c>
      <c r="G7462" s="4" t="str">
        <f>HYPERLINK("http://141.218.60.56/~jnz1568/getInfo.php?workbook=12_04.xlsx&amp;sheet=U0&amp;row=7462&amp;col=7&amp;number=0.00473&amp;sourceID=14","0.00473")</f>
        <v>0.00473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HYPERLINK("http://141.218.60.56/~jnz1568/getInfo.php?workbook=12_04.xlsx&amp;sheet=U0&amp;row=7463&amp;col=6&amp;number=4.9&amp;sourceID=14","4.9")</f>
        <v>4.9</v>
      </c>
      <c r="G7463" s="4" t="str">
        <f>HYPERLINK("http://141.218.60.56/~jnz1568/getInfo.php?workbook=12_04.xlsx&amp;sheet=U0&amp;row=7463&amp;col=7&amp;number=0.0047&amp;sourceID=14","0.0047")</f>
        <v>0.0047</v>
      </c>
    </row>
    <row r="7464" spans="1:7">
      <c r="A7464" s="3">
        <v>12</v>
      </c>
      <c r="B7464" s="3">
        <v>4</v>
      </c>
      <c r="C7464" s="3">
        <v>4</v>
      </c>
      <c r="D7464" s="3">
        <v>90</v>
      </c>
      <c r="E7464" s="3">
        <v>1</v>
      </c>
      <c r="F7464" s="4" t="str">
        <f>HYPERLINK("http://141.218.60.56/~jnz1568/getInfo.php?workbook=12_04.xlsx&amp;sheet=U0&amp;row=7464&amp;col=6&amp;number=3&amp;sourceID=14","3")</f>
        <v>3</v>
      </c>
      <c r="G7464" s="4" t="str">
        <f>HYPERLINK("http://141.218.60.56/~jnz1568/getInfo.php?workbook=12_04.xlsx&amp;sheet=U0&amp;row=7464&amp;col=7&amp;number=0.00661&amp;sourceID=14","0.00661")</f>
        <v>0.00661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HYPERLINK("http://141.218.60.56/~jnz1568/getInfo.php?workbook=12_04.xlsx&amp;sheet=U0&amp;row=7465&amp;col=6&amp;number=3.1&amp;sourceID=14","3.1")</f>
        <v>3.1</v>
      </c>
      <c r="G7465" s="4" t="str">
        <f>HYPERLINK("http://141.218.60.56/~jnz1568/getInfo.php?workbook=12_04.xlsx&amp;sheet=U0&amp;row=7465&amp;col=7&amp;number=0.00661&amp;sourceID=14","0.00661")</f>
        <v>0.00661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HYPERLINK("http://141.218.60.56/~jnz1568/getInfo.php?workbook=12_04.xlsx&amp;sheet=U0&amp;row=7466&amp;col=6&amp;number=3.2&amp;sourceID=14","3.2")</f>
        <v>3.2</v>
      </c>
      <c r="G7466" s="4" t="str">
        <f>HYPERLINK("http://141.218.60.56/~jnz1568/getInfo.php?workbook=12_04.xlsx&amp;sheet=U0&amp;row=7466&amp;col=7&amp;number=0.00661&amp;sourceID=14","0.00661")</f>
        <v>0.00661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HYPERLINK("http://141.218.60.56/~jnz1568/getInfo.php?workbook=12_04.xlsx&amp;sheet=U0&amp;row=7467&amp;col=6&amp;number=3.3&amp;sourceID=14","3.3")</f>
        <v>3.3</v>
      </c>
      <c r="G7467" s="4" t="str">
        <f>HYPERLINK("http://141.218.60.56/~jnz1568/getInfo.php?workbook=12_04.xlsx&amp;sheet=U0&amp;row=7467&amp;col=7&amp;number=0.00661&amp;sourceID=14","0.00661")</f>
        <v>0.00661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HYPERLINK("http://141.218.60.56/~jnz1568/getInfo.php?workbook=12_04.xlsx&amp;sheet=U0&amp;row=7468&amp;col=6&amp;number=3.4&amp;sourceID=14","3.4")</f>
        <v>3.4</v>
      </c>
      <c r="G7468" s="4" t="str">
        <f>HYPERLINK("http://141.218.60.56/~jnz1568/getInfo.php?workbook=12_04.xlsx&amp;sheet=U0&amp;row=7468&amp;col=7&amp;number=0.00661&amp;sourceID=14","0.00661")</f>
        <v>0.00661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HYPERLINK("http://141.218.60.56/~jnz1568/getInfo.php?workbook=12_04.xlsx&amp;sheet=U0&amp;row=7469&amp;col=6&amp;number=3.5&amp;sourceID=14","3.5")</f>
        <v>3.5</v>
      </c>
      <c r="G7469" s="4" t="str">
        <f>HYPERLINK("http://141.218.60.56/~jnz1568/getInfo.php?workbook=12_04.xlsx&amp;sheet=U0&amp;row=7469&amp;col=7&amp;number=0.00661&amp;sourceID=14","0.00661")</f>
        <v>0.00661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HYPERLINK("http://141.218.60.56/~jnz1568/getInfo.php?workbook=12_04.xlsx&amp;sheet=U0&amp;row=7470&amp;col=6&amp;number=3.6&amp;sourceID=14","3.6")</f>
        <v>3.6</v>
      </c>
      <c r="G7470" s="4" t="str">
        <f>HYPERLINK("http://141.218.60.56/~jnz1568/getInfo.php?workbook=12_04.xlsx&amp;sheet=U0&amp;row=7470&amp;col=7&amp;number=0.00661&amp;sourceID=14","0.00661")</f>
        <v>0.00661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HYPERLINK("http://141.218.60.56/~jnz1568/getInfo.php?workbook=12_04.xlsx&amp;sheet=U0&amp;row=7471&amp;col=6&amp;number=3.7&amp;sourceID=14","3.7")</f>
        <v>3.7</v>
      </c>
      <c r="G7471" s="4" t="str">
        <f>HYPERLINK("http://141.218.60.56/~jnz1568/getInfo.php?workbook=12_04.xlsx&amp;sheet=U0&amp;row=7471&amp;col=7&amp;number=0.00661&amp;sourceID=14","0.00661")</f>
        <v>0.00661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HYPERLINK("http://141.218.60.56/~jnz1568/getInfo.php?workbook=12_04.xlsx&amp;sheet=U0&amp;row=7472&amp;col=6&amp;number=3.8&amp;sourceID=14","3.8")</f>
        <v>3.8</v>
      </c>
      <c r="G7472" s="4" t="str">
        <f>HYPERLINK("http://141.218.60.56/~jnz1568/getInfo.php?workbook=12_04.xlsx&amp;sheet=U0&amp;row=7472&amp;col=7&amp;number=0.00661&amp;sourceID=14","0.00661")</f>
        <v>0.00661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HYPERLINK("http://141.218.60.56/~jnz1568/getInfo.php?workbook=12_04.xlsx&amp;sheet=U0&amp;row=7473&amp;col=6&amp;number=3.9&amp;sourceID=14","3.9")</f>
        <v>3.9</v>
      </c>
      <c r="G7473" s="4" t="str">
        <f>HYPERLINK("http://141.218.60.56/~jnz1568/getInfo.php?workbook=12_04.xlsx&amp;sheet=U0&amp;row=7473&amp;col=7&amp;number=0.00661&amp;sourceID=14","0.00661")</f>
        <v>0.00661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HYPERLINK("http://141.218.60.56/~jnz1568/getInfo.php?workbook=12_04.xlsx&amp;sheet=U0&amp;row=7474&amp;col=6&amp;number=4&amp;sourceID=14","4")</f>
        <v>4</v>
      </c>
      <c r="G7474" s="4" t="str">
        <f>HYPERLINK("http://141.218.60.56/~jnz1568/getInfo.php?workbook=12_04.xlsx&amp;sheet=U0&amp;row=7474&amp;col=7&amp;number=0.00661&amp;sourceID=14","0.00661")</f>
        <v>0.00661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HYPERLINK("http://141.218.60.56/~jnz1568/getInfo.php?workbook=12_04.xlsx&amp;sheet=U0&amp;row=7475&amp;col=6&amp;number=4.1&amp;sourceID=14","4.1")</f>
        <v>4.1</v>
      </c>
      <c r="G7475" s="4" t="str">
        <f>HYPERLINK("http://141.218.60.56/~jnz1568/getInfo.php?workbook=12_04.xlsx&amp;sheet=U0&amp;row=7475&amp;col=7&amp;number=0.00661&amp;sourceID=14","0.00661")</f>
        <v>0.00661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HYPERLINK("http://141.218.60.56/~jnz1568/getInfo.php?workbook=12_04.xlsx&amp;sheet=U0&amp;row=7476&amp;col=6&amp;number=4.2&amp;sourceID=14","4.2")</f>
        <v>4.2</v>
      </c>
      <c r="G7476" s="4" t="str">
        <f>HYPERLINK("http://141.218.60.56/~jnz1568/getInfo.php?workbook=12_04.xlsx&amp;sheet=U0&amp;row=7476&amp;col=7&amp;number=0.0066&amp;sourceID=14","0.0066")</f>
        <v>0.0066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HYPERLINK("http://141.218.60.56/~jnz1568/getInfo.php?workbook=12_04.xlsx&amp;sheet=U0&amp;row=7477&amp;col=6&amp;number=4.3&amp;sourceID=14","4.3")</f>
        <v>4.3</v>
      </c>
      <c r="G7477" s="4" t="str">
        <f>HYPERLINK("http://141.218.60.56/~jnz1568/getInfo.php?workbook=12_04.xlsx&amp;sheet=U0&amp;row=7477&amp;col=7&amp;number=0.0066&amp;sourceID=14","0.0066")</f>
        <v>0.0066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HYPERLINK("http://141.218.60.56/~jnz1568/getInfo.php?workbook=12_04.xlsx&amp;sheet=U0&amp;row=7478&amp;col=6&amp;number=4.4&amp;sourceID=14","4.4")</f>
        <v>4.4</v>
      </c>
      <c r="G7478" s="4" t="str">
        <f>HYPERLINK("http://141.218.60.56/~jnz1568/getInfo.php?workbook=12_04.xlsx&amp;sheet=U0&amp;row=7478&amp;col=7&amp;number=0.0066&amp;sourceID=14","0.0066")</f>
        <v>0.0066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HYPERLINK("http://141.218.60.56/~jnz1568/getInfo.php?workbook=12_04.xlsx&amp;sheet=U0&amp;row=7479&amp;col=6&amp;number=4.5&amp;sourceID=14","4.5")</f>
        <v>4.5</v>
      </c>
      <c r="G7479" s="4" t="str">
        <f>HYPERLINK("http://141.218.60.56/~jnz1568/getInfo.php?workbook=12_04.xlsx&amp;sheet=U0&amp;row=7479&amp;col=7&amp;number=0.0066&amp;sourceID=14","0.0066")</f>
        <v>0.0066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HYPERLINK("http://141.218.60.56/~jnz1568/getInfo.php?workbook=12_04.xlsx&amp;sheet=U0&amp;row=7480&amp;col=6&amp;number=4.6&amp;sourceID=14","4.6")</f>
        <v>4.6</v>
      </c>
      <c r="G7480" s="4" t="str">
        <f>HYPERLINK("http://141.218.60.56/~jnz1568/getInfo.php?workbook=12_04.xlsx&amp;sheet=U0&amp;row=7480&amp;col=7&amp;number=0.00659&amp;sourceID=14","0.00659")</f>
        <v>0.00659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HYPERLINK("http://141.218.60.56/~jnz1568/getInfo.php?workbook=12_04.xlsx&amp;sheet=U0&amp;row=7481&amp;col=6&amp;number=4.7&amp;sourceID=14","4.7")</f>
        <v>4.7</v>
      </c>
      <c r="G7481" s="4" t="str">
        <f>HYPERLINK("http://141.218.60.56/~jnz1568/getInfo.php?workbook=12_04.xlsx&amp;sheet=U0&amp;row=7481&amp;col=7&amp;number=0.00659&amp;sourceID=14","0.00659")</f>
        <v>0.00659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HYPERLINK("http://141.218.60.56/~jnz1568/getInfo.php?workbook=12_04.xlsx&amp;sheet=U0&amp;row=7482&amp;col=6&amp;number=4.8&amp;sourceID=14","4.8")</f>
        <v>4.8</v>
      </c>
      <c r="G7482" s="4" t="str">
        <f>HYPERLINK("http://141.218.60.56/~jnz1568/getInfo.php?workbook=12_04.xlsx&amp;sheet=U0&amp;row=7482&amp;col=7&amp;number=0.00658&amp;sourceID=14","0.00658")</f>
        <v>0.00658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HYPERLINK("http://141.218.60.56/~jnz1568/getInfo.php?workbook=12_04.xlsx&amp;sheet=U0&amp;row=7483&amp;col=6&amp;number=4.9&amp;sourceID=14","4.9")</f>
        <v>4.9</v>
      </c>
      <c r="G7483" s="4" t="str">
        <f>HYPERLINK("http://141.218.60.56/~jnz1568/getInfo.php?workbook=12_04.xlsx&amp;sheet=U0&amp;row=7483&amp;col=7&amp;number=0.00657&amp;sourceID=14","0.00657")</f>
        <v>0.00657</v>
      </c>
    </row>
    <row r="7484" spans="1:7">
      <c r="A7484" s="3">
        <v>12</v>
      </c>
      <c r="B7484" s="3">
        <v>4</v>
      </c>
      <c r="C7484" s="3">
        <v>4</v>
      </c>
      <c r="D7484" s="3">
        <v>91</v>
      </c>
      <c r="E7484" s="3">
        <v>1</v>
      </c>
      <c r="F7484" s="4" t="str">
        <f>HYPERLINK("http://141.218.60.56/~jnz1568/getInfo.php?workbook=12_04.xlsx&amp;sheet=U0&amp;row=7484&amp;col=6&amp;number=3&amp;sourceID=14","3")</f>
        <v>3</v>
      </c>
      <c r="G7484" s="4" t="str">
        <f>HYPERLINK("http://141.218.60.56/~jnz1568/getInfo.php?workbook=12_04.xlsx&amp;sheet=U0&amp;row=7484&amp;col=7&amp;number=0.00307&amp;sourceID=14","0.00307")</f>
        <v>0.00307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HYPERLINK("http://141.218.60.56/~jnz1568/getInfo.php?workbook=12_04.xlsx&amp;sheet=U0&amp;row=7485&amp;col=6&amp;number=3.1&amp;sourceID=14","3.1")</f>
        <v>3.1</v>
      </c>
      <c r="G7485" s="4" t="str">
        <f>HYPERLINK("http://141.218.60.56/~jnz1568/getInfo.php?workbook=12_04.xlsx&amp;sheet=U0&amp;row=7485&amp;col=7&amp;number=0.00307&amp;sourceID=14","0.00307")</f>
        <v>0.00307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HYPERLINK("http://141.218.60.56/~jnz1568/getInfo.php?workbook=12_04.xlsx&amp;sheet=U0&amp;row=7486&amp;col=6&amp;number=3.2&amp;sourceID=14","3.2")</f>
        <v>3.2</v>
      </c>
      <c r="G7486" s="4" t="str">
        <f>HYPERLINK("http://141.218.60.56/~jnz1568/getInfo.php?workbook=12_04.xlsx&amp;sheet=U0&amp;row=7486&amp;col=7&amp;number=0.00307&amp;sourceID=14","0.00307")</f>
        <v>0.00307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HYPERLINK("http://141.218.60.56/~jnz1568/getInfo.php?workbook=12_04.xlsx&amp;sheet=U0&amp;row=7487&amp;col=6&amp;number=3.3&amp;sourceID=14","3.3")</f>
        <v>3.3</v>
      </c>
      <c r="G7487" s="4" t="str">
        <f>HYPERLINK("http://141.218.60.56/~jnz1568/getInfo.php?workbook=12_04.xlsx&amp;sheet=U0&amp;row=7487&amp;col=7&amp;number=0.00307&amp;sourceID=14","0.00307")</f>
        <v>0.00307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HYPERLINK("http://141.218.60.56/~jnz1568/getInfo.php?workbook=12_04.xlsx&amp;sheet=U0&amp;row=7488&amp;col=6&amp;number=3.4&amp;sourceID=14","3.4")</f>
        <v>3.4</v>
      </c>
      <c r="G7488" s="4" t="str">
        <f>HYPERLINK("http://141.218.60.56/~jnz1568/getInfo.php?workbook=12_04.xlsx&amp;sheet=U0&amp;row=7488&amp;col=7&amp;number=0.00307&amp;sourceID=14","0.00307")</f>
        <v>0.00307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HYPERLINK("http://141.218.60.56/~jnz1568/getInfo.php?workbook=12_04.xlsx&amp;sheet=U0&amp;row=7489&amp;col=6&amp;number=3.5&amp;sourceID=14","3.5")</f>
        <v>3.5</v>
      </c>
      <c r="G7489" s="4" t="str">
        <f>HYPERLINK("http://141.218.60.56/~jnz1568/getInfo.php?workbook=12_04.xlsx&amp;sheet=U0&amp;row=7489&amp;col=7&amp;number=0.00307&amp;sourceID=14","0.00307")</f>
        <v>0.00307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HYPERLINK("http://141.218.60.56/~jnz1568/getInfo.php?workbook=12_04.xlsx&amp;sheet=U0&amp;row=7490&amp;col=6&amp;number=3.6&amp;sourceID=14","3.6")</f>
        <v>3.6</v>
      </c>
      <c r="G7490" s="4" t="str">
        <f>HYPERLINK("http://141.218.60.56/~jnz1568/getInfo.php?workbook=12_04.xlsx&amp;sheet=U0&amp;row=7490&amp;col=7&amp;number=0.00307&amp;sourceID=14","0.00307")</f>
        <v>0.00307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HYPERLINK("http://141.218.60.56/~jnz1568/getInfo.php?workbook=12_04.xlsx&amp;sheet=U0&amp;row=7491&amp;col=6&amp;number=3.7&amp;sourceID=14","3.7")</f>
        <v>3.7</v>
      </c>
      <c r="G7491" s="4" t="str">
        <f>HYPERLINK("http://141.218.60.56/~jnz1568/getInfo.php?workbook=12_04.xlsx&amp;sheet=U0&amp;row=7491&amp;col=7&amp;number=0.00307&amp;sourceID=14","0.00307")</f>
        <v>0.00307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HYPERLINK("http://141.218.60.56/~jnz1568/getInfo.php?workbook=12_04.xlsx&amp;sheet=U0&amp;row=7492&amp;col=6&amp;number=3.8&amp;sourceID=14","3.8")</f>
        <v>3.8</v>
      </c>
      <c r="G7492" s="4" t="str">
        <f>HYPERLINK("http://141.218.60.56/~jnz1568/getInfo.php?workbook=12_04.xlsx&amp;sheet=U0&amp;row=7492&amp;col=7&amp;number=0.00307&amp;sourceID=14","0.00307")</f>
        <v>0.00307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HYPERLINK("http://141.218.60.56/~jnz1568/getInfo.php?workbook=12_04.xlsx&amp;sheet=U0&amp;row=7493&amp;col=6&amp;number=3.9&amp;sourceID=14","3.9")</f>
        <v>3.9</v>
      </c>
      <c r="G7493" s="4" t="str">
        <f>HYPERLINK("http://141.218.60.56/~jnz1568/getInfo.php?workbook=12_04.xlsx&amp;sheet=U0&amp;row=7493&amp;col=7&amp;number=0.00307&amp;sourceID=14","0.00307")</f>
        <v>0.00307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HYPERLINK("http://141.218.60.56/~jnz1568/getInfo.php?workbook=12_04.xlsx&amp;sheet=U0&amp;row=7494&amp;col=6&amp;number=4&amp;sourceID=14","4")</f>
        <v>4</v>
      </c>
      <c r="G7494" s="4" t="str">
        <f>HYPERLINK("http://141.218.60.56/~jnz1568/getInfo.php?workbook=12_04.xlsx&amp;sheet=U0&amp;row=7494&amp;col=7&amp;number=0.00306&amp;sourceID=14","0.00306")</f>
        <v>0.00306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HYPERLINK("http://141.218.60.56/~jnz1568/getInfo.php?workbook=12_04.xlsx&amp;sheet=U0&amp;row=7495&amp;col=6&amp;number=4.1&amp;sourceID=14","4.1")</f>
        <v>4.1</v>
      </c>
      <c r="G7495" s="4" t="str">
        <f>HYPERLINK("http://141.218.60.56/~jnz1568/getInfo.php?workbook=12_04.xlsx&amp;sheet=U0&amp;row=7495&amp;col=7&amp;number=0.00306&amp;sourceID=14","0.00306")</f>
        <v>0.00306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HYPERLINK("http://141.218.60.56/~jnz1568/getInfo.php?workbook=12_04.xlsx&amp;sheet=U0&amp;row=7496&amp;col=6&amp;number=4.2&amp;sourceID=14","4.2")</f>
        <v>4.2</v>
      </c>
      <c r="G7496" s="4" t="str">
        <f>HYPERLINK("http://141.218.60.56/~jnz1568/getInfo.php?workbook=12_04.xlsx&amp;sheet=U0&amp;row=7496&amp;col=7&amp;number=0.00306&amp;sourceID=14","0.00306")</f>
        <v>0.00306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HYPERLINK("http://141.218.60.56/~jnz1568/getInfo.php?workbook=12_04.xlsx&amp;sheet=U0&amp;row=7497&amp;col=6&amp;number=4.3&amp;sourceID=14","4.3")</f>
        <v>4.3</v>
      </c>
      <c r="G7497" s="4" t="str">
        <f>HYPERLINK("http://141.218.60.56/~jnz1568/getInfo.php?workbook=12_04.xlsx&amp;sheet=U0&amp;row=7497&amp;col=7&amp;number=0.00305&amp;sourceID=14","0.00305")</f>
        <v>0.00305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HYPERLINK("http://141.218.60.56/~jnz1568/getInfo.php?workbook=12_04.xlsx&amp;sheet=U0&amp;row=7498&amp;col=6&amp;number=4.4&amp;sourceID=14","4.4")</f>
        <v>4.4</v>
      </c>
      <c r="G7498" s="4" t="str">
        <f>HYPERLINK("http://141.218.60.56/~jnz1568/getInfo.php?workbook=12_04.xlsx&amp;sheet=U0&amp;row=7498&amp;col=7&amp;number=0.00305&amp;sourceID=14","0.00305")</f>
        <v>0.00305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HYPERLINK("http://141.218.60.56/~jnz1568/getInfo.php?workbook=12_04.xlsx&amp;sheet=U0&amp;row=7499&amp;col=6&amp;number=4.5&amp;sourceID=14","4.5")</f>
        <v>4.5</v>
      </c>
      <c r="G7499" s="4" t="str">
        <f>HYPERLINK("http://141.218.60.56/~jnz1568/getInfo.php?workbook=12_04.xlsx&amp;sheet=U0&amp;row=7499&amp;col=7&amp;number=0.00304&amp;sourceID=14","0.00304")</f>
        <v>0.00304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HYPERLINK("http://141.218.60.56/~jnz1568/getInfo.php?workbook=12_04.xlsx&amp;sheet=U0&amp;row=7500&amp;col=6&amp;number=4.6&amp;sourceID=14","4.6")</f>
        <v>4.6</v>
      </c>
      <c r="G7500" s="4" t="str">
        <f>HYPERLINK("http://141.218.60.56/~jnz1568/getInfo.php?workbook=12_04.xlsx&amp;sheet=U0&amp;row=7500&amp;col=7&amp;number=0.00303&amp;sourceID=14","0.00303")</f>
        <v>0.00303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HYPERLINK("http://141.218.60.56/~jnz1568/getInfo.php?workbook=12_04.xlsx&amp;sheet=U0&amp;row=7501&amp;col=6&amp;number=4.7&amp;sourceID=14","4.7")</f>
        <v>4.7</v>
      </c>
      <c r="G7501" s="4" t="str">
        <f>HYPERLINK("http://141.218.60.56/~jnz1568/getInfo.php?workbook=12_04.xlsx&amp;sheet=U0&amp;row=7501&amp;col=7&amp;number=0.00302&amp;sourceID=14","0.00302")</f>
        <v>0.00302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HYPERLINK("http://141.218.60.56/~jnz1568/getInfo.php?workbook=12_04.xlsx&amp;sheet=U0&amp;row=7502&amp;col=6&amp;number=4.8&amp;sourceID=14","4.8")</f>
        <v>4.8</v>
      </c>
      <c r="G7502" s="4" t="str">
        <f>HYPERLINK("http://141.218.60.56/~jnz1568/getInfo.php?workbook=12_04.xlsx&amp;sheet=U0&amp;row=7502&amp;col=7&amp;number=0.00301&amp;sourceID=14","0.00301")</f>
        <v>0.00301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HYPERLINK("http://141.218.60.56/~jnz1568/getInfo.php?workbook=12_04.xlsx&amp;sheet=U0&amp;row=7503&amp;col=6&amp;number=4.9&amp;sourceID=14","4.9")</f>
        <v>4.9</v>
      </c>
      <c r="G7503" s="4" t="str">
        <f>HYPERLINK("http://141.218.60.56/~jnz1568/getInfo.php?workbook=12_04.xlsx&amp;sheet=U0&amp;row=7503&amp;col=7&amp;number=0.003&amp;sourceID=14","0.003")</f>
        <v>0.003</v>
      </c>
    </row>
    <row r="7504" spans="1:7">
      <c r="A7504" s="3">
        <v>12</v>
      </c>
      <c r="B7504" s="3">
        <v>4</v>
      </c>
      <c r="C7504" s="3">
        <v>4</v>
      </c>
      <c r="D7504" s="3">
        <v>92</v>
      </c>
      <c r="E7504" s="3">
        <v>1</v>
      </c>
      <c r="F7504" s="4" t="str">
        <f>HYPERLINK("http://141.218.60.56/~jnz1568/getInfo.php?workbook=12_04.xlsx&amp;sheet=U0&amp;row=7504&amp;col=6&amp;number=3&amp;sourceID=14","3")</f>
        <v>3</v>
      </c>
      <c r="G7504" s="4" t="str">
        <f>HYPERLINK("http://141.218.60.56/~jnz1568/getInfo.php?workbook=12_04.xlsx&amp;sheet=U0&amp;row=7504&amp;col=7&amp;number=0.00614&amp;sourceID=14","0.00614")</f>
        <v>0.00614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HYPERLINK("http://141.218.60.56/~jnz1568/getInfo.php?workbook=12_04.xlsx&amp;sheet=U0&amp;row=7505&amp;col=6&amp;number=3.1&amp;sourceID=14","3.1")</f>
        <v>3.1</v>
      </c>
      <c r="G7505" s="4" t="str">
        <f>HYPERLINK("http://141.218.60.56/~jnz1568/getInfo.php?workbook=12_04.xlsx&amp;sheet=U0&amp;row=7505&amp;col=7&amp;number=0.00614&amp;sourceID=14","0.00614")</f>
        <v>0.00614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HYPERLINK("http://141.218.60.56/~jnz1568/getInfo.php?workbook=12_04.xlsx&amp;sheet=U0&amp;row=7506&amp;col=6&amp;number=3.2&amp;sourceID=14","3.2")</f>
        <v>3.2</v>
      </c>
      <c r="G7506" s="4" t="str">
        <f>HYPERLINK("http://141.218.60.56/~jnz1568/getInfo.php?workbook=12_04.xlsx&amp;sheet=U0&amp;row=7506&amp;col=7&amp;number=0.00613&amp;sourceID=14","0.00613")</f>
        <v>0.00613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HYPERLINK("http://141.218.60.56/~jnz1568/getInfo.php?workbook=12_04.xlsx&amp;sheet=U0&amp;row=7507&amp;col=6&amp;number=3.3&amp;sourceID=14","3.3")</f>
        <v>3.3</v>
      </c>
      <c r="G7507" s="4" t="str">
        <f>HYPERLINK("http://141.218.60.56/~jnz1568/getInfo.php?workbook=12_04.xlsx&amp;sheet=U0&amp;row=7507&amp;col=7&amp;number=0.00612&amp;sourceID=14","0.00612")</f>
        <v>0.00612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HYPERLINK("http://141.218.60.56/~jnz1568/getInfo.php?workbook=12_04.xlsx&amp;sheet=U0&amp;row=7508&amp;col=6&amp;number=3.4&amp;sourceID=14","3.4")</f>
        <v>3.4</v>
      </c>
      <c r="G7508" s="4" t="str">
        <f>HYPERLINK("http://141.218.60.56/~jnz1568/getInfo.php?workbook=12_04.xlsx&amp;sheet=U0&amp;row=7508&amp;col=7&amp;number=0.00611&amp;sourceID=14","0.00611")</f>
        <v>0.00611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HYPERLINK("http://141.218.60.56/~jnz1568/getInfo.php?workbook=12_04.xlsx&amp;sheet=U0&amp;row=7509&amp;col=6&amp;number=3.5&amp;sourceID=14","3.5")</f>
        <v>3.5</v>
      </c>
      <c r="G7509" s="4" t="str">
        <f>HYPERLINK("http://141.218.60.56/~jnz1568/getInfo.php?workbook=12_04.xlsx&amp;sheet=U0&amp;row=7509&amp;col=7&amp;number=0.0061&amp;sourceID=14","0.0061")</f>
        <v>0.0061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HYPERLINK("http://141.218.60.56/~jnz1568/getInfo.php?workbook=12_04.xlsx&amp;sheet=U0&amp;row=7510&amp;col=6&amp;number=3.6&amp;sourceID=14","3.6")</f>
        <v>3.6</v>
      </c>
      <c r="G7510" s="4" t="str">
        <f>HYPERLINK("http://141.218.60.56/~jnz1568/getInfo.php?workbook=12_04.xlsx&amp;sheet=U0&amp;row=7510&amp;col=7&amp;number=0.00608&amp;sourceID=14","0.00608")</f>
        <v>0.00608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HYPERLINK("http://141.218.60.56/~jnz1568/getInfo.php?workbook=12_04.xlsx&amp;sheet=U0&amp;row=7511&amp;col=6&amp;number=3.7&amp;sourceID=14","3.7")</f>
        <v>3.7</v>
      </c>
      <c r="G7511" s="4" t="str">
        <f>HYPERLINK("http://141.218.60.56/~jnz1568/getInfo.php?workbook=12_04.xlsx&amp;sheet=U0&amp;row=7511&amp;col=7&amp;number=0.00607&amp;sourceID=14","0.00607")</f>
        <v>0.00607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HYPERLINK("http://141.218.60.56/~jnz1568/getInfo.php?workbook=12_04.xlsx&amp;sheet=U0&amp;row=7512&amp;col=6&amp;number=3.8&amp;sourceID=14","3.8")</f>
        <v>3.8</v>
      </c>
      <c r="G7512" s="4" t="str">
        <f>HYPERLINK("http://141.218.60.56/~jnz1568/getInfo.php?workbook=12_04.xlsx&amp;sheet=U0&amp;row=7512&amp;col=7&amp;number=0.00604&amp;sourceID=14","0.00604")</f>
        <v>0.00604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HYPERLINK("http://141.218.60.56/~jnz1568/getInfo.php?workbook=12_04.xlsx&amp;sheet=U0&amp;row=7513&amp;col=6&amp;number=3.9&amp;sourceID=14","3.9")</f>
        <v>3.9</v>
      </c>
      <c r="G7513" s="4" t="str">
        <f>HYPERLINK("http://141.218.60.56/~jnz1568/getInfo.php?workbook=12_04.xlsx&amp;sheet=U0&amp;row=7513&amp;col=7&amp;number=0.00601&amp;sourceID=14","0.00601")</f>
        <v>0.00601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HYPERLINK("http://141.218.60.56/~jnz1568/getInfo.php?workbook=12_04.xlsx&amp;sheet=U0&amp;row=7514&amp;col=6&amp;number=4&amp;sourceID=14","4")</f>
        <v>4</v>
      </c>
      <c r="G7514" s="4" t="str">
        <f>HYPERLINK("http://141.218.60.56/~jnz1568/getInfo.php?workbook=12_04.xlsx&amp;sheet=U0&amp;row=7514&amp;col=7&amp;number=0.00597&amp;sourceID=14","0.00597")</f>
        <v>0.00597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HYPERLINK("http://141.218.60.56/~jnz1568/getInfo.php?workbook=12_04.xlsx&amp;sheet=U0&amp;row=7515&amp;col=6&amp;number=4.1&amp;sourceID=14","4.1")</f>
        <v>4.1</v>
      </c>
      <c r="G7515" s="4" t="str">
        <f>HYPERLINK("http://141.218.60.56/~jnz1568/getInfo.php?workbook=12_04.xlsx&amp;sheet=U0&amp;row=7515&amp;col=7&amp;number=0.00592&amp;sourceID=14","0.00592")</f>
        <v>0.00592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HYPERLINK("http://141.218.60.56/~jnz1568/getInfo.php?workbook=12_04.xlsx&amp;sheet=U0&amp;row=7516&amp;col=6&amp;number=4.2&amp;sourceID=14","4.2")</f>
        <v>4.2</v>
      </c>
      <c r="G7516" s="4" t="str">
        <f>HYPERLINK("http://141.218.60.56/~jnz1568/getInfo.php?workbook=12_04.xlsx&amp;sheet=U0&amp;row=7516&amp;col=7&amp;number=0.00586&amp;sourceID=14","0.00586")</f>
        <v>0.00586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HYPERLINK("http://141.218.60.56/~jnz1568/getInfo.php?workbook=12_04.xlsx&amp;sheet=U0&amp;row=7517&amp;col=6&amp;number=4.3&amp;sourceID=14","4.3")</f>
        <v>4.3</v>
      </c>
      <c r="G7517" s="4" t="str">
        <f>HYPERLINK("http://141.218.60.56/~jnz1568/getInfo.php?workbook=12_04.xlsx&amp;sheet=U0&amp;row=7517&amp;col=7&amp;number=0.00578&amp;sourceID=14","0.00578")</f>
        <v>0.00578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HYPERLINK("http://141.218.60.56/~jnz1568/getInfo.php?workbook=12_04.xlsx&amp;sheet=U0&amp;row=7518&amp;col=6&amp;number=4.4&amp;sourceID=14","4.4")</f>
        <v>4.4</v>
      </c>
      <c r="G7518" s="4" t="str">
        <f>HYPERLINK("http://141.218.60.56/~jnz1568/getInfo.php?workbook=12_04.xlsx&amp;sheet=U0&amp;row=7518&amp;col=7&amp;number=0.00569&amp;sourceID=14","0.00569")</f>
        <v>0.00569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HYPERLINK("http://141.218.60.56/~jnz1568/getInfo.php?workbook=12_04.xlsx&amp;sheet=U0&amp;row=7519&amp;col=6&amp;number=4.5&amp;sourceID=14","4.5")</f>
        <v>4.5</v>
      </c>
      <c r="G7519" s="4" t="str">
        <f>HYPERLINK("http://141.218.60.56/~jnz1568/getInfo.php?workbook=12_04.xlsx&amp;sheet=U0&amp;row=7519&amp;col=7&amp;number=0.00557&amp;sourceID=14","0.00557")</f>
        <v>0.00557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HYPERLINK("http://141.218.60.56/~jnz1568/getInfo.php?workbook=12_04.xlsx&amp;sheet=U0&amp;row=7520&amp;col=6&amp;number=4.6&amp;sourceID=14","4.6")</f>
        <v>4.6</v>
      </c>
      <c r="G7520" s="4" t="str">
        <f>HYPERLINK("http://141.218.60.56/~jnz1568/getInfo.php?workbook=12_04.xlsx&amp;sheet=U0&amp;row=7520&amp;col=7&amp;number=0.00543&amp;sourceID=14","0.00543")</f>
        <v>0.00543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HYPERLINK("http://141.218.60.56/~jnz1568/getInfo.php?workbook=12_04.xlsx&amp;sheet=U0&amp;row=7521&amp;col=6&amp;number=4.7&amp;sourceID=14","4.7")</f>
        <v>4.7</v>
      </c>
      <c r="G7521" s="4" t="str">
        <f>HYPERLINK("http://141.218.60.56/~jnz1568/getInfo.php?workbook=12_04.xlsx&amp;sheet=U0&amp;row=7521&amp;col=7&amp;number=0.00525&amp;sourceID=14","0.00525")</f>
        <v>0.00525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HYPERLINK("http://141.218.60.56/~jnz1568/getInfo.php?workbook=12_04.xlsx&amp;sheet=U0&amp;row=7522&amp;col=6&amp;number=4.8&amp;sourceID=14","4.8")</f>
        <v>4.8</v>
      </c>
      <c r="G7522" s="4" t="str">
        <f>HYPERLINK("http://141.218.60.56/~jnz1568/getInfo.php?workbook=12_04.xlsx&amp;sheet=U0&amp;row=7522&amp;col=7&amp;number=0.00504&amp;sourceID=14","0.00504")</f>
        <v>0.00504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HYPERLINK("http://141.218.60.56/~jnz1568/getInfo.php?workbook=12_04.xlsx&amp;sheet=U0&amp;row=7523&amp;col=6&amp;number=4.9&amp;sourceID=14","4.9")</f>
        <v>4.9</v>
      </c>
      <c r="G7523" s="4" t="str">
        <f>HYPERLINK("http://141.218.60.56/~jnz1568/getInfo.php?workbook=12_04.xlsx&amp;sheet=U0&amp;row=7523&amp;col=7&amp;number=0.00479&amp;sourceID=14","0.00479")</f>
        <v>0.00479</v>
      </c>
    </row>
    <row r="7524" spans="1:7">
      <c r="A7524" s="3">
        <v>12</v>
      </c>
      <c r="B7524" s="3">
        <v>4</v>
      </c>
      <c r="C7524" s="3">
        <v>4</v>
      </c>
      <c r="D7524" s="3">
        <v>93</v>
      </c>
      <c r="E7524" s="3">
        <v>1</v>
      </c>
      <c r="F7524" s="4" t="str">
        <f>HYPERLINK("http://141.218.60.56/~jnz1568/getInfo.php?workbook=12_04.xlsx&amp;sheet=U0&amp;row=7524&amp;col=6&amp;number=3&amp;sourceID=14","3")</f>
        <v>3</v>
      </c>
      <c r="G7524" s="4" t="str">
        <f>HYPERLINK("http://141.218.60.56/~jnz1568/getInfo.php?workbook=12_04.xlsx&amp;sheet=U0&amp;row=7524&amp;col=7&amp;number=0.00291&amp;sourceID=14","0.00291")</f>
        <v>0.00291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HYPERLINK("http://141.218.60.56/~jnz1568/getInfo.php?workbook=12_04.xlsx&amp;sheet=U0&amp;row=7525&amp;col=6&amp;number=3.1&amp;sourceID=14","3.1")</f>
        <v>3.1</v>
      </c>
      <c r="G7525" s="4" t="str">
        <f>HYPERLINK("http://141.218.60.56/~jnz1568/getInfo.php?workbook=12_04.xlsx&amp;sheet=U0&amp;row=7525&amp;col=7&amp;number=0.00291&amp;sourceID=14","0.00291")</f>
        <v>0.00291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HYPERLINK("http://141.218.60.56/~jnz1568/getInfo.php?workbook=12_04.xlsx&amp;sheet=U0&amp;row=7526&amp;col=6&amp;number=3.2&amp;sourceID=14","3.2")</f>
        <v>3.2</v>
      </c>
      <c r="G7526" s="4" t="str">
        <f>HYPERLINK("http://141.218.60.56/~jnz1568/getInfo.php?workbook=12_04.xlsx&amp;sheet=U0&amp;row=7526&amp;col=7&amp;number=0.00291&amp;sourceID=14","0.00291")</f>
        <v>0.00291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HYPERLINK("http://141.218.60.56/~jnz1568/getInfo.php?workbook=12_04.xlsx&amp;sheet=U0&amp;row=7527&amp;col=6&amp;number=3.3&amp;sourceID=14","3.3")</f>
        <v>3.3</v>
      </c>
      <c r="G7527" s="4" t="str">
        <f>HYPERLINK("http://141.218.60.56/~jnz1568/getInfo.php?workbook=12_04.xlsx&amp;sheet=U0&amp;row=7527&amp;col=7&amp;number=0.00291&amp;sourceID=14","0.00291")</f>
        <v>0.00291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HYPERLINK("http://141.218.60.56/~jnz1568/getInfo.php?workbook=12_04.xlsx&amp;sheet=U0&amp;row=7528&amp;col=6&amp;number=3.4&amp;sourceID=14","3.4")</f>
        <v>3.4</v>
      </c>
      <c r="G7528" s="4" t="str">
        <f>HYPERLINK("http://141.218.60.56/~jnz1568/getInfo.php?workbook=12_04.xlsx&amp;sheet=U0&amp;row=7528&amp;col=7&amp;number=0.00291&amp;sourceID=14","0.00291")</f>
        <v>0.00291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HYPERLINK("http://141.218.60.56/~jnz1568/getInfo.php?workbook=12_04.xlsx&amp;sheet=U0&amp;row=7529&amp;col=6&amp;number=3.5&amp;sourceID=14","3.5")</f>
        <v>3.5</v>
      </c>
      <c r="G7529" s="4" t="str">
        <f>HYPERLINK("http://141.218.60.56/~jnz1568/getInfo.php?workbook=12_04.xlsx&amp;sheet=U0&amp;row=7529&amp;col=7&amp;number=0.0029&amp;sourceID=14","0.0029")</f>
        <v>0.0029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HYPERLINK("http://141.218.60.56/~jnz1568/getInfo.php?workbook=12_04.xlsx&amp;sheet=U0&amp;row=7530&amp;col=6&amp;number=3.6&amp;sourceID=14","3.6")</f>
        <v>3.6</v>
      </c>
      <c r="G7530" s="4" t="str">
        <f>HYPERLINK("http://141.218.60.56/~jnz1568/getInfo.php?workbook=12_04.xlsx&amp;sheet=U0&amp;row=7530&amp;col=7&amp;number=0.0029&amp;sourceID=14","0.0029")</f>
        <v>0.0029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HYPERLINK("http://141.218.60.56/~jnz1568/getInfo.php?workbook=12_04.xlsx&amp;sheet=U0&amp;row=7531&amp;col=6&amp;number=3.7&amp;sourceID=14","3.7")</f>
        <v>3.7</v>
      </c>
      <c r="G7531" s="4" t="str">
        <f>HYPERLINK("http://141.218.60.56/~jnz1568/getInfo.php?workbook=12_04.xlsx&amp;sheet=U0&amp;row=7531&amp;col=7&amp;number=0.0029&amp;sourceID=14","0.0029")</f>
        <v>0.0029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HYPERLINK("http://141.218.60.56/~jnz1568/getInfo.php?workbook=12_04.xlsx&amp;sheet=U0&amp;row=7532&amp;col=6&amp;number=3.8&amp;sourceID=14","3.8")</f>
        <v>3.8</v>
      </c>
      <c r="G7532" s="4" t="str">
        <f>HYPERLINK("http://141.218.60.56/~jnz1568/getInfo.php?workbook=12_04.xlsx&amp;sheet=U0&amp;row=7532&amp;col=7&amp;number=0.0029&amp;sourceID=14","0.0029")</f>
        <v>0.0029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HYPERLINK("http://141.218.60.56/~jnz1568/getInfo.php?workbook=12_04.xlsx&amp;sheet=U0&amp;row=7533&amp;col=6&amp;number=3.9&amp;sourceID=14","3.9")</f>
        <v>3.9</v>
      </c>
      <c r="G7533" s="4" t="str">
        <f>HYPERLINK("http://141.218.60.56/~jnz1568/getInfo.php?workbook=12_04.xlsx&amp;sheet=U0&amp;row=7533&amp;col=7&amp;number=0.00289&amp;sourceID=14","0.00289")</f>
        <v>0.00289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HYPERLINK("http://141.218.60.56/~jnz1568/getInfo.php?workbook=12_04.xlsx&amp;sheet=U0&amp;row=7534&amp;col=6&amp;number=4&amp;sourceID=14","4")</f>
        <v>4</v>
      </c>
      <c r="G7534" s="4" t="str">
        <f>HYPERLINK("http://141.218.60.56/~jnz1568/getInfo.php?workbook=12_04.xlsx&amp;sheet=U0&amp;row=7534&amp;col=7&amp;number=0.00289&amp;sourceID=14","0.00289")</f>
        <v>0.00289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HYPERLINK("http://141.218.60.56/~jnz1568/getInfo.php?workbook=12_04.xlsx&amp;sheet=U0&amp;row=7535&amp;col=6&amp;number=4.1&amp;sourceID=14","4.1")</f>
        <v>4.1</v>
      </c>
      <c r="G7535" s="4" t="str">
        <f>HYPERLINK("http://141.218.60.56/~jnz1568/getInfo.php?workbook=12_04.xlsx&amp;sheet=U0&amp;row=7535&amp;col=7&amp;number=0.00288&amp;sourceID=14","0.00288")</f>
        <v>0.00288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HYPERLINK("http://141.218.60.56/~jnz1568/getInfo.php?workbook=12_04.xlsx&amp;sheet=U0&amp;row=7536&amp;col=6&amp;number=4.2&amp;sourceID=14","4.2")</f>
        <v>4.2</v>
      </c>
      <c r="G7536" s="4" t="str">
        <f>HYPERLINK("http://141.218.60.56/~jnz1568/getInfo.php?workbook=12_04.xlsx&amp;sheet=U0&amp;row=7536&amp;col=7&amp;number=0.00287&amp;sourceID=14","0.00287")</f>
        <v>0.00287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HYPERLINK("http://141.218.60.56/~jnz1568/getInfo.php?workbook=12_04.xlsx&amp;sheet=U0&amp;row=7537&amp;col=6&amp;number=4.3&amp;sourceID=14","4.3")</f>
        <v>4.3</v>
      </c>
      <c r="G7537" s="4" t="str">
        <f>HYPERLINK("http://141.218.60.56/~jnz1568/getInfo.php?workbook=12_04.xlsx&amp;sheet=U0&amp;row=7537&amp;col=7&amp;number=0.00286&amp;sourceID=14","0.00286")</f>
        <v>0.00286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HYPERLINK("http://141.218.60.56/~jnz1568/getInfo.php?workbook=12_04.xlsx&amp;sheet=U0&amp;row=7538&amp;col=6&amp;number=4.4&amp;sourceID=14","4.4")</f>
        <v>4.4</v>
      </c>
      <c r="G7538" s="4" t="str">
        <f>HYPERLINK("http://141.218.60.56/~jnz1568/getInfo.php?workbook=12_04.xlsx&amp;sheet=U0&amp;row=7538&amp;col=7&amp;number=0.00284&amp;sourceID=14","0.00284")</f>
        <v>0.00284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HYPERLINK("http://141.218.60.56/~jnz1568/getInfo.php?workbook=12_04.xlsx&amp;sheet=U0&amp;row=7539&amp;col=6&amp;number=4.5&amp;sourceID=14","4.5")</f>
        <v>4.5</v>
      </c>
      <c r="G7539" s="4" t="str">
        <f>HYPERLINK("http://141.218.60.56/~jnz1568/getInfo.php?workbook=12_04.xlsx&amp;sheet=U0&amp;row=7539&amp;col=7&amp;number=0.00282&amp;sourceID=14","0.00282")</f>
        <v>0.00282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HYPERLINK("http://141.218.60.56/~jnz1568/getInfo.php?workbook=12_04.xlsx&amp;sheet=U0&amp;row=7540&amp;col=6&amp;number=4.6&amp;sourceID=14","4.6")</f>
        <v>4.6</v>
      </c>
      <c r="G7540" s="4" t="str">
        <f>HYPERLINK("http://141.218.60.56/~jnz1568/getInfo.php?workbook=12_04.xlsx&amp;sheet=U0&amp;row=7540&amp;col=7&amp;number=0.0028&amp;sourceID=14","0.0028")</f>
        <v>0.0028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HYPERLINK("http://141.218.60.56/~jnz1568/getInfo.php?workbook=12_04.xlsx&amp;sheet=U0&amp;row=7541&amp;col=6&amp;number=4.7&amp;sourceID=14","4.7")</f>
        <v>4.7</v>
      </c>
      <c r="G7541" s="4" t="str">
        <f>HYPERLINK("http://141.218.60.56/~jnz1568/getInfo.php?workbook=12_04.xlsx&amp;sheet=U0&amp;row=7541&amp;col=7&amp;number=0.00277&amp;sourceID=14","0.00277")</f>
        <v>0.00277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HYPERLINK("http://141.218.60.56/~jnz1568/getInfo.php?workbook=12_04.xlsx&amp;sheet=U0&amp;row=7542&amp;col=6&amp;number=4.8&amp;sourceID=14","4.8")</f>
        <v>4.8</v>
      </c>
      <c r="G7542" s="4" t="str">
        <f>HYPERLINK("http://141.218.60.56/~jnz1568/getInfo.php?workbook=12_04.xlsx&amp;sheet=U0&amp;row=7542&amp;col=7&amp;number=0.00274&amp;sourceID=14","0.00274")</f>
        <v>0.00274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HYPERLINK("http://141.218.60.56/~jnz1568/getInfo.php?workbook=12_04.xlsx&amp;sheet=U0&amp;row=7543&amp;col=6&amp;number=4.9&amp;sourceID=14","4.9")</f>
        <v>4.9</v>
      </c>
      <c r="G7543" s="4" t="str">
        <f>HYPERLINK("http://141.218.60.56/~jnz1568/getInfo.php?workbook=12_04.xlsx&amp;sheet=U0&amp;row=7543&amp;col=7&amp;number=0.0027&amp;sourceID=14","0.0027")</f>
        <v>0.0027</v>
      </c>
    </row>
    <row r="7544" spans="1:7">
      <c r="A7544" s="3">
        <v>12</v>
      </c>
      <c r="B7544" s="3">
        <v>4</v>
      </c>
      <c r="C7544" s="3">
        <v>4</v>
      </c>
      <c r="D7544" s="3">
        <v>94</v>
      </c>
      <c r="E7544" s="3">
        <v>1</v>
      </c>
      <c r="F7544" s="4" t="str">
        <f>HYPERLINK("http://141.218.60.56/~jnz1568/getInfo.php?workbook=12_04.xlsx&amp;sheet=U0&amp;row=7544&amp;col=6&amp;number=3&amp;sourceID=14","3")</f>
        <v>3</v>
      </c>
      <c r="G7544" s="4" t="str">
        <f>HYPERLINK("http://141.218.60.56/~jnz1568/getInfo.php?workbook=12_04.xlsx&amp;sheet=U0&amp;row=7544&amp;col=7&amp;number=0.00183&amp;sourceID=14","0.00183")</f>
        <v>0.00183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HYPERLINK("http://141.218.60.56/~jnz1568/getInfo.php?workbook=12_04.xlsx&amp;sheet=U0&amp;row=7545&amp;col=6&amp;number=3.1&amp;sourceID=14","3.1")</f>
        <v>3.1</v>
      </c>
      <c r="G7545" s="4" t="str">
        <f>HYPERLINK("http://141.218.60.56/~jnz1568/getInfo.php?workbook=12_04.xlsx&amp;sheet=U0&amp;row=7545&amp;col=7&amp;number=0.00183&amp;sourceID=14","0.00183")</f>
        <v>0.00183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HYPERLINK("http://141.218.60.56/~jnz1568/getInfo.php?workbook=12_04.xlsx&amp;sheet=U0&amp;row=7546&amp;col=6&amp;number=3.2&amp;sourceID=14","3.2")</f>
        <v>3.2</v>
      </c>
      <c r="G7546" s="4" t="str">
        <f>HYPERLINK("http://141.218.60.56/~jnz1568/getInfo.php?workbook=12_04.xlsx&amp;sheet=U0&amp;row=7546&amp;col=7&amp;number=0.00183&amp;sourceID=14","0.00183")</f>
        <v>0.00183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HYPERLINK("http://141.218.60.56/~jnz1568/getInfo.php?workbook=12_04.xlsx&amp;sheet=U0&amp;row=7547&amp;col=6&amp;number=3.3&amp;sourceID=14","3.3")</f>
        <v>3.3</v>
      </c>
      <c r="G7547" s="4" t="str">
        <f>HYPERLINK("http://141.218.60.56/~jnz1568/getInfo.php?workbook=12_04.xlsx&amp;sheet=U0&amp;row=7547&amp;col=7&amp;number=0.00183&amp;sourceID=14","0.00183")</f>
        <v>0.00183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HYPERLINK("http://141.218.60.56/~jnz1568/getInfo.php?workbook=12_04.xlsx&amp;sheet=U0&amp;row=7548&amp;col=6&amp;number=3.4&amp;sourceID=14","3.4")</f>
        <v>3.4</v>
      </c>
      <c r="G7548" s="4" t="str">
        <f>HYPERLINK("http://141.218.60.56/~jnz1568/getInfo.php?workbook=12_04.xlsx&amp;sheet=U0&amp;row=7548&amp;col=7&amp;number=0.00183&amp;sourceID=14","0.00183")</f>
        <v>0.00183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HYPERLINK("http://141.218.60.56/~jnz1568/getInfo.php?workbook=12_04.xlsx&amp;sheet=U0&amp;row=7549&amp;col=6&amp;number=3.5&amp;sourceID=14","3.5")</f>
        <v>3.5</v>
      </c>
      <c r="G7549" s="4" t="str">
        <f>HYPERLINK("http://141.218.60.56/~jnz1568/getInfo.php?workbook=12_04.xlsx&amp;sheet=U0&amp;row=7549&amp;col=7&amp;number=0.00183&amp;sourceID=14","0.00183")</f>
        <v>0.00183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HYPERLINK("http://141.218.60.56/~jnz1568/getInfo.php?workbook=12_04.xlsx&amp;sheet=U0&amp;row=7550&amp;col=6&amp;number=3.6&amp;sourceID=14","3.6")</f>
        <v>3.6</v>
      </c>
      <c r="G7550" s="4" t="str">
        <f>HYPERLINK("http://141.218.60.56/~jnz1568/getInfo.php?workbook=12_04.xlsx&amp;sheet=U0&amp;row=7550&amp;col=7&amp;number=0.00183&amp;sourceID=14","0.00183")</f>
        <v>0.00183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HYPERLINK("http://141.218.60.56/~jnz1568/getInfo.php?workbook=12_04.xlsx&amp;sheet=U0&amp;row=7551&amp;col=6&amp;number=3.7&amp;sourceID=14","3.7")</f>
        <v>3.7</v>
      </c>
      <c r="G7551" s="4" t="str">
        <f>HYPERLINK("http://141.218.60.56/~jnz1568/getInfo.php?workbook=12_04.xlsx&amp;sheet=U0&amp;row=7551&amp;col=7&amp;number=0.00183&amp;sourceID=14","0.00183")</f>
        <v>0.00183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HYPERLINK("http://141.218.60.56/~jnz1568/getInfo.php?workbook=12_04.xlsx&amp;sheet=U0&amp;row=7552&amp;col=6&amp;number=3.8&amp;sourceID=14","3.8")</f>
        <v>3.8</v>
      </c>
      <c r="G7552" s="4" t="str">
        <f>HYPERLINK("http://141.218.60.56/~jnz1568/getInfo.php?workbook=12_04.xlsx&amp;sheet=U0&amp;row=7552&amp;col=7&amp;number=0.00183&amp;sourceID=14","0.00183")</f>
        <v>0.00183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HYPERLINK("http://141.218.60.56/~jnz1568/getInfo.php?workbook=12_04.xlsx&amp;sheet=U0&amp;row=7553&amp;col=6&amp;number=3.9&amp;sourceID=14","3.9")</f>
        <v>3.9</v>
      </c>
      <c r="G7553" s="4" t="str">
        <f>HYPERLINK("http://141.218.60.56/~jnz1568/getInfo.php?workbook=12_04.xlsx&amp;sheet=U0&amp;row=7553&amp;col=7&amp;number=0.00183&amp;sourceID=14","0.00183")</f>
        <v>0.00183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HYPERLINK("http://141.218.60.56/~jnz1568/getInfo.php?workbook=12_04.xlsx&amp;sheet=U0&amp;row=7554&amp;col=6&amp;number=4&amp;sourceID=14","4")</f>
        <v>4</v>
      </c>
      <c r="G7554" s="4" t="str">
        <f>HYPERLINK("http://141.218.60.56/~jnz1568/getInfo.php?workbook=12_04.xlsx&amp;sheet=U0&amp;row=7554&amp;col=7&amp;number=0.00183&amp;sourceID=14","0.00183")</f>
        <v>0.00183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HYPERLINK("http://141.218.60.56/~jnz1568/getInfo.php?workbook=12_04.xlsx&amp;sheet=U0&amp;row=7555&amp;col=6&amp;number=4.1&amp;sourceID=14","4.1")</f>
        <v>4.1</v>
      </c>
      <c r="G7555" s="4" t="str">
        <f>HYPERLINK("http://141.218.60.56/~jnz1568/getInfo.php?workbook=12_04.xlsx&amp;sheet=U0&amp;row=7555&amp;col=7&amp;number=0.00183&amp;sourceID=14","0.00183")</f>
        <v>0.00183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HYPERLINK("http://141.218.60.56/~jnz1568/getInfo.php?workbook=12_04.xlsx&amp;sheet=U0&amp;row=7556&amp;col=6&amp;number=4.2&amp;sourceID=14","4.2")</f>
        <v>4.2</v>
      </c>
      <c r="G7556" s="4" t="str">
        <f>HYPERLINK("http://141.218.60.56/~jnz1568/getInfo.php?workbook=12_04.xlsx&amp;sheet=U0&amp;row=7556&amp;col=7&amp;number=0.00183&amp;sourceID=14","0.00183")</f>
        <v>0.00183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HYPERLINK("http://141.218.60.56/~jnz1568/getInfo.php?workbook=12_04.xlsx&amp;sheet=U0&amp;row=7557&amp;col=6&amp;number=4.3&amp;sourceID=14","4.3")</f>
        <v>4.3</v>
      </c>
      <c r="G7557" s="4" t="str">
        <f>HYPERLINK("http://141.218.60.56/~jnz1568/getInfo.php?workbook=12_04.xlsx&amp;sheet=U0&amp;row=7557&amp;col=7&amp;number=0.00183&amp;sourceID=14","0.00183")</f>
        <v>0.00183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HYPERLINK("http://141.218.60.56/~jnz1568/getInfo.php?workbook=12_04.xlsx&amp;sheet=U0&amp;row=7558&amp;col=6&amp;number=4.4&amp;sourceID=14","4.4")</f>
        <v>4.4</v>
      </c>
      <c r="G7558" s="4" t="str">
        <f>HYPERLINK("http://141.218.60.56/~jnz1568/getInfo.php?workbook=12_04.xlsx&amp;sheet=U0&amp;row=7558&amp;col=7&amp;number=0.00183&amp;sourceID=14","0.00183")</f>
        <v>0.00183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HYPERLINK("http://141.218.60.56/~jnz1568/getInfo.php?workbook=12_04.xlsx&amp;sheet=U0&amp;row=7559&amp;col=6&amp;number=4.5&amp;sourceID=14","4.5")</f>
        <v>4.5</v>
      </c>
      <c r="G7559" s="4" t="str">
        <f>HYPERLINK("http://141.218.60.56/~jnz1568/getInfo.php?workbook=12_04.xlsx&amp;sheet=U0&amp;row=7559&amp;col=7&amp;number=0.00183&amp;sourceID=14","0.00183")</f>
        <v>0.00183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HYPERLINK("http://141.218.60.56/~jnz1568/getInfo.php?workbook=12_04.xlsx&amp;sheet=U0&amp;row=7560&amp;col=6&amp;number=4.6&amp;sourceID=14","4.6")</f>
        <v>4.6</v>
      </c>
      <c r="G7560" s="4" t="str">
        <f>HYPERLINK("http://141.218.60.56/~jnz1568/getInfo.php?workbook=12_04.xlsx&amp;sheet=U0&amp;row=7560&amp;col=7&amp;number=0.00183&amp;sourceID=14","0.00183")</f>
        <v>0.00183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HYPERLINK("http://141.218.60.56/~jnz1568/getInfo.php?workbook=12_04.xlsx&amp;sheet=U0&amp;row=7561&amp;col=6&amp;number=4.7&amp;sourceID=14","4.7")</f>
        <v>4.7</v>
      </c>
      <c r="G7561" s="4" t="str">
        <f>HYPERLINK("http://141.218.60.56/~jnz1568/getInfo.php?workbook=12_04.xlsx&amp;sheet=U0&amp;row=7561&amp;col=7&amp;number=0.00183&amp;sourceID=14","0.00183")</f>
        <v>0.00183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HYPERLINK("http://141.218.60.56/~jnz1568/getInfo.php?workbook=12_04.xlsx&amp;sheet=U0&amp;row=7562&amp;col=6&amp;number=4.8&amp;sourceID=14","4.8")</f>
        <v>4.8</v>
      </c>
      <c r="G7562" s="4" t="str">
        <f>HYPERLINK("http://141.218.60.56/~jnz1568/getInfo.php?workbook=12_04.xlsx&amp;sheet=U0&amp;row=7562&amp;col=7&amp;number=0.00183&amp;sourceID=14","0.00183")</f>
        <v>0.00183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HYPERLINK("http://141.218.60.56/~jnz1568/getInfo.php?workbook=12_04.xlsx&amp;sheet=U0&amp;row=7563&amp;col=6&amp;number=4.9&amp;sourceID=14","4.9")</f>
        <v>4.9</v>
      </c>
      <c r="G7563" s="4" t="str">
        <f>HYPERLINK("http://141.218.60.56/~jnz1568/getInfo.php?workbook=12_04.xlsx&amp;sheet=U0&amp;row=7563&amp;col=7&amp;number=0.00183&amp;sourceID=14","0.00183")</f>
        <v>0.00183</v>
      </c>
    </row>
    <row r="7564" spans="1:7">
      <c r="A7564" s="3">
        <v>12</v>
      </c>
      <c r="B7564" s="3">
        <v>4</v>
      </c>
      <c r="C7564" s="3">
        <v>4</v>
      </c>
      <c r="D7564" s="3">
        <v>95</v>
      </c>
      <c r="E7564" s="3">
        <v>1</v>
      </c>
      <c r="F7564" s="4" t="str">
        <f>HYPERLINK("http://141.218.60.56/~jnz1568/getInfo.php?workbook=12_04.xlsx&amp;sheet=U0&amp;row=7564&amp;col=6&amp;number=3&amp;sourceID=14","3")</f>
        <v>3</v>
      </c>
      <c r="G7564" s="4" t="str">
        <f>HYPERLINK("http://141.218.60.56/~jnz1568/getInfo.php?workbook=12_04.xlsx&amp;sheet=U0&amp;row=7564&amp;col=7&amp;number=0.00136&amp;sourceID=14","0.00136")</f>
        <v>0.00136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HYPERLINK("http://141.218.60.56/~jnz1568/getInfo.php?workbook=12_04.xlsx&amp;sheet=U0&amp;row=7565&amp;col=6&amp;number=3.1&amp;sourceID=14","3.1")</f>
        <v>3.1</v>
      </c>
      <c r="G7565" s="4" t="str">
        <f>HYPERLINK("http://141.218.60.56/~jnz1568/getInfo.php?workbook=12_04.xlsx&amp;sheet=U0&amp;row=7565&amp;col=7&amp;number=0.00136&amp;sourceID=14","0.00136")</f>
        <v>0.00136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HYPERLINK("http://141.218.60.56/~jnz1568/getInfo.php?workbook=12_04.xlsx&amp;sheet=U0&amp;row=7566&amp;col=6&amp;number=3.2&amp;sourceID=14","3.2")</f>
        <v>3.2</v>
      </c>
      <c r="G7566" s="4" t="str">
        <f>HYPERLINK("http://141.218.60.56/~jnz1568/getInfo.php?workbook=12_04.xlsx&amp;sheet=U0&amp;row=7566&amp;col=7&amp;number=0.00136&amp;sourceID=14","0.00136")</f>
        <v>0.00136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HYPERLINK("http://141.218.60.56/~jnz1568/getInfo.php?workbook=12_04.xlsx&amp;sheet=U0&amp;row=7567&amp;col=6&amp;number=3.3&amp;sourceID=14","3.3")</f>
        <v>3.3</v>
      </c>
      <c r="G7567" s="4" t="str">
        <f>HYPERLINK("http://141.218.60.56/~jnz1568/getInfo.php?workbook=12_04.xlsx&amp;sheet=U0&amp;row=7567&amp;col=7&amp;number=0.00135&amp;sourceID=14","0.00135")</f>
        <v>0.00135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HYPERLINK("http://141.218.60.56/~jnz1568/getInfo.php?workbook=12_04.xlsx&amp;sheet=U0&amp;row=7568&amp;col=6&amp;number=3.4&amp;sourceID=14","3.4")</f>
        <v>3.4</v>
      </c>
      <c r="G7568" s="4" t="str">
        <f>HYPERLINK("http://141.218.60.56/~jnz1568/getInfo.php?workbook=12_04.xlsx&amp;sheet=U0&amp;row=7568&amp;col=7&amp;number=0.00135&amp;sourceID=14","0.00135")</f>
        <v>0.00135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HYPERLINK("http://141.218.60.56/~jnz1568/getInfo.php?workbook=12_04.xlsx&amp;sheet=U0&amp;row=7569&amp;col=6&amp;number=3.5&amp;sourceID=14","3.5")</f>
        <v>3.5</v>
      </c>
      <c r="G7569" s="4" t="str">
        <f>HYPERLINK("http://141.218.60.56/~jnz1568/getInfo.php?workbook=12_04.xlsx&amp;sheet=U0&amp;row=7569&amp;col=7&amp;number=0.00135&amp;sourceID=14","0.00135")</f>
        <v>0.00135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HYPERLINK("http://141.218.60.56/~jnz1568/getInfo.php?workbook=12_04.xlsx&amp;sheet=U0&amp;row=7570&amp;col=6&amp;number=3.6&amp;sourceID=14","3.6")</f>
        <v>3.6</v>
      </c>
      <c r="G7570" s="4" t="str">
        <f>HYPERLINK("http://141.218.60.56/~jnz1568/getInfo.php?workbook=12_04.xlsx&amp;sheet=U0&amp;row=7570&amp;col=7&amp;number=0.00135&amp;sourceID=14","0.00135")</f>
        <v>0.00135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HYPERLINK("http://141.218.60.56/~jnz1568/getInfo.php?workbook=12_04.xlsx&amp;sheet=U0&amp;row=7571&amp;col=6&amp;number=3.7&amp;sourceID=14","3.7")</f>
        <v>3.7</v>
      </c>
      <c r="G7571" s="4" t="str">
        <f>HYPERLINK("http://141.218.60.56/~jnz1568/getInfo.php?workbook=12_04.xlsx&amp;sheet=U0&amp;row=7571&amp;col=7&amp;number=0.00134&amp;sourceID=14","0.00134")</f>
        <v>0.00134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HYPERLINK("http://141.218.60.56/~jnz1568/getInfo.php?workbook=12_04.xlsx&amp;sheet=U0&amp;row=7572&amp;col=6&amp;number=3.8&amp;sourceID=14","3.8")</f>
        <v>3.8</v>
      </c>
      <c r="G7572" s="4" t="str">
        <f>HYPERLINK("http://141.218.60.56/~jnz1568/getInfo.php?workbook=12_04.xlsx&amp;sheet=U0&amp;row=7572&amp;col=7&amp;number=0.00134&amp;sourceID=14","0.00134")</f>
        <v>0.00134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HYPERLINK("http://141.218.60.56/~jnz1568/getInfo.php?workbook=12_04.xlsx&amp;sheet=U0&amp;row=7573&amp;col=6&amp;number=3.9&amp;sourceID=14","3.9")</f>
        <v>3.9</v>
      </c>
      <c r="G7573" s="4" t="str">
        <f>HYPERLINK("http://141.218.60.56/~jnz1568/getInfo.php?workbook=12_04.xlsx&amp;sheet=U0&amp;row=7573&amp;col=7&amp;number=0.00133&amp;sourceID=14","0.00133")</f>
        <v>0.00133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HYPERLINK("http://141.218.60.56/~jnz1568/getInfo.php?workbook=12_04.xlsx&amp;sheet=U0&amp;row=7574&amp;col=6&amp;number=4&amp;sourceID=14","4")</f>
        <v>4</v>
      </c>
      <c r="G7574" s="4" t="str">
        <f>HYPERLINK("http://141.218.60.56/~jnz1568/getInfo.php?workbook=12_04.xlsx&amp;sheet=U0&amp;row=7574&amp;col=7&amp;number=0.00132&amp;sourceID=14","0.00132")</f>
        <v>0.00132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HYPERLINK("http://141.218.60.56/~jnz1568/getInfo.php?workbook=12_04.xlsx&amp;sheet=U0&amp;row=7575&amp;col=6&amp;number=4.1&amp;sourceID=14","4.1")</f>
        <v>4.1</v>
      </c>
      <c r="G7575" s="4" t="str">
        <f>HYPERLINK("http://141.218.60.56/~jnz1568/getInfo.php?workbook=12_04.xlsx&amp;sheet=U0&amp;row=7575&amp;col=7&amp;number=0.00131&amp;sourceID=14","0.00131")</f>
        <v>0.00131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HYPERLINK("http://141.218.60.56/~jnz1568/getInfo.php?workbook=12_04.xlsx&amp;sheet=U0&amp;row=7576&amp;col=6&amp;number=4.2&amp;sourceID=14","4.2")</f>
        <v>4.2</v>
      </c>
      <c r="G7576" s="4" t="str">
        <f>HYPERLINK("http://141.218.60.56/~jnz1568/getInfo.php?workbook=12_04.xlsx&amp;sheet=U0&amp;row=7576&amp;col=7&amp;number=0.0013&amp;sourceID=14","0.0013")</f>
        <v>0.0013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HYPERLINK("http://141.218.60.56/~jnz1568/getInfo.php?workbook=12_04.xlsx&amp;sheet=U0&amp;row=7577&amp;col=6&amp;number=4.3&amp;sourceID=14","4.3")</f>
        <v>4.3</v>
      </c>
      <c r="G7577" s="4" t="str">
        <f>HYPERLINK("http://141.218.60.56/~jnz1568/getInfo.php?workbook=12_04.xlsx&amp;sheet=U0&amp;row=7577&amp;col=7&amp;number=0.00128&amp;sourceID=14","0.00128")</f>
        <v>0.00128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HYPERLINK("http://141.218.60.56/~jnz1568/getInfo.php?workbook=12_04.xlsx&amp;sheet=U0&amp;row=7578&amp;col=6&amp;number=4.4&amp;sourceID=14","4.4")</f>
        <v>4.4</v>
      </c>
      <c r="G7578" s="4" t="str">
        <f>HYPERLINK("http://141.218.60.56/~jnz1568/getInfo.php?workbook=12_04.xlsx&amp;sheet=U0&amp;row=7578&amp;col=7&amp;number=0.00127&amp;sourceID=14","0.00127")</f>
        <v>0.00127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HYPERLINK("http://141.218.60.56/~jnz1568/getInfo.php?workbook=12_04.xlsx&amp;sheet=U0&amp;row=7579&amp;col=6&amp;number=4.5&amp;sourceID=14","4.5")</f>
        <v>4.5</v>
      </c>
      <c r="G7579" s="4" t="str">
        <f>HYPERLINK("http://141.218.60.56/~jnz1568/getInfo.php?workbook=12_04.xlsx&amp;sheet=U0&amp;row=7579&amp;col=7&amp;number=0.00124&amp;sourceID=14","0.00124")</f>
        <v>0.00124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HYPERLINK("http://141.218.60.56/~jnz1568/getInfo.php?workbook=12_04.xlsx&amp;sheet=U0&amp;row=7580&amp;col=6&amp;number=4.6&amp;sourceID=14","4.6")</f>
        <v>4.6</v>
      </c>
      <c r="G7580" s="4" t="str">
        <f>HYPERLINK("http://141.218.60.56/~jnz1568/getInfo.php?workbook=12_04.xlsx&amp;sheet=U0&amp;row=7580&amp;col=7&amp;number=0.00121&amp;sourceID=14","0.00121")</f>
        <v>0.00121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HYPERLINK("http://141.218.60.56/~jnz1568/getInfo.php?workbook=12_04.xlsx&amp;sheet=U0&amp;row=7581&amp;col=6&amp;number=4.7&amp;sourceID=14","4.7")</f>
        <v>4.7</v>
      </c>
      <c r="G7581" s="4" t="str">
        <f>HYPERLINK("http://141.218.60.56/~jnz1568/getInfo.php?workbook=12_04.xlsx&amp;sheet=U0&amp;row=7581&amp;col=7&amp;number=0.00118&amp;sourceID=14","0.00118")</f>
        <v>0.00118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HYPERLINK("http://141.218.60.56/~jnz1568/getInfo.php?workbook=12_04.xlsx&amp;sheet=U0&amp;row=7582&amp;col=6&amp;number=4.8&amp;sourceID=14","4.8")</f>
        <v>4.8</v>
      </c>
      <c r="G7582" s="4" t="str">
        <f>HYPERLINK("http://141.218.60.56/~jnz1568/getInfo.php?workbook=12_04.xlsx&amp;sheet=U0&amp;row=7582&amp;col=7&amp;number=0.00113&amp;sourceID=14","0.00113")</f>
        <v>0.00113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HYPERLINK("http://141.218.60.56/~jnz1568/getInfo.php?workbook=12_04.xlsx&amp;sheet=U0&amp;row=7583&amp;col=6&amp;number=4.9&amp;sourceID=14","4.9")</f>
        <v>4.9</v>
      </c>
      <c r="G7583" s="4" t="str">
        <f>HYPERLINK("http://141.218.60.56/~jnz1568/getInfo.php?workbook=12_04.xlsx&amp;sheet=U0&amp;row=7583&amp;col=7&amp;number=0.00108&amp;sourceID=14","0.00108")</f>
        <v>0.00108</v>
      </c>
    </row>
    <row r="7584" spans="1:7">
      <c r="A7584" s="3">
        <v>12</v>
      </c>
      <c r="B7584" s="3">
        <v>4</v>
      </c>
      <c r="C7584" s="3">
        <v>4</v>
      </c>
      <c r="D7584" s="3">
        <v>96</v>
      </c>
      <c r="E7584" s="3">
        <v>1</v>
      </c>
      <c r="F7584" s="4" t="str">
        <f>HYPERLINK("http://141.218.60.56/~jnz1568/getInfo.php?workbook=12_04.xlsx&amp;sheet=U0&amp;row=7584&amp;col=6&amp;number=3&amp;sourceID=14","3")</f>
        <v>3</v>
      </c>
      <c r="G7584" s="4" t="str">
        <f>HYPERLINK("http://141.218.60.56/~jnz1568/getInfo.php?workbook=12_04.xlsx&amp;sheet=U0&amp;row=7584&amp;col=7&amp;number=0.00242&amp;sourceID=14","0.00242")</f>
        <v>0.00242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HYPERLINK("http://141.218.60.56/~jnz1568/getInfo.php?workbook=12_04.xlsx&amp;sheet=U0&amp;row=7585&amp;col=6&amp;number=3.1&amp;sourceID=14","3.1")</f>
        <v>3.1</v>
      </c>
      <c r="G7585" s="4" t="str">
        <f>HYPERLINK("http://141.218.60.56/~jnz1568/getInfo.php?workbook=12_04.xlsx&amp;sheet=U0&amp;row=7585&amp;col=7&amp;number=0.00242&amp;sourceID=14","0.00242")</f>
        <v>0.00242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HYPERLINK("http://141.218.60.56/~jnz1568/getInfo.php?workbook=12_04.xlsx&amp;sheet=U0&amp;row=7586&amp;col=6&amp;number=3.2&amp;sourceID=14","3.2")</f>
        <v>3.2</v>
      </c>
      <c r="G7586" s="4" t="str">
        <f>HYPERLINK("http://141.218.60.56/~jnz1568/getInfo.php?workbook=12_04.xlsx&amp;sheet=U0&amp;row=7586&amp;col=7&amp;number=0.00242&amp;sourceID=14","0.00242")</f>
        <v>0.00242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HYPERLINK("http://141.218.60.56/~jnz1568/getInfo.php?workbook=12_04.xlsx&amp;sheet=U0&amp;row=7587&amp;col=6&amp;number=3.3&amp;sourceID=14","3.3")</f>
        <v>3.3</v>
      </c>
      <c r="G7587" s="4" t="str">
        <f>HYPERLINK("http://141.218.60.56/~jnz1568/getInfo.php?workbook=12_04.xlsx&amp;sheet=U0&amp;row=7587&amp;col=7&amp;number=0.00242&amp;sourceID=14","0.00242")</f>
        <v>0.00242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HYPERLINK("http://141.218.60.56/~jnz1568/getInfo.php?workbook=12_04.xlsx&amp;sheet=U0&amp;row=7588&amp;col=6&amp;number=3.4&amp;sourceID=14","3.4")</f>
        <v>3.4</v>
      </c>
      <c r="G7588" s="4" t="str">
        <f>HYPERLINK("http://141.218.60.56/~jnz1568/getInfo.php?workbook=12_04.xlsx&amp;sheet=U0&amp;row=7588&amp;col=7&amp;number=0.00242&amp;sourceID=14","0.00242")</f>
        <v>0.00242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HYPERLINK("http://141.218.60.56/~jnz1568/getInfo.php?workbook=12_04.xlsx&amp;sheet=U0&amp;row=7589&amp;col=6&amp;number=3.5&amp;sourceID=14","3.5")</f>
        <v>3.5</v>
      </c>
      <c r="G7589" s="4" t="str">
        <f>HYPERLINK("http://141.218.60.56/~jnz1568/getInfo.php?workbook=12_04.xlsx&amp;sheet=U0&amp;row=7589&amp;col=7&amp;number=0.00242&amp;sourceID=14","0.00242")</f>
        <v>0.00242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HYPERLINK("http://141.218.60.56/~jnz1568/getInfo.php?workbook=12_04.xlsx&amp;sheet=U0&amp;row=7590&amp;col=6&amp;number=3.6&amp;sourceID=14","3.6")</f>
        <v>3.6</v>
      </c>
      <c r="G7590" s="4" t="str">
        <f>HYPERLINK("http://141.218.60.56/~jnz1568/getInfo.php?workbook=12_04.xlsx&amp;sheet=U0&amp;row=7590&amp;col=7&amp;number=0.00242&amp;sourceID=14","0.00242")</f>
        <v>0.00242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HYPERLINK("http://141.218.60.56/~jnz1568/getInfo.php?workbook=12_04.xlsx&amp;sheet=U0&amp;row=7591&amp;col=6&amp;number=3.7&amp;sourceID=14","3.7")</f>
        <v>3.7</v>
      </c>
      <c r="G7591" s="4" t="str">
        <f>HYPERLINK("http://141.218.60.56/~jnz1568/getInfo.php?workbook=12_04.xlsx&amp;sheet=U0&amp;row=7591&amp;col=7&amp;number=0.00241&amp;sourceID=14","0.00241")</f>
        <v>0.00241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HYPERLINK("http://141.218.60.56/~jnz1568/getInfo.php?workbook=12_04.xlsx&amp;sheet=U0&amp;row=7592&amp;col=6&amp;number=3.8&amp;sourceID=14","3.8")</f>
        <v>3.8</v>
      </c>
      <c r="G7592" s="4" t="str">
        <f>HYPERLINK("http://141.218.60.56/~jnz1568/getInfo.php?workbook=12_04.xlsx&amp;sheet=U0&amp;row=7592&amp;col=7&amp;number=0.00241&amp;sourceID=14","0.00241")</f>
        <v>0.00241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HYPERLINK("http://141.218.60.56/~jnz1568/getInfo.php?workbook=12_04.xlsx&amp;sheet=U0&amp;row=7593&amp;col=6&amp;number=3.9&amp;sourceID=14","3.9")</f>
        <v>3.9</v>
      </c>
      <c r="G7593" s="4" t="str">
        <f>HYPERLINK("http://141.218.60.56/~jnz1568/getInfo.php?workbook=12_04.xlsx&amp;sheet=U0&amp;row=7593&amp;col=7&amp;number=0.0024&amp;sourceID=14","0.0024")</f>
        <v>0.0024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HYPERLINK("http://141.218.60.56/~jnz1568/getInfo.php?workbook=12_04.xlsx&amp;sheet=U0&amp;row=7594&amp;col=6&amp;number=4&amp;sourceID=14","4")</f>
        <v>4</v>
      </c>
      <c r="G7594" s="4" t="str">
        <f>HYPERLINK("http://141.218.60.56/~jnz1568/getInfo.php?workbook=12_04.xlsx&amp;sheet=U0&amp;row=7594&amp;col=7&amp;number=0.0024&amp;sourceID=14","0.0024")</f>
        <v>0.0024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HYPERLINK("http://141.218.60.56/~jnz1568/getInfo.php?workbook=12_04.xlsx&amp;sheet=U0&amp;row=7595&amp;col=6&amp;number=4.1&amp;sourceID=14","4.1")</f>
        <v>4.1</v>
      </c>
      <c r="G7595" s="4" t="str">
        <f>HYPERLINK("http://141.218.60.56/~jnz1568/getInfo.php?workbook=12_04.xlsx&amp;sheet=U0&amp;row=7595&amp;col=7&amp;number=0.00239&amp;sourceID=14","0.00239")</f>
        <v>0.00239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HYPERLINK("http://141.218.60.56/~jnz1568/getInfo.php?workbook=12_04.xlsx&amp;sheet=U0&amp;row=7596&amp;col=6&amp;number=4.2&amp;sourceID=14","4.2")</f>
        <v>4.2</v>
      </c>
      <c r="G7596" s="4" t="str">
        <f>HYPERLINK("http://141.218.60.56/~jnz1568/getInfo.php?workbook=12_04.xlsx&amp;sheet=U0&amp;row=7596&amp;col=7&amp;number=0.00238&amp;sourceID=14","0.00238")</f>
        <v>0.00238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HYPERLINK("http://141.218.60.56/~jnz1568/getInfo.php?workbook=12_04.xlsx&amp;sheet=U0&amp;row=7597&amp;col=6&amp;number=4.3&amp;sourceID=14","4.3")</f>
        <v>4.3</v>
      </c>
      <c r="G7597" s="4" t="str">
        <f>HYPERLINK("http://141.218.60.56/~jnz1568/getInfo.php?workbook=12_04.xlsx&amp;sheet=U0&amp;row=7597&amp;col=7&amp;number=0.00237&amp;sourceID=14","0.00237")</f>
        <v>0.00237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HYPERLINK("http://141.218.60.56/~jnz1568/getInfo.php?workbook=12_04.xlsx&amp;sheet=U0&amp;row=7598&amp;col=6&amp;number=4.4&amp;sourceID=14","4.4")</f>
        <v>4.4</v>
      </c>
      <c r="G7598" s="4" t="str">
        <f>HYPERLINK("http://141.218.60.56/~jnz1568/getInfo.php?workbook=12_04.xlsx&amp;sheet=U0&amp;row=7598&amp;col=7&amp;number=0.00236&amp;sourceID=14","0.00236")</f>
        <v>0.00236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HYPERLINK("http://141.218.60.56/~jnz1568/getInfo.php?workbook=12_04.xlsx&amp;sheet=U0&amp;row=7599&amp;col=6&amp;number=4.5&amp;sourceID=14","4.5")</f>
        <v>4.5</v>
      </c>
      <c r="G7599" s="4" t="str">
        <f>HYPERLINK("http://141.218.60.56/~jnz1568/getInfo.php?workbook=12_04.xlsx&amp;sheet=U0&amp;row=7599&amp;col=7&amp;number=0.00234&amp;sourceID=14","0.00234")</f>
        <v>0.00234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HYPERLINK("http://141.218.60.56/~jnz1568/getInfo.php?workbook=12_04.xlsx&amp;sheet=U0&amp;row=7600&amp;col=6&amp;number=4.6&amp;sourceID=14","4.6")</f>
        <v>4.6</v>
      </c>
      <c r="G7600" s="4" t="str">
        <f>HYPERLINK("http://141.218.60.56/~jnz1568/getInfo.php?workbook=12_04.xlsx&amp;sheet=U0&amp;row=7600&amp;col=7&amp;number=0.00231&amp;sourceID=14","0.00231")</f>
        <v>0.00231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HYPERLINK("http://141.218.60.56/~jnz1568/getInfo.php?workbook=12_04.xlsx&amp;sheet=U0&amp;row=7601&amp;col=6&amp;number=4.7&amp;sourceID=14","4.7")</f>
        <v>4.7</v>
      </c>
      <c r="G7601" s="4" t="str">
        <f>HYPERLINK("http://141.218.60.56/~jnz1568/getInfo.php?workbook=12_04.xlsx&amp;sheet=U0&amp;row=7601&amp;col=7&amp;number=0.00229&amp;sourceID=14","0.00229")</f>
        <v>0.00229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HYPERLINK("http://141.218.60.56/~jnz1568/getInfo.php?workbook=12_04.xlsx&amp;sheet=U0&amp;row=7602&amp;col=6&amp;number=4.8&amp;sourceID=14","4.8")</f>
        <v>4.8</v>
      </c>
      <c r="G7602" s="4" t="str">
        <f>HYPERLINK("http://141.218.60.56/~jnz1568/getInfo.php?workbook=12_04.xlsx&amp;sheet=U0&amp;row=7602&amp;col=7&amp;number=0.00225&amp;sourceID=14","0.00225")</f>
        <v>0.00225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HYPERLINK("http://141.218.60.56/~jnz1568/getInfo.php?workbook=12_04.xlsx&amp;sheet=U0&amp;row=7603&amp;col=6&amp;number=4.9&amp;sourceID=14","4.9")</f>
        <v>4.9</v>
      </c>
      <c r="G7603" s="4" t="str">
        <f>HYPERLINK("http://141.218.60.56/~jnz1568/getInfo.php?workbook=12_04.xlsx&amp;sheet=U0&amp;row=7603&amp;col=7&amp;number=0.00221&amp;sourceID=14","0.00221")</f>
        <v>0.00221</v>
      </c>
    </row>
    <row r="7604" spans="1:7">
      <c r="A7604" s="3">
        <v>12</v>
      </c>
      <c r="B7604" s="3">
        <v>4</v>
      </c>
      <c r="C7604" s="3">
        <v>4</v>
      </c>
      <c r="D7604" s="3">
        <v>97</v>
      </c>
      <c r="E7604" s="3">
        <v>1</v>
      </c>
      <c r="F7604" s="4" t="str">
        <f>HYPERLINK("http://141.218.60.56/~jnz1568/getInfo.php?workbook=12_04.xlsx&amp;sheet=U0&amp;row=7604&amp;col=6&amp;number=3&amp;sourceID=14","3")</f>
        <v>3</v>
      </c>
      <c r="G7604" s="4" t="str">
        <f>HYPERLINK("http://141.218.60.56/~jnz1568/getInfo.php?workbook=12_04.xlsx&amp;sheet=U0&amp;row=7604&amp;col=7&amp;number=0.00724&amp;sourceID=14","0.00724")</f>
        <v>0.00724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HYPERLINK("http://141.218.60.56/~jnz1568/getInfo.php?workbook=12_04.xlsx&amp;sheet=U0&amp;row=7605&amp;col=6&amp;number=3.1&amp;sourceID=14","3.1")</f>
        <v>3.1</v>
      </c>
      <c r="G7605" s="4" t="str">
        <f>HYPERLINK("http://141.218.60.56/~jnz1568/getInfo.php?workbook=12_04.xlsx&amp;sheet=U0&amp;row=7605&amp;col=7&amp;number=0.00724&amp;sourceID=14","0.00724")</f>
        <v>0.00724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HYPERLINK("http://141.218.60.56/~jnz1568/getInfo.php?workbook=12_04.xlsx&amp;sheet=U0&amp;row=7606&amp;col=6&amp;number=3.2&amp;sourceID=14","3.2")</f>
        <v>3.2</v>
      </c>
      <c r="G7606" s="4" t="str">
        <f>HYPERLINK("http://141.218.60.56/~jnz1568/getInfo.php?workbook=12_04.xlsx&amp;sheet=U0&amp;row=7606&amp;col=7&amp;number=0.00724&amp;sourceID=14","0.00724")</f>
        <v>0.00724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HYPERLINK("http://141.218.60.56/~jnz1568/getInfo.php?workbook=12_04.xlsx&amp;sheet=U0&amp;row=7607&amp;col=6&amp;number=3.3&amp;sourceID=14","3.3")</f>
        <v>3.3</v>
      </c>
      <c r="G7607" s="4" t="str">
        <f>HYPERLINK("http://141.218.60.56/~jnz1568/getInfo.php?workbook=12_04.xlsx&amp;sheet=U0&amp;row=7607&amp;col=7&amp;number=0.00724&amp;sourceID=14","0.00724")</f>
        <v>0.00724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HYPERLINK("http://141.218.60.56/~jnz1568/getInfo.php?workbook=12_04.xlsx&amp;sheet=U0&amp;row=7608&amp;col=6&amp;number=3.4&amp;sourceID=14","3.4")</f>
        <v>3.4</v>
      </c>
      <c r="G7608" s="4" t="str">
        <f>HYPERLINK("http://141.218.60.56/~jnz1568/getInfo.php?workbook=12_04.xlsx&amp;sheet=U0&amp;row=7608&amp;col=7&amp;number=0.00724&amp;sourceID=14","0.00724")</f>
        <v>0.00724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HYPERLINK("http://141.218.60.56/~jnz1568/getInfo.php?workbook=12_04.xlsx&amp;sheet=U0&amp;row=7609&amp;col=6&amp;number=3.5&amp;sourceID=14","3.5")</f>
        <v>3.5</v>
      </c>
      <c r="G7609" s="4" t="str">
        <f>HYPERLINK("http://141.218.60.56/~jnz1568/getInfo.php?workbook=12_04.xlsx&amp;sheet=U0&amp;row=7609&amp;col=7&amp;number=0.00724&amp;sourceID=14","0.00724")</f>
        <v>0.00724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HYPERLINK("http://141.218.60.56/~jnz1568/getInfo.php?workbook=12_04.xlsx&amp;sheet=U0&amp;row=7610&amp;col=6&amp;number=3.6&amp;sourceID=14","3.6")</f>
        <v>3.6</v>
      </c>
      <c r="G7610" s="4" t="str">
        <f>HYPERLINK("http://141.218.60.56/~jnz1568/getInfo.php?workbook=12_04.xlsx&amp;sheet=U0&amp;row=7610&amp;col=7&amp;number=0.00724&amp;sourceID=14","0.00724")</f>
        <v>0.00724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HYPERLINK("http://141.218.60.56/~jnz1568/getInfo.php?workbook=12_04.xlsx&amp;sheet=U0&amp;row=7611&amp;col=6&amp;number=3.7&amp;sourceID=14","3.7")</f>
        <v>3.7</v>
      </c>
      <c r="G7611" s="4" t="str">
        <f>HYPERLINK("http://141.218.60.56/~jnz1568/getInfo.php?workbook=12_04.xlsx&amp;sheet=U0&amp;row=7611&amp;col=7&amp;number=0.00724&amp;sourceID=14","0.00724")</f>
        <v>0.00724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HYPERLINK("http://141.218.60.56/~jnz1568/getInfo.php?workbook=12_04.xlsx&amp;sheet=U0&amp;row=7612&amp;col=6&amp;number=3.8&amp;sourceID=14","3.8")</f>
        <v>3.8</v>
      </c>
      <c r="G7612" s="4" t="str">
        <f>HYPERLINK("http://141.218.60.56/~jnz1568/getInfo.php?workbook=12_04.xlsx&amp;sheet=U0&amp;row=7612&amp;col=7&amp;number=0.00723&amp;sourceID=14","0.00723")</f>
        <v>0.00723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HYPERLINK("http://141.218.60.56/~jnz1568/getInfo.php?workbook=12_04.xlsx&amp;sheet=U0&amp;row=7613&amp;col=6&amp;number=3.9&amp;sourceID=14","3.9")</f>
        <v>3.9</v>
      </c>
      <c r="G7613" s="4" t="str">
        <f>HYPERLINK("http://141.218.60.56/~jnz1568/getInfo.php?workbook=12_04.xlsx&amp;sheet=U0&amp;row=7613&amp;col=7&amp;number=0.00723&amp;sourceID=14","0.00723")</f>
        <v>0.00723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HYPERLINK("http://141.218.60.56/~jnz1568/getInfo.php?workbook=12_04.xlsx&amp;sheet=U0&amp;row=7614&amp;col=6&amp;number=4&amp;sourceID=14","4")</f>
        <v>4</v>
      </c>
      <c r="G7614" s="4" t="str">
        <f>HYPERLINK("http://141.218.60.56/~jnz1568/getInfo.php?workbook=12_04.xlsx&amp;sheet=U0&amp;row=7614&amp;col=7&amp;number=0.00723&amp;sourceID=14","0.00723")</f>
        <v>0.00723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HYPERLINK("http://141.218.60.56/~jnz1568/getInfo.php?workbook=12_04.xlsx&amp;sheet=U0&amp;row=7615&amp;col=6&amp;number=4.1&amp;sourceID=14","4.1")</f>
        <v>4.1</v>
      </c>
      <c r="G7615" s="4" t="str">
        <f>HYPERLINK("http://141.218.60.56/~jnz1568/getInfo.php?workbook=12_04.xlsx&amp;sheet=U0&amp;row=7615&amp;col=7&amp;number=0.00723&amp;sourceID=14","0.00723")</f>
        <v>0.00723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HYPERLINK("http://141.218.60.56/~jnz1568/getInfo.php?workbook=12_04.xlsx&amp;sheet=U0&amp;row=7616&amp;col=6&amp;number=4.2&amp;sourceID=14","4.2")</f>
        <v>4.2</v>
      </c>
      <c r="G7616" s="4" t="str">
        <f>HYPERLINK("http://141.218.60.56/~jnz1568/getInfo.php?workbook=12_04.xlsx&amp;sheet=U0&amp;row=7616&amp;col=7&amp;number=0.00722&amp;sourceID=14","0.00722")</f>
        <v>0.00722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HYPERLINK("http://141.218.60.56/~jnz1568/getInfo.php?workbook=12_04.xlsx&amp;sheet=U0&amp;row=7617&amp;col=6&amp;number=4.3&amp;sourceID=14","4.3")</f>
        <v>4.3</v>
      </c>
      <c r="G7617" s="4" t="str">
        <f>HYPERLINK("http://141.218.60.56/~jnz1568/getInfo.php?workbook=12_04.xlsx&amp;sheet=U0&amp;row=7617&amp;col=7&amp;number=0.00722&amp;sourceID=14","0.00722")</f>
        <v>0.00722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HYPERLINK("http://141.218.60.56/~jnz1568/getInfo.php?workbook=12_04.xlsx&amp;sheet=U0&amp;row=7618&amp;col=6&amp;number=4.4&amp;sourceID=14","4.4")</f>
        <v>4.4</v>
      </c>
      <c r="G7618" s="4" t="str">
        <f>HYPERLINK("http://141.218.60.56/~jnz1568/getInfo.php?workbook=12_04.xlsx&amp;sheet=U0&amp;row=7618&amp;col=7&amp;number=0.00721&amp;sourceID=14","0.00721")</f>
        <v>0.00721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HYPERLINK("http://141.218.60.56/~jnz1568/getInfo.php?workbook=12_04.xlsx&amp;sheet=U0&amp;row=7619&amp;col=6&amp;number=4.5&amp;sourceID=14","4.5")</f>
        <v>4.5</v>
      </c>
      <c r="G7619" s="4" t="str">
        <f>HYPERLINK("http://141.218.60.56/~jnz1568/getInfo.php?workbook=12_04.xlsx&amp;sheet=U0&amp;row=7619&amp;col=7&amp;number=0.0072&amp;sourceID=14","0.0072")</f>
        <v>0.0072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HYPERLINK("http://141.218.60.56/~jnz1568/getInfo.php?workbook=12_04.xlsx&amp;sheet=U0&amp;row=7620&amp;col=6&amp;number=4.6&amp;sourceID=14","4.6")</f>
        <v>4.6</v>
      </c>
      <c r="G7620" s="4" t="str">
        <f>HYPERLINK("http://141.218.60.56/~jnz1568/getInfo.php?workbook=12_04.xlsx&amp;sheet=U0&amp;row=7620&amp;col=7&amp;number=0.00719&amp;sourceID=14","0.00719")</f>
        <v>0.00719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HYPERLINK("http://141.218.60.56/~jnz1568/getInfo.php?workbook=12_04.xlsx&amp;sheet=U0&amp;row=7621&amp;col=6&amp;number=4.7&amp;sourceID=14","4.7")</f>
        <v>4.7</v>
      </c>
      <c r="G7621" s="4" t="str">
        <f>HYPERLINK("http://141.218.60.56/~jnz1568/getInfo.php?workbook=12_04.xlsx&amp;sheet=U0&amp;row=7621&amp;col=7&amp;number=0.00718&amp;sourceID=14","0.00718")</f>
        <v>0.00718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HYPERLINK("http://141.218.60.56/~jnz1568/getInfo.php?workbook=12_04.xlsx&amp;sheet=U0&amp;row=7622&amp;col=6&amp;number=4.8&amp;sourceID=14","4.8")</f>
        <v>4.8</v>
      </c>
      <c r="G7622" s="4" t="str">
        <f>HYPERLINK("http://141.218.60.56/~jnz1568/getInfo.php?workbook=12_04.xlsx&amp;sheet=U0&amp;row=7622&amp;col=7&amp;number=0.00716&amp;sourceID=14","0.00716")</f>
        <v>0.00716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HYPERLINK("http://141.218.60.56/~jnz1568/getInfo.php?workbook=12_04.xlsx&amp;sheet=U0&amp;row=7623&amp;col=6&amp;number=4.9&amp;sourceID=14","4.9")</f>
        <v>4.9</v>
      </c>
      <c r="G7623" s="4" t="str">
        <f>HYPERLINK("http://141.218.60.56/~jnz1568/getInfo.php?workbook=12_04.xlsx&amp;sheet=U0&amp;row=7623&amp;col=7&amp;number=0.00713&amp;sourceID=14","0.00713")</f>
        <v>0.00713</v>
      </c>
    </row>
    <row r="7624" spans="1:7">
      <c r="A7624" s="3">
        <v>12</v>
      </c>
      <c r="B7624" s="3">
        <v>4</v>
      </c>
      <c r="C7624" s="3">
        <v>4</v>
      </c>
      <c r="D7624" s="3">
        <v>98</v>
      </c>
      <c r="E7624" s="3">
        <v>1</v>
      </c>
      <c r="F7624" s="4" t="str">
        <f>HYPERLINK("http://141.218.60.56/~jnz1568/getInfo.php?workbook=12_04.xlsx&amp;sheet=U0&amp;row=7624&amp;col=6&amp;number=3&amp;sourceID=14","3")</f>
        <v>3</v>
      </c>
      <c r="G7624" s="4" t="str">
        <f>HYPERLINK("http://141.218.60.56/~jnz1568/getInfo.php?workbook=12_04.xlsx&amp;sheet=U0&amp;row=7624&amp;col=7&amp;number=0.00322&amp;sourceID=14","0.00322")</f>
        <v>0.00322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HYPERLINK("http://141.218.60.56/~jnz1568/getInfo.php?workbook=12_04.xlsx&amp;sheet=U0&amp;row=7625&amp;col=6&amp;number=3.1&amp;sourceID=14","3.1")</f>
        <v>3.1</v>
      </c>
      <c r="G7625" s="4" t="str">
        <f>HYPERLINK("http://141.218.60.56/~jnz1568/getInfo.php?workbook=12_04.xlsx&amp;sheet=U0&amp;row=7625&amp;col=7&amp;number=0.00322&amp;sourceID=14","0.00322")</f>
        <v>0.00322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HYPERLINK("http://141.218.60.56/~jnz1568/getInfo.php?workbook=12_04.xlsx&amp;sheet=U0&amp;row=7626&amp;col=6&amp;number=3.2&amp;sourceID=14","3.2")</f>
        <v>3.2</v>
      </c>
      <c r="G7626" s="4" t="str">
        <f>HYPERLINK("http://141.218.60.56/~jnz1568/getInfo.php?workbook=12_04.xlsx&amp;sheet=U0&amp;row=7626&amp;col=7&amp;number=0.00322&amp;sourceID=14","0.00322")</f>
        <v>0.00322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HYPERLINK("http://141.218.60.56/~jnz1568/getInfo.php?workbook=12_04.xlsx&amp;sheet=U0&amp;row=7627&amp;col=6&amp;number=3.3&amp;sourceID=14","3.3")</f>
        <v>3.3</v>
      </c>
      <c r="G7627" s="4" t="str">
        <f>HYPERLINK("http://141.218.60.56/~jnz1568/getInfo.php?workbook=12_04.xlsx&amp;sheet=U0&amp;row=7627&amp;col=7&amp;number=0.00322&amp;sourceID=14","0.00322")</f>
        <v>0.00322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HYPERLINK("http://141.218.60.56/~jnz1568/getInfo.php?workbook=12_04.xlsx&amp;sheet=U0&amp;row=7628&amp;col=6&amp;number=3.4&amp;sourceID=14","3.4")</f>
        <v>3.4</v>
      </c>
      <c r="G7628" s="4" t="str">
        <f>HYPERLINK("http://141.218.60.56/~jnz1568/getInfo.php?workbook=12_04.xlsx&amp;sheet=U0&amp;row=7628&amp;col=7&amp;number=0.00322&amp;sourceID=14","0.00322")</f>
        <v>0.00322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HYPERLINK("http://141.218.60.56/~jnz1568/getInfo.php?workbook=12_04.xlsx&amp;sheet=U0&amp;row=7629&amp;col=6&amp;number=3.5&amp;sourceID=14","3.5")</f>
        <v>3.5</v>
      </c>
      <c r="G7629" s="4" t="str">
        <f>HYPERLINK("http://141.218.60.56/~jnz1568/getInfo.php?workbook=12_04.xlsx&amp;sheet=U0&amp;row=7629&amp;col=7&amp;number=0.00322&amp;sourceID=14","0.00322")</f>
        <v>0.00322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HYPERLINK("http://141.218.60.56/~jnz1568/getInfo.php?workbook=12_04.xlsx&amp;sheet=U0&amp;row=7630&amp;col=6&amp;number=3.6&amp;sourceID=14","3.6")</f>
        <v>3.6</v>
      </c>
      <c r="G7630" s="4" t="str">
        <f>HYPERLINK("http://141.218.60.56/~jnz1568/getInfo.php?workbook=12_04.xlsx&amp;sheet=U0&amp;row=7630&amp;col=7&amp;number=0.00322&amp;sourceID=14","0.00322")</f>
        <v>0.00322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HYPERLINK("http://141.218.60.56/~jnz1568/getInfo.php?workbook=12_04.xlsx&amp;sheet=U0&amp;row=7631&amp;col=6&amp;number=3.7&amp;sourceID=14","3.7")</f>
        <v>3.7</v>
      </c>
      <c r="G7631" s="4" t="str">
        <f>HYPERLINK("http://141.218.60.56/~jnz1568/getInfo.php?workbook=12_04.xlsx&amp;sheet=U0&amp;row=7631&amp;col=7&amp;number=0.00322&amp;sourceID=14","0.00322")</f>
        <v>0.00322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HYPERLINK("http://141.218.60.56/~jnz1568/getInfo.php?workbook=12_04.xlsx&amp;sheet=U0&amp;row=7632&amp;col=6&amp;number=3.8&amp;sourceID=14","3.8")</f>
        <v>3.8</v>
      </c>
      <c r="G7632" s="4" t="str">
        <f>HYPERLINK("http://141.218.60.56/~jnz1568/getInfo.php?workbook=12_04.xlsx&amp;sheet=U0&amp;row=7632&amp;col=7&amp;number=0.00322&amp;sourceID=14","0.00322")</f>
        <v>0.00322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HYPERLINK("http://141.218.60.56/~jnz1568/getInfo.php?workbook=12_04.xlsx&amp;sheet=U0&amp;row=7633&amp;col=6&amp;number=3.9&amp;sourceID=14","3.9")</f>
        <v>3.9</v>
      </c>
      <c r="G7633" s="4" t="str">
        <f>HYPERLINK("http://141.218.60.56/~jnz1568/getInfo.php?workbook=12_04.xlsx&amp;sheet=U0&amp;row=7633&amp;col=7&amp;number=0.00321&amp;sourceID=14","0.00321")</f>
        <v>0.00321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HYPERLINK("http://141.218.60.56/~jnz1568/getInfo.php?workbook=12_04.xlsx&amp;sheet=U0&amp;row=7634&amp;col=6&amp;number=4&amp;sourceID=14","4")</f>
        <v>4</v>
      </c>
      <c r="G7634" s="4" t="str">
        <f>HYPERLINK("http://141.218.60.56/~jnz1568/getInfo.php?workbook=12_04.xlsx&amp;sheet=U0&amp;row=7634&amp;col=7&amp;number=0.00321&amp;sourceID=14","0.00321")</f>
        <v>0.00321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HYPERLINK("http://141.218.60.56/~jnz1568/getInfo.php?workbook=12_04.xlsx&amp;sheet=U0&amp;row=7635&amp;col=6&amp;number=4.1&amp;sourceID=14","4.1")</f>
        <v>4.1</v>
      </c>
      <c r="G7635" s="4" t="str">
        <f>HYPERLINK("http://141.218.60.56/~jnz1568/getInfo.php?workbook=12_04.xlsx&amp;sheet=U0&amp;row=7635&amp;col=7&amp;number=0.00321&amp;sourceID=14","0.00321")</f>
        <v>0.00321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HYPERLINK("http://141.218.60.56/~jnz1568/getInfo.php?workbook=12_04.xlsx&amp;sheet=U0&amp;row=7636&amp;col=6&amp;number=4.2&amp;sourceID=14","4.2")</f>
        <v>4.2</v>
      </c>
      <c r="G7636" s="4" t="str">
        <f>HYPERLINK("http://141.218.60.56/~jnz1568/getInfo.php?workbook=12_04.xlsx&amp;sheet=U0&amp;row=7636&amp;col=7&amp;number=0.00321&amp;sourceID=14","0.00321")</f>
        <v>0.00321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HYPERLINK("http://141.218.60.56/~jnz1568/getInfo.php?workbook=12_04.xlsx&amp;sheet=U0&amp;row=7637&amp;col=6&amp;number=4.3&amp;sourceID=14","4.3")</f>
        <v>4.3</v>
      </c>
      <c r="G7637" s="4" t="str">
        <f>HYPERLINK("http://141.218.60.56/~jnz1568/getInfo.php?workbook=12_04.xlsx&amp;sheet=U0&amp;row=7637&amp;col=7&amp;number=0.00321&amp;sourceID=14","0.00321")</f>
        <v>0.00321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HYPERLINK("http://141.218.60.56/~jnz1568/getInfo.php?workbook=12_04.xlsx&amp;sheet=U0&amp;row=7638&amp;col=6&amp;number=4.4&amp;sourceID=14","4.4")</f>
        <v>4.4</v>
      </c>
      <c r="G7638" s="4" t="str">
        <f>HYPERLINK("http://141.218.60.56/~jnz1568/getInfo.php?workbook=12_04.xlsx&amp;sheet=U0&amp;row=7638&amp;col=7&amp;number=0.0032&amp;sourceID=14","0.0032")</f>
        <v>0.0032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HYPERLINK("http://141.218.60.56/~jnz1568/getInfo.php?workbook=12_04.xlsx&amp;sheet=U0&amp;row=7639&amp;col=6&amp;number=4.5&amp;sourceID=14","4.5")</f>
        <v>4.5</v>
      </c>
      <c r="G7639" s="4" t="str">
        <f>HYPERLINK("http://141.218.60.56/~jnz1568/getInfo.php?workbook=12_04.xlsx&amp;sheet=U0&amp;row=7639&amp;col=7&amp;number=0.0032&amp;sourceID=14","0.0032")</f>
        <v>0.0032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HYPERLINK("http://141.218.60.56/~jnz1568/getInfo.php?workbook=12_04.xlsx&amp;sheet=U0&amp;row=7640&amp;col=6&amp;number=4.6&amp;sourceID=14","4.6")</f>
        <v>4.6</v>
      </c>
      <c r="G7640" s="4" t="str">
        <f>HYPERLINK("http://141.218.60.56/~jnz1568/getInfo.php?workbook=12_04.xlsx&amp;sheet=U0&amp;row=7640&amp;col=7&amp;number=0.00319&amp;sourceID=14","0.00319")</f>
        <v>0.00319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HYPERLINK("http://141.218.60.56/~jnz1568/getInfo.php?workbook=12_04.xlsx&amp;sheet=U0&amp;row=7641&amp;col=6&amp;number=4.7&amp;sourceID=14","4.7")</f>
        <v>4.7</v>
      </c>
      <c r="G7641" s="4" t="str">
        <f>HYPERLINK("http://141.218.60.56/~jnz1568/getInfo.php?workbook=12_04.xlsx&amp;sheet=U0&amp;row=7641&amp;col=7&amp;number=0.00318&amp;sourceID=14","0.00318")</f>
        <v>0.00318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HYPERLINK("http://141.218.60.56/~jnz1568/getInfo.php?workbook=12_04.xlsx&amp;sheet=U0&amp;row=7642&amp;col=6&amp;number=4.8&amp;sourceID=14","4.8")</f>
        <v>4.8</v>
      </c>
      <c r="G7642" s="4" t="str">
        <f>HYPERLINK("http://141.218.60.56/~jnz1568/getInfo.php?workbook=12_04.xlsx&amp;sheet=U0&amp;row=7642&amp;col=7&amp;number=0.00318&amp;sourceID=14","0.00318")</f>
        <v>0.00318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HYPERLINK("http://141.218.60.56/~jnz1568/getInfo.php?workbook=12_04.xlsx&amp;sheet=U0&amp;row=7643&amp;col=6&amp;number=4.9&amp;sourceID=14","4.9")</f>
        <v>4.9</v>
      </c>
      <c r="G7643" s="4" t="str">
        <f>HYPERLINK("http://141.218.60.56/~jnz1568/getInfo.php?workbook=12_04.xlsx&amp;sheet=U0&amp;row=7643&amp;col=7&amp;number=0.00316&amp;sourceID=14","0.00316")</f>
        <v>0.00316</v>
      </c>
    </row>
    <row r="7644" spans="1:7">
      <c r="A7644" s="3">
        <v>12</v>
      </c>
      <c r="B7644" s="3">
        <v>4</v>
      </c>
      <c r="C7644" s="3">
        <v>5</v>
      </c>
      <c r="D7644" s="3">
        <v>6</v>
      </c>
      <c r="E7644" s="3">
        <v>1</v>
      </c>
      <c r="F7644" s="4" t="str">
        <f>HYPERLINK("http://141.218.60.56/~jnz1568/getInfo.php?workbook=12_04.xlsx&amp;sheet=U0&amp;row=7644&amp;col=6&amp;number=3&amp;sourceID=14","3")</f>
        <v>3</v>
      </c>
      <c r="G7644" s="4" t="str">
        <f>HYPERLINK("http://141.218.60.56/~jnz1568/getInfo.php?workbook=12_04.xlsx&amp;sheet=U0&amp;row=7644&amp;col=7&amp;number=0.0313&amp;sourceID=14","0.0313")</f>
        <v>0.0313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HYPERLINK("http://141.218.60.56/~jnz1568/getInfo.php?workbook=12_04.xlsx&amp;sheet=U0&amp;row=7645&amp;col=6&amp;number=3.1&amp;sourceID=14","3.1")</f>
        <v>3.1</v>
      </c>
      <c r="G7645" s="4" t="str">
        <f>HYPERLINK("http://141.218.60.56/~jnz1568/getInfo.php?workbook=12_04.xlsx&amp;sheet=U0&amp;row=7645&amp;col=7&amp;number=0.0313&amp;sourceID=14","0.0313")</f>
        <v>0.0313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HYPERLINK("http://141.218.60.56/~jnz1568/getInfo.php?workbook=12_04.xlsx&amp;sheet=U0&amp;row=7646&amp;col=6&amp;number=3.2&amp;sourceID=14","3.2")</f>
        <v>3.2</v>
      </c>
      <c r="G7646" s="4" t="str">
        <f>HYPERLINK("http://141.218.60.56/~jnz1568/getInfo.php?workbook=12_04.xlsx&amp;sheet=U0&amp;row=7646&amp;col=7&amp;number=0.0313&amp;sourceID=14","0.0313")</f>
        <v>0.0313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HYPERLINK("http://141.218.60.56/~jnz1568/getInfo.php?workbook=12_04.xlsx&amp;sheet=U0&amp;row=7647&amp;col=6&amp;number=3.3&amp;sourceID=14","3.3")</f>
        <v>3.3</v>
      </c>
      <c r="G7647" s="4" t="str">
        <f>HYPERLINK("http://141.218.60.56/~jnz1568/getInfo.php?workbook=12_04.xlsx&amp;sheet=U0&amp;row=7647&amp;col=7&amp;number=0.0312&amp;sourceID=14","0.0312")</f>
        <v>0.0312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HYPERLINK("http://141.218.60.56/~jnz1568/getInfo.php?workbook=12_04.xlsx&amp;sheet=U0&amp;row=7648&amp;col=6&amp;number=3.4&amp;sourceID=14","3.4")</f>
        <v>3.4</v>
      </c>
      <c r="G7648" s="4" t="str">
        <f>HYPERLINK("http://141.218.60.56/~jnz1568/getInfo.php?workbook=12_04.xlsx&amp;sheet=U0&amp;row=7648&amp;col=7&amp;number=0.0311&amp;sourceID=14","0.0311")</f>
        <v>0.0311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HYPERLINK("http://141.218.60.56/~jnz1568/getInfo.php?workbook=12_04.xlsx&amp;sheet=U0&amp;row=7649&amp;col=6&amp;number=3.5&amp;sourceID=14","3.5")</f>
        <v>3.5</v>
      </c>
      <c r="G7649" s="4" t="str">
        <f>HYPERLINK("http://141.218.60.56/~jnz1568/getInfo.php?workbook=12_04.xlsx&amp;sheet=U0&amp;row=7649&amp;col=7&amp;number=0.031&amp;sourceID=14","0.031")</f>
        <v>0.031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HYPERLINK("http://141.218.60.56/~jnz1568/getInfo.php?workbook=12_04.xlsx&amp;sheet=U0&amp;row=7650&amp;col=6&amp;number=3.6&amp;sourceID=14","3.6")</f>
        <v>3.6</v>
      </c>
      <c r="G7650" s="4" t="str">
        <f>HYPERLINK("http://141.218.60.56/~jnz1568/getInfo.php?workbook=12_04.xlsx&amp;sheet=U0&amp;row=7650&amp;col=7&amp;number=0.0309&amp;sourceID=14","0.0309")</f>
        <v>0.0309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HYPERLINK("http://141.218.60.56/~jnz1568/getInfo.php?workbook=12_04.xlsx&amp;sheet=U0&amp;row=7651&amp;col=6&amp;number=3.7&amp;sourceID=14","3.7")</f>
        <v>3.7</v>
      </c>
      <c r="G7651" s="4" t="str">
        <f>HYPERLINK("http://141.218.60.56/~jnz1568/getInfo.php?workbook=12_04.xlsx&amp;sheet=U0&amp;row=7651&amp;col=7&amp;number=0.0308&amp;sourceID=14","0.0308")</f>
        <v>0.0308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HYPERLINK("http://141.218.60.56/~jnz1568/getInfo.php?workbook=12_04.xlsx&amp;sheet=U0&amp;row=7652&amp;col=6&amp;number=3.8&amp;sourceID=14","3.8")</f>
        <v>3.8</v>
      </c>
      <c r="G7652" s="4" t="str">
        <f>HYPERLINK("http://141.218.60.56/~jnz1568/getInfo.php?workbook=12_04.xlsx&amp;sheet=U0&amp;row=7652&amp;col=7&amp;number=0.0306&amp;sourceID=14","0.0306")</f>
        <v>0.0306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HYPERLINK("http://141.218.60.56/~jnz1568/getInfo.php?workbook=12_04.xlsx&amp;sheet=U0&amp;row=7653&amp;col=6&amp;number=3.9&amp;sourceID=14","3.9")</f>
        <v>3.9</v>
      </c>
      <c r="G7653" s="4" t="str">
        <f>HYPERLINK("http://141.218.60.56/~jnz1568/getInfo.php?workbook=12_04.xlsx&amp;sheet=U0&amp;row=7653&amp;col=7&amp;number=0.0303&amp;sourceID=14","0.0303")</f>
        <v>0.0303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HYPERLINK("http://141.218.60.56/~jnz1568/getInfo.php?workbook=12_04.xlsx&amp;sheet=U0&amp;row=7654&amp;col=6&amp;number=4&amp;sourceID=14","4")</f>
        <v>4</v>
      </c>
      <c r="G7654" s="4" t="str">
        <f>HYPERLINK("http://141.218.60.56/~jnz1568/getInfo.php?workbook=12_04.xlsx&amp;sheet=U0&amp;row=7654&amp;col=7&amp;number=0.0301&amp;sourceID=14","0.0301")</f>
        <v>0.0301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HYPERLINK("http://141.218.60.56/~jnz1568/getInfo.php?workbook=12_04.xlsx&amp;sheet=U0&amp;row=7655&amp;col=6&amp;number=4.1&amp;sourceID=14","4.1")</f>
        <v>4.1</v>
      </c>
      <c r="G7655" s="4" t="str">
        <f>HYPERLINK("http://141.218.60.56/~jnz1568/getInfo.php?workbook=12_04.xlsx&amp;sheet=U0&amp;row=7655&amp;col=7&amp;number=0.0297&amp;sourceID=14","0.0297")</f>
        <v>0.0297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HYPERLINK("http://141.218.60.56/~jnz1568/getInfo.php?workbook=12_04.xlsx&amp;sheet=U0&amp;row=7656&amp;col=6&amp;number=4.2&amp;sourceID=14","4.2")</f>
        <v>4.2</v>
      </c>
      <c r="G7656" s="4" t="str">
        <f>HYPERLINK("http://141.218.60.56/~jnz1568/getInfo.php?workbook=12_04.xlsx&amp;sheet=U0&amp;row=7656&amp;col=7&amp;number=0.0292&amp;sourceID=14","0.0292")</f>
        <v>0.0292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HYPERLINK("http://141.218.60.56/~jnz1568/getInfo.php?workbook=12_04.xlsx&amp;sheet=U0&amp;row=7657&amp;col=6&amp;number=4.3&amp;sourceID=14","4.3")</f>
        <v>4.3</v>
      </c>
      <c r="G7657" s="4" t="str">
        <f>HYPERLINK("http://141.218.60.56/~jnz1568/getInfo.php?workbook=12_04.xlsx&amp;sheet=U0&amp;row=7657&amp;col=7&amp;number=0.0287&amp;sourceID=14","0.0287")</f>
        <v>0.0287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HYPERLINK("http://141.218.60.56/~jnz1568/getInfo.php?workbook=12_04.xlsx&amp;sheet=U0&amp;row=7658&amp;col=6&amp;number=4.4&amp;sourceID=14","4.4")</f>
        <v>4.4</v>
      </c>
      <c r="G7658" s="4" t="str">
        <f>HYPERLINK("http://141.218.60.56/~jnz1568/getInfo.php?workbook=12_04.xlsx&amp;sheet=U0&amp;row=7658&amp;col=7&amp;number=0.028&amp;sourceID=14","0.028")</f>
        <v>0.028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HYPERLINK("http://141.218.60.56/~jnz1568/getInfo.php?workbook=12_04.xlsx&amp;sheet=U0&amp;row=7659&amp;col=6&amp;number=4.5&amp;sourceID=14","4.5")</f>
        <v>4.5</v>
      </c>
      <c r="G7659" s="4" t="str">
        <f>HYPERLINK("http://141.218.60.56/~jnz1568/getInfo.php?workbook=12_04.xlsx&amp;sheet=U0&amp;row=7659&amp;col=7&amp;number=0.0272&amp;sourceID=14","0.0272")</f>
        <v>0.0272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HYPERLINK("http://141.218.60.56/~jnz1568/getInfo.php?workbook=12_04.xlsx&amp;sheet=U0&amp;row=7660&amp;col=6&amp;number=4.6&amp;sourceID=14","4.6")</f>
        <v>4.6</v>
      </c>
      <c r="G7660" s="4" t="str">
        <f>HYPERLINK("http://141.218.60.56/~jnz1568/getInfo.php?workbook=12_04.xlsx&amp;sheet=U0&amp;row=7660&amp;col=7&amp;number=0.0262&amp;sourceID=14","0.0262")</f>
        <v>0.0262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HYPERLINK("http://141.218.60.56/~jnz1568/getInfo.php?workbook=12_04.xlsx&amp;sheet=U0&amp;row=7661&amp;col=6&amp;number=4.7&amp;sourceID=14","4.7")</f>
        <v>4.7</v>
      </c>
      <c r="G7661" s="4" t="str">
        <f>HYPERLINK("http://141.218.60.56/~jnz1568/getInfo.php?workbook=12_04.xlsx&amp;sheet=U0&amp;row=7661&amp;col=7&amp;number=0.025&amp;sourceID=14","0.025")</f>
        <v>0.025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HYPERLINK("http://141.218.60.56/~jnz1568/getInfo.php?workbook=12_04.xlsx&amp;sheet=U0&amp;row=7662&amp;col=6&amp;number=4.8&amp;sourceID=14","4.8")</f>
        <v>4.8</v>
      </c>
      <c r="G7662" s="4" t="str">
        <f>HYPERLINK("http://141.218.60.56/~jnz1568/getInfo.php?workbook=12_04.xlsx&amp;sheet=U0&amp;row=7662&amp;col=7&amp;number=0.0236&amp;sourceID=14","0.0236")</f>
        <v>0.0236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HYPERLINK("http://141.218.60.56/~jnz1568/getInfo.php?workbook=12_04.xlsx&amp;sheet=U0&amp;row=7663&amp;col=6&amp;number=4.9&amp;sourceID=14","4.9")</f>
        <v>4.9</v>
      </c>
      <c r="G7663" s="4" t="str">
        <f>HYPERLINK("http://141.218.60.56/~jnz1568/getInfo.php?workbook=12_04.xlsx&amp;sheet=U0&amp;row=7663&amp;col=7&amp;number=0.0222&amp;sourceID=14","0.0222")</f>
        <v>0.0222</v>
      </c>
    </row>
    <row r="7664" spans="1:7">
      <c r="A7664" s="3">
        <v>12</v>
      </c>
      <c r="B7664" s="3">
        <v>4</v>
      </c>
      <c r="C7664" s="3">
        <v>5</v>
      </c>
      <c r="D7664" s="3">
        <v>7</v>
      </c>
      <c r="E7664" s="3">
        <v>1</v>
      </c>
      <c r="F7664" s="4" t="str">
        <f>HYPERLINK("http://141.218.60.56/~jnz1568/getInfo.php?workbook=12_04.xlsx&amp;sheet=U0&amp;row=7664&amp;col=6&amp;number=3&amp;sourceID=14","3")</f>
        <v>3</v>
      </c>
      <c r="G7664" s="4" t="str">
        <f>HYPERLINK("http://141.218.60.56/~jnz1568/getInfo.php?workbook=12_04.xlsx&amp;sheet=U0&amp;row=7664&amp;col=7&amp;number=0.0939&amp;sourceID=14","0.0939")</f>
        <v>0.0939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HYPERLINK("http://141.218.60.56/~jnz1568/getInfo.php?workbook=12_04.xlsx&amp;sheet=U0&amp;row=7665&amp;col=6&amp;number=3.1&amp;sourceID=14","3.1")</f>
        <v>3.1</v>
      </c>
      <c r="G7665" s="4" t="str">
        <f>HYPERLINK("http://141.218.60.56/~jnz1568/getInfo.php?workbook=12_04.xlsx&amp;sheet=U0&amp;row=7665&amp;col=7&amp;number=0.0938&amp;sourceID=14","0.0938")</f>
        <v>0.0938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HYPERLINK("http://141.218.60.56/~jnz1568/getInfo.php?workbook=12_04.xlsx&amp;sheet=U0&amp;row=7666&amp;col=6&amp;number=3.2&amp;sourceID=14","3.2")</f>
        <v>3.2</v>
      </c>
      <c r="G7666" s="4" t="str">
        <f>HYPERLINK("http://141.218.60.56/~jnz1568/getInfo.php?workbook=12_04.xlsx&amp;sheet=U0&amp;row=7666&amp;col=7&amp;number=0.0937&amp;sourceID=14","0.0937")</f>
        <v>0.0937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HYPERLINK("http://141.218.60.56/~jnz1568/getInfo.php?workbook=12_04.xlsx&amp;sheet=U0&amp;row=7667&amp;col=6&amp;number=3.3&amp;sourceID=14","3.3")</f>
        <v>3.3</v>
      </c>
      <c r="G7667" s="4" t="str">
        <f>HYPERLINK("http://141.218.60.56/~jnz1568/getInfo.php?workbook=12_04.xlsx&amp;sheet=U0&amp;row=7667&amp;col=7&amp;number=0.0935&amp;sourceID=14","0.0935")</f>
        <v>0.0935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HYPERLINK("http://141.218.60.56/~jnz1568/getInfo.php?workbook=12_04.xlsx&amp;sheet=U0&amp;row=7668&amp;col=6&amp;number=3.4&amp;sourceID=14","3.4")</f>
        <v>3.4</v>
      </c>
      <c r="G7668" s="4" t="str">
        <f>HYPERLINK("http://141.218.60.56/~jnz1568/getInfo.php?workbook=12_04.xlsx&amp;sheet=U0&amp;row=7668&amp;col=7&amp;number=0.0933&amp;sourceID=14","0.0933")</f>
        <v>0.0933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HYPERLINK("http://141.218.60.56/~jnz1568/getInfo.php?workbook=12_04.xlsx&amp;sheet=U0&amp;row=7669&amp;col=6&amp;number=3.5&amp;sourceID=14","3.5")</f>
        <v>3.5</v>
      </c>
      <c r="G7669" s="4" t="str">
        <f>HYPERLINK("http://141.218.60.56/~jnz1568/getInfo.php?workbook=12_04.xlsx&amp;sheet=U0&amp;row=7669&amp;col=7&amp;number=0.093&amp;sourceID=14","0.093")</f>
        <v>0.093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HYPERLINK("http://141.218.60.56/~jnz1568/getInfo.php?workbook=12_04.xlsx&amp;sheet=U0&amp;row=7670&amp;col=6&amp;number=3.6&amp;sourceID=14","3.6")</f>
        <v>3.6</v>
      </c>
      <c r="G7670" s="4" t="str">
        <f>HYPERLINK("http://141.218.60.56/~jnz1568/getInfo.php?workbook=12_04.xlsx&amp;sheet=U0&amp;row=7670&amp;col=7&amp;number=0.0927&amp;sourceID=14","0.0927")</f>
        <v>0.0927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HYPERLINK("http://141.218.60.56/~jnz1568/getInfo.php?workbook=12_04.xlsx&amp;sheet=U0&amp;row=7671&amp;col=6&amp;number=3.7&amp;sourceID=14","3.7")</f>
        <v>3.7</v>
      </c>
      <c r="G7671" s="4" t="str">
        <f>HYPERLINK("http://141.218.60.56/~jnz1568/getInfo.php?workbook=12_04.xlsx&amp;sheet=U0&amp;row=7671&amp;col=7&amp;number=0.0922&amp;sourceID=14","0.0922")</f>
        <v>0.0922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HYPERLINK("http://141.218.60.56/~jnz1568/getInfo.php?workbook=12_04.xlsx&amp;sheet=U0&amp;row=7672&amp;col=6&amp;number=3.8&amp;sourceID=14","3.8")</f>
        <v>3.8</v>
      </c>
      <c r="G7672" s="4" t="str">
        <f>HYPERLINK("http://141.218.60.56/~jnz1568/getInfo.php?workbook=12_04.xlsx&amp;sheet=U0&amp;row=7672&amp;col=7&amp;number=0.0917&amp;sourceID=14","0.0917")</f>
        <v>0.0917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HYPERLINK("http://141.218.60.56/~jnz1568/getInfo.php?workbook=12_04.xlsx&amp;sheet=U0&amp;row=7673&amp;col=6&amp;number=3.9&amp;sourceID=14","3.9")</f>
        <v>3.9</v>
      </c>
      <c r="G7673" s="4" t="str">
        <f>HYPERLINK("http://141.218.60.56/~jnz1568/getInfo.php?workbook=12_04.xlsx&amp;sheet=U0&amp;row=7673&amp;col=7&amp;number=0.0911&amp;sourceID=14","0.0911")</f>
        <v>0.0911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HYPERLINK("http://141.218.60.56/~jnz1568/getInfo.php?workbook=12_04.xlsx&amp;sheet=U0&amp;row=7674&amp;col=6&amp;number=4&amp;sourceID=14","4")</f>
        <v>4</v>
      </c>
      <c r="G7674" s="4" t="str">
        <f>HYPERLINK("http://141.218.60.56/~jnz1568/getInfo.php?workbook=12_04.xlsx&amp;sheet=U0&amp;row=7674&amp;col=7&amp;number=0.0902&amp;sourceID=14","0.0902")</f>
        <v>0.0902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HYPERLINK("http://141.218.60.56/~jnz1568/getInfo.php?workbook=12_04.xlsx&amp;sheet=U0&amp;row=7675&amp;col=6&amp;number=4.1&amp;sourceID=14","4.1")</f>
        <v>4.1</v>
      </c>
      <c r="G7675" s="4" t="str">
        <f>HYPERLINK("http://141.218.60.56/~jnz1568/getInfo.php?workbook=12_04.xlsx&amp;sheet=U0&amp;row=7675&amp;col=7&amp;number=0.0892&amp;sourceID=14","0.0892")</f>
        <v>0.0892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HYPERLINK("http://141.218.60.56/~jnz1568/getInfo.php?workbook=12_04.xlsx&amp;sheet=U0&amp;row=7676&amp;col=6&amp;number=4.2&amp;sourceID=14","4.2")</f>
        <v>4.2</v>
      </c>
      <c r="G7676" s="4" t="str">
        <f>HYPERLINK("http://141.218.60.56/~jnz1568/getInfo.php?workbook=12_04.xlsx&amp;sheet=U0&amp;row=7676&amp;col=7&amp;number=0.0879&amp;sourceID=14","0.0879")</f>
        <v>0.0879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HYPERLINK("http://141.218.60.56/~jnz1568/getInfo.php?workbook=12_04.xlsx&amp;sheet=U0&amp;row=7677&amp;col=6&amp;number=4.3&amp;sourceID=14","4.3")</f>
        <v>4.3</v>
      </c>
      <c r="G7677" s="4" t="str">
        <f>HYPERLINK("http://141.218.60.56/~jnz1568/getInfo.php?workbook=12_04.xlsx&amp;sheet=U0&amp;row=7677&amp;col=7&amp;number=0.0863&amp;sourceID=14","0.0863")</f>
        <v>0.0863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HYPERLINK("http://141.218.60.56/~jnz1568/getInfo.php?workbook=12_04.xlsx&amp;sheet=U0&amp;row=7678&amp;col=6&amp;number=4.4&amp;sourceID=14","4.4")</f>
        <v>4.4</v>
      </c>
      <c r="G7678" s="4" t="str">
        <f>HYPERLINK("http://141.218.60.56/~jnz1568/getInfo.php?workbook=12_04.xlsx&amp;sheet=U0&amp;row=7678&amp;col=7&amp;number=0.0843&amp;sourceID=14","0.0843")</f>
        <v>0.0843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HYPERLINK("http://141.218.60.56/~jnz1568/getInfo.php?workbook=12_04.xlsx&amp;sheet=U0&amp;row=7679&amp;col=6&amp;number=4.5&amp;sourceID=14","4.5")</f>
        <v>4.5</v>
      </c>
      <c r="G7679" s="4" t="str">
        <f>HYPERLINK("http://141.218.60.56/~jnz1568/getInfo.php?workbook=12_04.xlsx&amp;sheet=U0&amp;row=7679&amp;col=7&amp;number=0.082&amp;sourceID=14","0.082")</f>
        <v>0.082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HYPERLINK("http://141.218.60.56/~jnz1568/getInfo.php?workbook=12_04.xlsx&amp;sheet=U0&amp;row=7680&amp;col=6&amp;number=4.6&amp;sourceID=14","4.6")</f>
        <v>4.6</v>
      </c>
      <c r="G7680" s="4" t="str">
        <f>HYPERLINK("http://141.218.60.56/~jnz1568/getInfo.php?workbook=12_04.xlsx&amp;sheet=U0&amp;row=7680&amp;col=7&amp;number=0.0791&amp;sourceID=14","0.0791")</f>
        <v>0.0791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HYPERLINK("http://141.218.60.56/~jnz1568/getInfo.php?workbook=12_04.xlsx&amp;sheet=U0&amp;row=7681&amp;col=6&amp;number=4.7&amp;sourceID=14","4.7")</f>
        <v>4.7</v>
      </c>
      <c r="G7681" s="4" t="str">
        <f>HYPERLINK("http://141.218.60.56/~jnz1568/getInfo.php?workbook=12_04.xlsx&amp;sheet=U0&amp;row=7681&amp;col=7&amp;number=0.0757&amp;sourceID=14","0.0757")</f>
        <v>0.0757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HYPERLINK("http://141.218.60.56/~jnz1568/getInfo.php?workbook=12_04.xlsx&amp;sheet=U0&amp;row=7682&amp;col=6&amp;number=4.8&amp;sourceID=14","4.8")</f>
        <v>4.8</v>
      </c>
      <c r="G7682" s="4" t="str">
        <f>HYPERLINK("http://141.218.60.56/~jnz1568/getInfo.php?workbook=12_04.xlsx&amp;sheet=U0&amp;row=7682&amp;col=7&amp;number=0.0718&amp;sourceID=14","0.0718")</f>
        <v>0.0718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HYPERLINK("http://141.218.60.56/~jnz1568/getInfo.php?workbook=12_04.xlsx&amp;sheet=U0&amp;row=7683&amp;col=6&amp;number=4.9&amp;sourceID=14","4.9")</f>
        <v>4.9</v>
      </c>
      <c r="G7683" s="4" t="str">
        <f>HYPERLINK("http://141.218.60.56/~jnz1568/getInfo.php?workbook=12_04.xlsx&amp;sheet=U0&amp;row=7683&amp;col=7&amp;number=0.0676&amp;sourceID=14","0.0676")</f>
        <v>0.0676</v>
      </c>
    </row>
    <row r="7684" spans="1:7">
      <c r="A7684" s="3">
        <v>12</v>
      </c>
      <c r="B7684" s="3">
        <v>4</v>
      </c>
      <c r="C7684" s="3">
        <v>5</v>
      </c>
      <c r="D7684" s="3">
        <v>8</v>
      </c>
      <c r="E7684" s="3">
        <v>1</v>
      </c>
      <c r="F7684" s="4" t="str">
        <f>HYPERLINK("http://141.218.60.56/~jnz1568/getInfo.php?workbook=12_04.xlsx&amp;sheet=U0&amp;row=7684&amp;col=6&amp;number=3&amp;sourceID=14","3")</f>
        <v>3</v>
      </c>
      <c r="G7684" s="4" t="str">
        <f>HYPERLINK("http://141.218.60.56/~jnz1568/getInfo.php?workbook=12_04.xlsx&amp;sheet=U0&amp;row=7684&amp;col=7&amp;number=0.123&amp;sourceID=14","0.123")</f>
        <v>0.123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HYPERLINK("http://141.218.60.56/~jnz1568/getInfo.php?workbook=12_04.xlsx&amp;sheet=U0&amp;row=7685&amp;col=6&amp;number=3.1&amp;sourceID=14","3.1")</f>
        <v>3.1</v>
      </c>
      <c r="G7685" s="4" t="str">
        <f>HYPERLINK("http://141.218.60.56/~jnz1568/getInfo.php?workbook=12_04.xlsx&amp;sheet=U0&amp;row=7685&amp;col=7&amp;number=0.123&amp;sourceID=14","0.123")</f>
        <v>0.123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HYPERLINK("http://141.218.60.56/~jnz1568/getInfo.php?workbook=12_04.xlsx&amp;sheet=U0&amp;row=7686&amp;col=6&amp;number=3.2&amp;sourceID=14","3.2")</f>
        <v>3.2</v>
      </c>
      <c r="G7686" s="4" t="str">
        <f>HYPERLINK("http://141.218.60.56/~jnz1568/getInfo.php?workbook=12_04.xlsx&amp;sheet=U0&amp;row=7686&amp;col=7&amp;number=0.123&amp;sourceID=14","0.123")</f>
        <v>0.123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HYPERLINK("http://141.218.60.56/~jnz1568/getInfo.php?workbook=12_04.xlsx&amp;sheet=U0&amp;row=7687&amp;col=6&amp;number=3.3&amp;sourceID=14","3.3")</f>
        <v>3.3</v>
      </c>
      <c r="G7687" s="4" t="str">
        <f>HYPERLINK("http://141.218.60.56/~jnz1568/getInfo.php?workbook=12_04.xlsx&amp;sheet=U0&amp;row=7687&amp;col=7&amp;number=0.123&amp;sourceID=14","0.123")</f>
        <v>0.123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HYPERLINK("http://141.218.60.56/~jnz1568/getInfo.php?workbook=12_04.xlsx&amp;sheet=U0&amp;row=7688&amp;col=6&amp;number=3.4&amp;sourceID=14","3.4")</f>
        <v>3.4</v>
      </c>
      <c r="G7688" s="4" t="str">
        <f>HYPERLINK("http://141.218.60.56/~jnz1568/getInfo.php?workbook=12_04.xlsx&amp;sheet=U0&amp;row=7688&amp;col=7&amp;number=0.123&amp;sourceID=14","0.123")</f>
        <v>0.123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HYPERLINK("http://141.218.60.56/~jnz1568/getInfo.php?workbook=12_04.xlsx&amp;sheet=U0&amp;row=7689&amp;col=6&amp;number=3.5&amp;sourceID=14","3.5")</f>
        <v>3.5</v>
      </c>
      <c r="G7689" s="4" t="str">
        <f>HYPERLINK("http://141.218.60.56/~jnz1568/getInfo.php?workbook=12_04.xlsx&amp;sheet=U0&amp;row=7689&amp;col=7&amp;number=0.123&amp;sourceID=14","0.123")</f>
        <v>0.123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HYPERLINK("http://141.218.60.56/~jnz1568/getInfo.php?workbook=12_04.xlsx&amp;sheet=U0&amp;row=7690&amp;col=6&amp;number=3.6&amp;sourceID=14","3.6")</f>
        <v>3.6</v>
      </c>
      <c r="G7690" s="4" t="str">
        <f>HYPERLINK("http://141.218.60.56/~jnz1568/getInfo.php?workbook=12_04.xlsx&amp;sheet=U0&amp;row=7690&amp;col=7&amp;number=0.122&amp;sourceID=14","0.122")</f>
        <v>0.122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HYPERLINK("http://141.218.60.56/~jnz1568/getInfo.php?workbook=12_04.xlsx&amp;sheet=U0&amp;row=7691&amp;col=6&amp;number=3.7&amp;sourceID=14","3.7")</f>
        <v>3.7</v>
      </c>
      <c r="G7691" s="4" t="str">
        <f>HYPERLINK("http://141.218.60.56/~jnz1568/getInfo.php?workbook=12_04.xlsx&amp;sheet=U0&amp;row=7691&amp;col=7&amp;number=0.122&amp;sourceID=14","0.122")</f>
        <v>0.122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HYPERLINK("http://141.218.60.56/~jnz1568/getInfo.php?workbook=12_04.xlsx&amp;sheet=U0&amp;row=7692&amp;col=6&amp;number=3.8&amp;sourceID=14","3.8")</f>
        <v>3.8</v>
      </c>
      <c r="G7692" s="4" t="str">
        <f>HYPERLINK("http://141.218.60.56/~jnz1568/getInfo.php?workbook=12_04.xlsx&amp;sheet=U0&amp;row=7692&amp;col=7&amp;number=0.122&amp;sourceID=14","0.122")</f>
        <v>0.122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HYPERLINK("http://141.218.60.56/~jnz1568/getInfo.php?workbook=12_04.xlsx&amp;sheet=U0&amp;row=7693&amp;col=6&amp;number=3.9&amp;sourceID=14","3.9")</f>
        <v>3.9</v>
      </c>
      <c r="G7693" s="4" t="str">
        <f>HYPERLINK("http://141.218.60.56/~jnz1568/getInfo.php?workbook=12_04.xlsx&amp;sheet=U0&amp;row=7693&amp;col=7&amp;number=0.122&amp;sourceID=14","0.122")</f>
        <v>0.122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HYPERLINK("http://141.218.60.56/~jnz1568/getInfo.php?workbook=12_04.xlsx&amp;sheet=U0&amp;row=7694&amp;col=6&amp;number=4&amp;sourceID=14","4")</f>
        <v>4</v>
      </c>
      <c r="G7694" s="4" t="str">
        <f>HYPERLINK("http://141.218.60.56/~jnz1568/getInfo.php?workbook=12_04.xlsx&amp;sheet=U0&amp;row=7694&amp;col=7&amp;number=0.122&amp;sourceID=14","0.122")</f>
        <v>0.122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HYPERLINK("http://141.218.60.56/~jnz1568/getInfo.php?workbook=12_04.xlsx&amp;sheet=U0&amp;row=7695&amp;col=6&amp;number=4.1&amp;sourceID=14","4.1")</f>
        <v>4.1</v>
      </c>
      <c r="G7695" s="4" t="str">
        <f>HYPERLINK("http://141.218.60.56/~jnz1568/getInfo.php?workbook=12_04.xlsx&amp;sheet=U0&amp;row=7695&amp;col=7&amp;number=0.122&amp;sourceID=14","0.122")</f>
        <v>0.122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HYPERLINK("http://141.218.60.56/~jnz1568/getInfo.php?workbook=12_04.xlsx&amp;sheet=U0&amp;row=7696&amp;col=6&amp;number=4.2&amp;sourceID=14","4.2")</f>
        <v>4.2</v>
      </c>
      <c r="G7696" s="4" t="str">
        <f>HYPERLINK("http://141.218.60.56/~jnz1568/getInfo.php?workbook=12_04.xlsx&amp;sheet=U0&amp;row=7696&amp;col=7&amp;number=0.121&amp;sourceID=14","0.121")</f>
        <v>0.121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HYPERLINK("http://141.218.60.56/~jnz1568/getInfo.php?workbook=12_04.xlsx&amp;sheet=U0&amp;row=7697&amp;col=6&amp;number=4.3&amp;sourceID=14","4.3")</f>
        <v>4.3</v>
      </c>
      <c r="G7697" s="4" t="str">
        <f>HYPERLINK("http://141.218.60.56/~jnz1568/getInfo.php?workbook=12_04.xlsx&amp;sheet=U0&amp;row=7697&amp;col=7&amp;number=0.121&amp;sourceID=14","0.121")</f>
        <v>0.121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HYPERLINK("http://141.218.60.56/~jnz1568/getInfo.php?workbook=12_04.xlsx&amp;sheet=U0&amp;row=7698&amp;col=6&amp;number=4.4&amp;sourceID=14","4.4")</f>
        <v>4.4</v>
      </c>
      <c r="G7698" s="4" t="str">
        <f>HYPERLINK("http://141.218.60.56/~jnz1568/getInfo.php?workbook=12_04.xlsx&amp;sheet=U0&amp;row=7698&amp;col=7&amp;number=0.121&amp;sourceID=14","0.121")</f>
        <v>0.121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HYPERLINK("http://141.218.60.56/~jnz1568/getInfo.php?workbook=12_04.xlsx&amp;sheet=U0&amp;row=7699&amp;col=6&amp;number=4.5&amp;sourceID=14","4.5")</f>
        <v>4.5</v>
      </c>
      <c r="G7699" s="4" t="str">
        <f>HYPERLINK("http://141.218.60.56/~jnz1568/getInfo.php?workbook=12_04.xlsx&amp;sheet=U0&amp;row=7699&amp;col=7&amp;number=0.12&amp;sourceID=14","0.12")</f>
        <v>0.12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HYPERLINK("http://141.218.60.56/~jnz1568/getInfo.php?workbook=12_04.xlsx&amp;sheet=U0&amp;row=7700&amp;col=6&amp;number=4.6&amp;sourceID=14","4.6")</f>
        <v>4.6</v>
      </c>
      <c r="G7700" s="4" t="str">
        <f>HYPERLINK("http://141.218.60.56/~jnz1568/getInfo.php?workbook=12_04.xlsx&amp;sheet=U0&amp;row=7700&amp;col=7&amp;number=0.119&amp;sourceID=14","0.119")</f>
        <v>0.119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HYPERLINK("http://141.218.60.56/~jnz1568/getInfo.php?workbook=12_04.xlsx&amp;sheet=U0&amp;row=7701&amp;col=6&amp;number=4.7&amp;sourceID=14","4.7")</f>
        <v>4.7</v>
      </c>
      <c r="G7701" s="4" t="str">
        <f>HYPERLINK("http://141.218.60.56/~jnz1568/getInfo.php?workbook=12_04.xlsx&amp;sheet=U0&amp;row=7701&amp;col=7&amp;number=0.118&amp;sourceID=14","0.118")</f>
        <v>0.118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HYPERLINK("http://141.218.60.56/~jnz1568/getInfo.php?workbook=12_04.xlsx&amp;sheet=U0&amp;row=7702&amp;col=6&amp;number=4.8&amp;sourceID=14","4.8")</f>
        <v>4.8</v>
      </c>
      <c r="G7702" s="4" t="str">
        <f>HYPERLINK("http://141.218.60.56/~jnz1568/getInfo.php?workbook=12_04.xlsx&amp;sheet=U0&amp;row=7702&amp;col=7&amp;number=0.117&amp;sourceID=14","0.117")</f>
        <v>0.117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HYPERLINK("http://141.218.60.56/~jnz1568/getInfo.php?workbook=12_04.xlsx&amp;sheet=U0&amp;row=7703&amp;col=6&amp;number=4.9&amp;sourceID=14","4.9")</f>
        <v>4.9</v>
      </c>
      <c r="G7703" s="4" t="str">
        <f>HYPERLINK("http://141.218.60.56/~jnz1568/getInfo.php?workbook=12_04.xlsx&amp;sheet=U0&amp;row=7703&amp;col=7&amp;number=0.115&amp;sourceID=14","0.115")</f>
        <v>0.115</v>
      </c>
    </row>
    <row r="7704" spans="1:7">
      <c r="A7704" s="3">
        <v>12</v>
      </c>
      <c r="B7704" s="3">
        <v>4</v>
      </c>
      <c r="C7704" s="3">
        <v>5</v>
      </c>
      <c r="D7704" s="3">
        <v>9</v>
      </c>
      <c r="E7704" s="3">
        <v>1</v>
      </c>
      <c r="F7704" s="4" t="str">
        <f>HYPERLINK("http://141.218.60.56/~jnz1568/getInfo.php?workbook=12_04.xlsx&amp;sheet=U0&amp;row=7704&amp;col=6&amp;number=3&amp;sourceID=14","3")</f>
        <v>3</v>
      </c>
      <c r="G7704" s="4" t="str">
        <f>HYPERLINK("http://141.218.60.56/~jnz1568/getInfo.php?workbook=12_04.xlsx&amp;sheet=U0&amp;row=7704&amp;col=7&amp;number=3.68&amp;sourceID=14","3.68")</f>
        <v>3.68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HYPERLINK("http://141.218.60.56/~jnz1568/getInfo.php?workbook=12_04.xlsx&amp;sheet=U0&amp;row=7705&amp;col=6&amp;number=3.1&amp;sourceID=14","3.1")</f>
        <v>3.1</v>
      </c>
      <c r="G7705" s="4" t="str">
        <f>HYPERLINK("http://141.218.60.56/~jnz1568/getInfo.php?workbook=12_04.xlsx&amp;sheet=U0&amp;row=7705&amp;col=7&amp;number=3.68&amp;sourceID=14","3.68")</f>
        <v>3.68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HYPERLINK("http://141.218.60.56/~jnz1568/getInfo.php?workbook=12_04.xlsx&amp;sheet=U0&amp;row=7706&amp;col=6&amp;number=3.2&amp;sourceID=14","3.2")</f>
        <v>3.2</v>
      </c>
      <c r="G7706" s="4" t="str">
        <f>HYPERLINK("http://141.218.60.56/~jnz1568/getInfo.php?workbook=12_04.xlsx&amp;sheet=U0&amp;row=7706&amp;col=7&amp;number=3.68&amp;sourceID=14","3.68")</f>
        <v>3.68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HYPERLINK("http://141.218.60.56/~jnz1568/getInfo.php?workbook=12_04.xlsx&amp;sheet=U0&amp;row=7707&amp;col=6&amp;number=3.3&amp;sourceID=14","3.3")</f>
        <v>3.3</v>
      </c>
      <c r="G7707" s="4" t="str">
        <f>HYPERLINK("http://141.218.60.56/~jnz1568/getInfo.php?workbook=12_04.xlsx&amp;sheet=U0&amp;row=7707&amp;col=7&amp;number=3.68&amp;sourceID=14","3.68")</f>
        <v>3.68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HYPERLINK("http://141.218.60.56/~jnz1568/getInfo.php?workbook=12_04.xlsx&amp;sheet=U0&amp;row=7708&amp;col=6&amp;number=3.4&amp;sourceID=14","3.4")</f>
        <v>3.4</v>
      </c>
      <c r="G7708" s="4" t="str">
        <f>HYPERLINK("http://141.218.60.56/~jnz1568/getInfo.php?workbook=12_04.xlsx&amp;sheet=U0&amp;row=7708&amp;col=7&amp;number=3.68&amp;sourceID=14","3.68")</f>
        <v>3.68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HYPERLINK("http://141.218.60.56/~jnz1568/getInfo.php?workbook=12_04.xlsx&amp;sheet=U0&amp;row=7709&amp;col=6&amp;number=3.5&amp;sourceID=14","3.5")</f>
        <v>3.5</v>
      </c>
      <c r="G7709" s="4" t="str">
        <f>HYPERLINK("http://141.218.60.56/~jnz1568/getInfo.php?workbook=12_04.xlsx&amp;sheet=U0&amp;row=7709&amp;col=7&amp;number=3.68&amp;sourceID=14","3.68")</f>
        <v>3.68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HYPERLINK("http://141.218.60.56/~jnz1568/getInfo.php?workbook=12_04.xlsx&amp;sheet=U0&amp;row=7710&amp;col=6&amp;number=3.6&amp;sourceID=14","3.6")</f>
        <v>3.6</v>
      </c>
      <c r="G7710" s="4" t="str">
        <f>HYPERLINK("http://141.218.60.56/~jnz1568/getInfo.php?workbook=12_04.xlsx&amp;sheet=U0&amp;row=7710&amp;col=7&amp;number=3.69&amp;sourceID=14","3.69")</f>
        <v>3.69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HYPERLINK("http://141.218.60.56/~jnz1568/getInfo.php?workbook=12_04.xlsx&amp;sheet=U0&amp;row=7711&amp;col=6&amp;number=3.7&amp;sourceID=14","3.7")</f>
        <v>3.7</v>
      </c>
      <c r="G7711" s="4" t="str">
        <f>HYPERLINK("http://141.218.60.56/~jnz1568/getInfo.php?workbook=12_04.xlsx&amp;sheet=U0&amp;row=7711&amp;col=7&amp;number=3.69&amp;sourceID=14","3.69")</f>
        <v>3.69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HYPERLINK("http://141.218.60.56/~jnz1568/getInfo.php?workbook=12_04.xlsx&amp;sheet=U0&amp;row=7712&amp;col=6&amp;number=3.8&amp;sourceID=14","3.8")</f>
        <v>3.8</v>
      </c>
      <c r="G7712" s="4" t="str">
        <f>HYPERLINK("http://141.218.60.56/~jnz1568/getInfo.php?workbook=12_04.xlsx&amp;sheet=U0&amp;row=7712&amp;col=7&amp;number=3.69&amp;sourceID=14","3.69")</f>
        <v>3.69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HYPERLINK("http://141.218.60.56/~jnz1568/getInfo.php?workbook=12_04.xlsx&amp;sheet=U0&amp;row=7713&amp;col=6&amp;number=3.9&amp;sourceID=14","3.9")</f>
        <v>3.9</v>
      </c>
      <c r="G7713" s="4" t="str">
        <f>HYPERLINK("http://141.218.60.56/~jnz1568/getInfo.php?workbook=12_04.xlsx&amp;sheet=U0&amp;row=7713&amp;col=7&amp;number=3.69&amp;sourceID=14","3.69")</f>
        <v>3.69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HYPERLINK("http://141.218.60.56/~jnz1568/getInfo.php?workbook=12_04.xlsx&amp;sheet=U0&amp;row=7714&amp;col=6&amp;number=4&amp;sourceID=14","4")</f>
        <v>4</v>
      </c>
      <c r="G7714" s="4" t="str">
        <f>HYPERLINK("http://141.218.60.56/~jnz1568/getInfo.php?workbook=12_04.xlsx&amp;sheet=U0&amp;row=7714&amp;col=7&amp;number=3.7&amp;sourceID=14","3.7")</f>
        <v>3.7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HYPERLINK("http://141.218.60.56/~jnz1568/getInfo.php?workbook=12_04.xlsx&amp;sheet=U0&amp;row=7715&amp;col=6&amp;number=4.1&amp;sourceID=14","4.1")</f>
        <v>4.1</v>
      </c>
      <c r="G7715" s="4" t="str">
        <f>HYPERLINK("http://141.218.60.56/~jnz1568/getInfo.php?workbook=12_04.xlsx&amp;sheet=U0&amp;row=7715&amp;col=7&amp;number=3.7&amp;sourceID=14","3.7")</f>
        <v>3.7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HYPERLINK("http://141.218.60.56/~jnz1568/getInfo.php?workbook=12_04.xlsx&amp;sheet=U0&amp;row=7716&amp;col=6&amp;number=4.2&amp;sourceID=14","4.2")</f>
        <v>4.2</v>
      </c>
      <c r="G7716" s="4" t="str">
        <f>HYPERLINK("http://141.218.60.56/~jnz1568/getInfo.php?workbook=12_04.xlsx&amp;sheet=U0&amp;row=7716&amp;col=7&amp;number=3.71&amp;sourceID=14","3.71")</f>
        <v>3.71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HYPERLINK("http://141.218.60.56/~jnz1568/getInfo.php?workbook=12_04.xlsx&amp;sheet=U0&amp;row=7717&amp;col=6&amp;number=4.3&amp;sourceID=14","4.3")</f>
        <v>4.3</v>
      </c>
      <c r="G7717" s="4" t="str">
        <f>HYPERLINK("http://141.218.60.56/~jnz1568/getInfo.php?workbook=12_04.xlsx&amp;sheet=U0&amp;row=7717&amp;col=7&amp;number=3.72&amp;sourceID=14","3.72")</f>
        <v>3.72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HYPERLINK("http://141.218.60.56/~jnz1568/getInfo.php?workbook=12_04.xlsx&amp;sheet=U0&amp;row=7718&amp;col=6&amp;number=4.4&amp;sourceID=14","4.4")</f>
        <v>4.4</v>
      </c>
      <c r="G7718" s="4" t="str">
        <f>HYPERLINK("http://141.218.60.56/~jnz1568/getInfo.php?workbook=12_04.xlsx&amp;sheet=U0&amp;row=7718&amp;col=7&amp;number=3.73&amp;sourceID=14","3.73")</f>
        <v>3.73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HYPERLINK("http://141.218.60.56/~jnz1568/getInfo.php?workbook=12_04.xlsx&amp;sheet=U0&amp;row=7719&amp;col=6&amp;number=4.5&amp;sourceID=14","4.5")</f>
        <v>4.5</v>
      </c>
      <c r="G7719" s="4" t="str">
        <f>HYPERLINK("http://141.218.60.56/~jnz1568/getInfo.php?workbook=12_04.xlsx&amp;sheet=U0&amp;row=7719&amp;col=7&amp;number=3.74&amp;sourceID=14","3.74")</f>
        <v>3.74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HYPERLINK("http://141.218.60.56/~jnz1568/getInfo.php?workbook=12_04.xlsx&amp;sheet=U0&amp;row=7720&amp;col=6&amp;number=4.6&amp;sourceID=14","4.6")</f>
        <v>4.6</v>
      </c>
      <c r="G7720" s="4" t="str">
        <f>HYPERLINK("http://141.218.60.56/~jnz1568/getInfo.php?workbook=12_04.xlsx&amp;sheet=U0&amp;row=7720&amp;col=7&amp;number=3.75&amp;sourceID=14","3.75")</f>
        <v>3.75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HYPERLINK("http://141.218.60.56/~jnz1568/getInfo.php?workbook=12_04.xlsx&amp;sheet=U0&amp;row=7721&amp;col=6&amp;number=4.7&amp;sourceID=14","4.7")</f>
        <v>4.7</v>
      </c>
      <c r="G7721" s="4" t="str">
        <f>HYPERLINK("http://141.218.60.56/~jnz1568/getInfo.php?workbook=12_04.xlsx&amp;sheet=U0&amp;row=7721&amp;col=7&amp;number=3.76&amp;sourceID=14","3.76")</f>
        <v>3.76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HYPERLINK("http://141.218.60.56/~jnz1568/getInfo.php?workbook=12_04.xlsx&amp;sheet=U0&amp;row=7722&amp;col=6&amp;number=4.8&amp;sourceID=14","4.8")</f>
        <v>4.8</v>
      </c>
      <c r="G7722" s="4" t="str">
        <f>HYPERLINK("http://141.218.60.56/~jnz1568/getInfo.php?workbook=12_04.xlsx&amp;sheet=U0&amp;row=7722&amp;col=7&amp;number=3.77&amp;sourceID=14","3.77")</f>
        <v>3.77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HYPERLINK("http://141.218.60.56/~jnz1568/getInfo.php?workbook=12_04.xlsx&amp;sheet=U0&amp;row=7723&amp;col=6&amp;number=4.9&amp;sourceID=14","4.9")</f>
        <v>4.9</v>
      </c>
      <c r="G7723" s="4" t="str">
        <f>HYPERLINK("http://141.218.60.56/~jnz1568/getInfo.php?workbook=12_04.xlsx&amp;sheet=U0&amp;row=7723&amp;col=7&amp;number=3.78&amp;sourceID=14","3.78")</f>
        <v>3.78</v>
      </c>
    </row>
    <row r="7724" spans="1:7">
      <c r="A7724" s="3">
        <v>12</v>
      </c>
      <c r="B7724" s="3">
        <v>4</v>
      </c>
      <c r="C7724" s="3">
        <v>5</v>
      </c>
      <c r="D7724" s="3">
        <v>10</v>
      </c>
      <c r="E7724" s="3">
        <v>1</v>
      </c>
      <c r="F7724" s="4" t="str">
        <f>HYPERLINK("http://141.218.60.56/~jnz1568/getInfo.php?workbook=12_04.xlsx&amp;sheet=U0&amp;row=7724&amp;col=6&amp;number=3&amp;sourceID=14","3")</f>
        <v>3</v>
      </c>
      <c r="G7724" s="4" t="str">
        <f>HYPERLINK("http://141.218.60.56/~jnz1568/getInfo.php?workbook=12_04.xlsx&amp;sheet=U0&amp;row=7724&amp;col=7&amp;number=1.14&amp;sourceID=14","1.14")</f>
        <v>1.14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HYPERLINK("http://141.218.60.56/~jnz1568/getInfo.php?workbook=12_04.xlsx&amp;sheet=U0&amp;row=7725&amp;col=6&amp;number=3.1&amp;sourceID=14","3.1")</f>
        <v>3.1</v>
      </c>
      <c r="G7725" s="4" t="str">
        <f>HYPERLINK("http://141.218.60.56/~jnz1568/getInfo.php?workbook=12_04.xlsx&amp;sheet=U0&amp;row=7725&amp;col=7&amp;number=1.14&amp;sourceID=14","1.14")</f>
        <v>1.14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HYPERLINK("http://141.218.60.56/~jnz1568/getInfo.php?workbook=12_04.xlsx&amp;sheet=U0&amp;row=7726&amp;col=6&amp;number=3.2&amp;sourceID=14","3.2")</f>
        <v>3.2</v>
      </c>
      <c r="G7726" s="4" t="str">
        <f>HYPERLINK("http://141.218.60.56/~jnz1568/getInfo.php?workbook=12_04.xlsx&amp;sheet=U0&amp;row=7726&amp;col=7&amp;number=1.14&amp;sourceID=14","1.14")</f>
        <v>1.14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HYPERLINK("http://141.218.60.56/~jnz1568/getInfo.php?workbook=12_04.xlsx&amp;sheet=U0&amp;row=7727&amp;col=6&amp;number=3.3&amp;sourceID=14","3.3")</f>
        <v>3.3</v>
      </c>
      <c r="G7727" s="4" t="str">
        <f>HYPERLINK("http://141.218.60.56/~jnz1568/getInfo.php?workbook=12_04.xlsx&amp;sheet=U0&amp;row=7727&amp;col=7&amp;number=1.14&amp;sourceID=14","1.14")</f>
        <v>1.14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HYPERLINK("http://141.218.60.56/~jnz1568/getInfo.php?workbook=12_04.xlsx&amp;sheet=U0&amp;row=7728&amp;col=6&amp;number=3.4&amp;sourceID=14","3.4")</f>
        <v>3.4</v>
      </c>
      <c r="G7728" s="4" t="str">
        <f>HYPERLINK("http://141.218.60.56/~jnz1568/getInfo.php?workbook=12_04.xlsx&amp;sheet=U0&amp;row=7728&amp;col=7&amp;number=1.14&amp;sourceID=14","1.14")</f>
        <v>1.14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HYPERLINK("http://141.218.60.56/~jnz1568/getInfo.php?workbook=12_04.xlsx&amp;sheet=U0&amp;row=7729&amp;col=6&amp;number=3.5&amp;sourceID=14","3.5")</f>
        <v>3.5</v>
      </c>
      <c r="G7729" s="4" t="str">
        <f>HYPERLINK("http://141.218.60.56/~jnz1568/getInfo.php?workbook=12_04.xlsx&amp;sheet=U0&amp;row=7729&amp;col=7&amp;number=1.14&amp;sourceID=14","1.14")</f>
        <v>1.14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HYPERLINK("http://141.218.60.56/~jnz1568/getInfo.php?workbook=12_04.xlsx&amp;sheet=U0&amp;row=7730&amp;col=6&amp;number=3.6&amp;sourceID=14","3.6")</f>
        <v>3.6</v>
      </c>
      <c r="G7730" s="4" t="str">
        <f>HYPERLINK("http://141.218.60.56/~jnz1568/getInfo.php?workbook=12_04.xlsx&amp;sheet=U0&amp;row=7730&amp;col=7&amp;number=1.15&amp;sourceID=14","1.15")</f>
        <v>1.15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HYPERLINK("http://141.218.60.56/~jnz1568/getInfo.php?workbook=12_04.xlsx&amp;sheet=U0&amp;row=7731&amp;col=6&amp;number=3.7&amp;sourceID=14","3.7")</f>
        <v>3.7</v>
      </c>
      <c r="G7731" s="4" t="str">
        <f>HYPERLINK("http://141.218.60.56/~jnz1568/getInfo.php?workbook=12_04.xlsx&amp;sheet=U0&amp;row=7731&amp;col=7&amp;number=1.15&amp;sourceID=14","1.15")</f>
        <v>1.15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HYPERLINK("http://141.218.60.56/~jnz1568/getInfo.php?workbook=12_04.xlsx&amp;sheet=U0&amp;row=7732&amp;col=6&amp;number=3.8&amp;sourceID=14","3.8")</f>
        <v>3.8</v>
      </c>
      <c r="G7732" s="4" t="str">
        <f>HYPERLINK("http://141.218.60.56/~jnz1568/getInfo.php?workbook=12_04.xlsx&amp;sheet=U0&amp;row=7732&amp;col=7&amp;number=1.15&amp;sourceID=14","1.15")</f>
        <v>1.15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HYPERLINK("http://141.218.60.56/~jnz1568/getInfo.php?workbook=12_04.xlsx&amp;sheet=U0&amp;row=7733&amp;col=6&amp;number=3.9&amp;sourceID=14","3.9")</f>
        <v>3.9</v>
      </c>
      <c r="G7733" s="4" t="str">
        <f>HYPERLINK("http://141.218.60.56/~jnz1568/getInfo.php?workbook=12_04.xlsx&amp;sheet=U0&amp;row=7733&amp;col=7&amp;number=1.15&amp;sourceID=14","1.15")</f>
        <v>1.15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HYPERLINK("http://141.218.60.56/~jnz1568/getInfo.php?workbook=12_04.xlsx&amp;sheet=U0&amp;row=7734&amp;col=6&amp;number=4&amp;sourceID=14","4")</f>
        <v>4</v>
      </c>
      <c r="G7734" s="4" t="str">
        <f>HYPERLINK("http://141.218.60.56/~jnz1568/getInfo.php?workbook=12_04.xlsx&amp;sheet=U0&amp;row=7734&amp;col=7&amp;number=1.15&amp;sourceID=14","1.15")</f>
        <v>1.15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HYPERLINK("http://141.218.60.56/~jnz1568/getInfo.php?workbook=12_04.xlsx&amp;sheet=U0&amp;row=7735&amp;col=6&amp;number=4.1&amp;sourceID=14","4.1")</f>
        <v>4.1</v>
      </c>
      <c r="G7735" s="4" t="str">
        <f>HYPERLINK("http://141.218.60.56/~jnz1568/getInfo.php?workbook=12_04.xlsx&amp;sheet=U0&amp;row=7735&amp;col=7&amp;number=1.15&amp;sourceID=14","1.15")</f>
        <v>1.15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HYPERLINK("http://141.218.60.56/~jnz1568/getInfo.php?workbook=12_04.xlsx&amp;sheet=U0&amp;row=7736&amp;col=6&amp;number=4.2&amp;sourceID=14","4.2")</f>
        <v>4.2</v>
      </c>
      <c r="G7736" s="4" t="str">
        <f>HYPERLINK("http://141.218.60.56/~jnz1568/getInfo.php?workbook=12_04.xlsx&amp;sheet=U0&amp;row=7736&amp;col=7&amp;number=1.15&amp;sourceID=14","1.15")</f>
        <v>1.15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HYPERLINK("http://141.218.60.56/~jnz1568/getInfo.php?workbook=12_04.xlsx&amp;sheet=U0&amp;row=7737&amp;col=6&amp;number=4.3&amp;sourceID=14","4.3")</f>
        <v>4.3</v>
      </c>
      <c r="G7737" s="4" t="str">
        <f>HYPERLINK("http://141.218.60.56/~jnz1568/getInfo.php?workbook=12_04.xlsx&amp;sheet=U0&amp;row=7737&amp;col=7&amp;number=1.15&amp;sourceID=14","1.15")</f>
        <v>1.15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HYPERLINK("http://141.218.60.56/~jnz1568/getInfo.php?workbook=12_04.xlsx&amp;sheet=U0&amp;row=7738&amp;col=6&amp;number=4.4&amp;sourceID=14","4.4")</f>
        <v>4.4</v>
      </c>
      <c r="G7738" s="4" t="str">
        <f>HYPERLINK("http://141.218.60.56/~jnz1568/getInfo.php?workbook=12_04.xlsx&amp;sheet=U0&amp;row=7738&amp;col=7&amp;number=1.15&amp;sourceID=14","1.15")</f>
        <v>1.15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HYPERLINK("http://141.218.60.56/~jnz1568/getInfo.php?workbook=12_04.xlsx&amp;sheet=U0&amp;row=7739&amp;col=6&amp;number=4.5&amp;sourceID=14","4.5")</f>
        <v>4.5</v>
      </c>
      <c r="G7739" s="4" t="str">
        <f>HYPERLINK("http://141.218.60.56/~jnz1568/getInfo.php?workbook=12_04.xlsx&amp;sheet=U0&amp;row=7739&amp;col=7&amp;number=1.15&amp;sourceID=14","1.15")</f>
        <v>1.15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HYPERLINK("http://141.218.60.56/~jnz1568/getInfo.php?workbook=12_04.xlsx&amp;sheet=U0&amp;row=7740&amp;col=6&amp;number=4.6&amp;sourceID=14","4.6")</f>
        <v>4.6</v>
      </c>
      <c r="G7740" s="4" t="str">
        <f>HYPERLINK("http://141.218.60.56/~jnz1568/getInfo.php?workbook=12_04.xlsx&amp;sheet=U0&amp;row=7740&amp;col=7&amp;number=1.16&amp;sourceID=14","1.16")</f>
        <v>1.16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HYPERLINK("http://141.218.60.56/~jnz1568/getInfo.php?workbook=12_04.xlsx&amp;sheet=U0&amp;row=7741&amp;col=6&amp;number=4.7&amp;sourceID=14","4.7")</f>
        <v>4.7</v>
      </c>
      <c r="G7741" s="4" t="str">
        <f>HYPERLINK("http://141.218.60.56/~jnz1568/getInfo.php?workbook=12_04.xlsx&amp;sheet=U0&amp;row=7741&amp;col=7&amp;number=1.16&amp;sourceID=14","1.16")</f>
        <v>1.16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HYPERLINK("http://141.218.60.56/~jnz1568/getInfo.php?workbook=12_04.xlsx&amp;sheet=U0&amp;row=7742&amp;col=6&amp;number=4.8&amp;sourceID=14","4.8")</f>
        <v>4.8</v>
      </c>
      <c r="G7742" s="4" t="str">
        <f>HYPERLINK("http://141.218.60.56/~jnz1568/getInfo.php?workbook=12_04.xlsx&amp;sheet=U0&amp;row=7742&amp;col=7&amp;number=1.16&amp;sourceID=14","1.16")</f>
        <v>1.16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HYPERLINK("http://141.218.60.56/~jnz1568/getInfo.php?workbook=12_04.xlsx&amp;sheet=U0&amp;row=7743&amp;col=6&amp;number=4.9&amp;sourceID=14","4.9")</f>
        <v>4.9</v>
      </c>
      <c r="G7743" s="4" t="str">
        <f>HYPERLINK("http://141.218.60.56/~jnz1568/getInfo.php?workbook=12_04.xlsx&amp;sheet=U0&amp;row=7743&amp;col=7&amp;number=1.17&amp;sourceID=14","1.17")</f>
        <v>1.17</v>
      </c>
    </row>
    <row r="7744" spans="1:7">
      <c r="A7744" s="3">
        <v>12</v>
      </c>
      <c r="B7744" s="3">
        <v>4</v>
      </c>
      <c r="C7744" s="3">
        <v>5</v>
      </c>
      <c r="D7744" s="3">
        <v>11</v>
      </c>
      <c r="E7744" s="3">
        <v>1</v>
      </c>
      <c r="F7744" s="4" t="str">
        <f>HYPERLINK("http://141.218.60.56/~jnz1568/getInfo.php?workbook=12_04.xlsx&amp;sheet=U0&amp;row=7744&amp;col=6&amp;number=3&amp;sourceID=14","3")</f>
        <v>3</v>
      </c>
      <c r="G7744" s="4" t="str">
        <f>HYPERLINK("http://141.218.60.56/~jnz1568/getInfo.php?workbook=12_04.xlsx&amp;sheet=U0&amp;row=7744&amp;col=7&amp;number=0.233&amp;sourceID=14","0.233")</f>
        <v>0.233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HYPERLINK("http://141.218.60.56/~jnz1568/getInfo.php?workbook=12_04.xlsx&amp;sheet=U0&amp;row=7745&amp;col=6&amp;number=3.1&amp;sourceID=14","3.1")</f>
        <v>3.1</v>
      </c>
      <c r="G7745" s="4" t="str">
        <f>HYPERLINK("http://141.218.60.56/~jnz1568/getInfo.php?workbook=12_04.xlsx&amp;sheet=U0&amp;row=7745&amp;col=7&amp;number=0.233&amp;sourceID=14","0.233")</f>
        <v>0.233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HYPERLINK("http://141.218.60.56/~jnz1568/getInfo.php?workbook=12_04.xlsx&amp;sheet=U0&amp;row=7746&amp;col=6&amp;number=3.2&amp;sourceID=14","3.2")</f>
        <v>3.2</v>
      </c>
      <c r="G7746" s="4" t="str">
        <f>HYPERLINK("http://141.218.60.56/~jnz1568/getInfo.php?workbook=12_04.xlsx&amp;sheet=U0&amp;row=7746&amp;col=7&amp;number=0.233&amp;sourceID=14","0.233")</f>
        <v>0.233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HYPERLINK("http://141.218.60.56/~jnz1568/getInfo.php?workbook=12_04.xlsx&amp;sheet=U0&amp;row=7747&amp;col=6&amp;number=3.3&amp;sourceID=14","3.3")</f>
        <v>3.3</v>
      </c>
      <c r="G7747" s="4" t="str">
        <f>HYPERLINK("http://141.218.60.56/~jnz1568/getInfo.php?workbook=12_04.xlsx&amp;sheet=U0&amp;row=7747&amp;col=7&amp;number=0.232&amp;sourceID=14","0.232")</f>
        <v>0.232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HYPERLINK("http://141.218.60.56/~jnz1568/getInfo.php?workbook=12_04.xlsx&amp;sheet=U0&amp;row=7748&amp;col=6&amp;number=3.4&amp;sourceID=14","3.4")</f>
        <v>3.4</v>
      </c>
      <c r="G7748" s="4" t="str">
        <f>HYPERLINK("http://141.218.60.56/~jnz1568/getInfo.php?workbook=12_04.xlsx&amp;sheet=U0&amp;row=7748&amp;col=7&amp;number=0.232&amp;sourceID=14","0.232")</f>
        <v>0.232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HYPERLINK("http://141.218.60.56/~jnz1568/getInfo.php?workbook=12_04.xlsx&amp;sheet=U0&amp;row=7749&amp;col=6&amp;number=3.5&amp;sourceID=14","3.5")</f>
        <v>3.5</v>
      </c>
      <c r="G7749" s="4" t="str">
        <f>HYPERLINK("http://141.218.60.56/~jnz1568/getInfo.php?workbook=12_04.xlsx&amp;sheet=U0&amp;row=7749&amp;col=7&amp;number=0.231&amp;sourceID=14","0.231")</f>
        <v>0.231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HYPERLINK("http://141.218.60.56/~jnz1568/getInfo.php?workbook=12_04.xlsx&amp;sheet=U0&amp;row=7750&amp;col=6&amp;number=3.6&amp;sourceID=14","3.6")</f>
        <v>3.6</v>
      </c>
      <c r="G7750" s="4" t="str">
        <f>HYPERLINK("http://141.218.60.56/~jnz1568/getInfo.php?workbook=12_04.xlsx&amp;sheet=U0&amp;row=7750&amp;col=7&amp;number=0.231&amp;sourceID=14","0.231")</f>
        <v>0.231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HYPERLINK("http://141.218.60.56/~jnz1568/getInfo.php?workbook=12_04.xlsx&amp;sheet=U0&amp;row=7751&amp;col=6&amp;number=3.7&amp;sourceID=14","3.7")</f>
        <v>3.7</v>
      </c>
      <c r="G7751" s="4" t="str">
        <f>HYPERLINK("http://141.218.60.56/~jnz1568/getInfo.php?workbook=12_04.xlsx&amp;sheet=U0&amp;row=7751&amp;col=7&amp;number=0.23&amp;sourceID=14","0.23")</f>
        <v>0.23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HYPERLINK("http://141.218.60.56/~jnz1568/getInfo.php?workbook=12_04.xlsx&amp;sheet=U0&amp;row=7752&amp;col=6&amp;number=3.8&amp;sourceID=14","3.8")</f>
        <v>3.8</v>
      </c>
      <c r="G7752" s="4" t="str">
        <f>HYPERLINK("http://141.218.60.56/~jnz1568/getInfo.php?workbook=12_04.xlsx&amp;sheet=U0&amp;row=7752&amp;col=7&amp;number=0.229&amp;sourceID=14","0.229")</f>
        <v>0.229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HYPERLINK("http://141.218.60.56/~jnz1568/getInfo.php?workbook=12_04.xlsx&amp;sheet=U0&amp;row=7753&amp;col=6&amp;number=3.9&amp;sourceID=14","3.9")</f>
        <v>3.9</v>
      </c>
      <c r="G7753" s="4" t="str">
        <f>HYPERLINK("http://141.218.60.56/~jnz1568/getInfo.php?workbook=12_04.xlsx&amp;sheet=U0&amp;row=7753&amp;col=7&amp;number=0.227&amp;sourceID=14","0.227")</f>
        <v>0.227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HYPERLINK("http://141.218.60.56/~jnz1568/getInfo.php?workbook=12_04.xlsx&amp;sheet=U0&amp;row=7754&amp;col=6&amp;number=4&amp;sourceID=14","4")</f>
        <v>4</v>
      </c>
      <c r="G7754" s="4" t="str">
        <f>HYPERLINK("http://141.218.60.56/~jnz1568/getInfo.php?workbook=12_04.xlsx&amp;sheet=U0&amp;row=7754&amp;col=7&amp;number=0.226&amp;sourceID=14","0.226")</f>
        <v>0.226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HYPERLINK("http://141.218.60.56/~jnz1568/getInfo.php?workbook=12_04.xlsx&amp;sheet=U0&amp;row=7755&amp;col=6&amp;number=4.1&amp;sourceID=14","4.1")</f>
        <v>4.1</v>
      </c>
      <c r="G7755" s="4" t="str">
        <f>HYPERLINK("http://141.218.60.56/~jnz1568/getInfo.php?workbook=12_04.xlsx&amp;sheet=U0&amp;row=7755&amp;col=7&amp;number=0.224&amp;sourceID=14","0.224")</f>
        <v>0.224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HYPERLINK("http://141.218.60.56/~jnz1568/getInfo.php?workbook=12_04.xlsx&amp;sheet=U0&amp;row=7756&amp;col=6&amp;number=4.2&amp;sourceID=14","4.2")</f>
        <v>4.2</v>
      </c>
      <c r="G7756" s="4" t="str">
        <f>HYPERLINK("http://141.218.60.56/~jnz1568/getInfo.php?workbook=12_04.xlsx&amp;sheet=U0&amp;row=7756&amp;col=7&amp;number=0.221&amp;sourceID=14","0.221")</f>
        <v>0.221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HYPERLINK("http://141.218.60.56/~jnz1568/getInfo.php?workbook=12_04.xlsx&amp;sheet=U0&amp;row=7757&amp;col=6&amp;number=4.3&amp;sourceID=14","4.3")</f>
        <v>4.3</v>
      </c>
      <c r="G7757" s="4" t="str">
        <f>HYPERLINK("http://141.218.60.56/~jnz1568/getInfo.php?workbook=12_04.xlsx&amp;sheet=U0&amp;row=7757&amp;col=7&amp;number=0.218&amp;sourceID=14","0.218")</f>
        <v>0.218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HYPERLINK("http://141.218.60.56/~jnz1568/getInfo.php?workbook=12_04.xlsx&amp;sheet=U0&amp;row=7758&amp;col=6&amp;number=4.4&amp;sourceID=14","4.4")</f>
        <v>4.4</v>
      </c>
      <c r="G7758" s="4" t="str">
        <f>HYPERLINK("http://141.218.60.56/~jnz1568/getInfo.php?workbook=12_04.xlsx&amp;sheet=U0&amp;row=7758&amp;col=7&amp;number=0.213&amp;sourceID=14","0.213")</f>
        <v>0.213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HYPERLINK("http://141.218.60.56/~jnz1568/getInfo.php?workbook=12_04.xlsx&amp;sheet=U0&amp;row=7759&amp;col=6&amp;number=4.5&amp;sourceID=14","4.5")</f>
        <v>4.5</v>
      </c>
      <c r="G7759" s="4" t="str">
        <f>HYPERLINK("http://141.218.60.56/~jnz1568/getInfo.php?workbook=12_04.xlsx&amp;sheet=U0&amp;row=7759&amp;col=7&amp;number=0.208&amp;sourceID=14","0.208")</f>
        <v>0.208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HYPERLINK("http://141.218.60.56/~jnz1568/getInfo.php?workbook=12_04.xlsx&amp;sheet=U0&amp;row=7760&amp;col=6&amp;number=4.6&amp;sourceID=14","4.6")</f>
        <v>4.6</v>
      </c>
      <c r="G7760" s="4" t="str">
        <f>HYPERLINK("http://141.218.60.56/~jnz1568/getInfo.php?workbook=12_04.xlsx&amp;sheet=U0&amp;row=7760&amp;col=7&amp;number=0.201&amp;sourceID=14","0.201")</f>
        <v>0.201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HYPERLINK("http://141.218.60.56/~jnz1568/getInfo.php?workbook=12_04.xlsx&amp;sheet=U0&amp;row=7761&amp;col=6&amp;number=4.7&amp;sourceID=14","4.7")</f>
        <v>4.7</v>
      </c>
      <c r="G7761" s="4" t="str">
        <f>HYPERLINK("http://141.218.60.56/~jnz1568/getInfo.php?workbook=12_04.xlsx&amp;sheet=U0&amp;row=7761&amp;col=7&amp;number=0.193&amp;sourceID=14","0.193")</f>
        <v>0.193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HYPERLINK("http://141.218.60.56/~jnz1568/getInfo.php?workbook=12_04.xlsx&amp;sheet=U0&amp;row=7762&amp;col=6&amp;number=4.8&amp;sourceID=14","4.8")</f>
        <v>4.8</v>
      </c>
      <c r="G7762" s="4" t="str">
        <f>HYPERLINK("http://141.218.60.56/~jnz1568/getInfo.php?workbook=12_04.xlsx&amp;sheet=U0&amp;row=7762&amp;col=7&amp;number=0.184&amp;sourceID=14","0.184")</f>
        <v>0.184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HYPERLINK("http://141.218.60.56/~jnz1568/getInfo.php?workbook=12_04.xlsx&amp;sheet=U0&amp;row=7763&amp;col=6&amp;number=4.9&amp;sourceID=14","4.9")</f>
        <v>4.9</v>
      </c>
      <c r="G7763" s="4" t="str">
        <f>HYPERLINK("http://141.218.60.56/~jnz1568/getInfo.php?workbook=12_04.xlsx&amp;sheet=U0&amp;row=7763&amp;col=7&amp;number=0.172&amp;sourceID=14","0.172")</f>
        <v>0.172</v>
      </c>
    </row>
    <row r="7764" spans="1:7">
      <c r="A7764" s="3">
        <v>12</v>
      </c>
      <c r="B7764" s="3">
        <v>4</v>
      </c>
      <c r="C7764" s="3">
        <v>5</v>
      </c>
      <c r="D7764" s="3">
        <v>12</v>
      </c>
      <c r="E7764" s="3">
        <v>1</v>
      </c>
      <c r="F7764" s="4" t="str">
        <f>HYPERLINK("http://141.218.60.56/~jnz1568/getInfo.php?workbook=12_04.xlsx&amp;sheet=U0&amp;row=7764&amp;col=6&amp;number=3&amp;sourceID=14","3")</f>
        <v>3</v>
      </c>
      <c r="G7764" s="4" t="str">
        <f>HYPERLINK("http://141.218.60.56/~jnz1568/getInfo.php?workbook=12_04.xlsx&amp;sheet=U0&amp;row=7764&amp;col=7&amp;number=0.113&amp;sourceID=14","0.113")</f>
        <v>0.113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HYPERLINK("http://141.218.60.56/~jnz1568/getInfo.php?workbook=12_04.xlsx&amp;sheet=U0&amp;row=7765&amp;col=6&amp;number=3.1&amp;sourceID=14","3.1")</f>
        <v>3.1</v>
      </c>
      <c r="G7765" s="4" t="str">
        <f>HYPERLINK("http://141.218.60.56/~jnz1568/getInfo.php?workbook=12_04.xlsx&amp;sheet=U0&amp;row=7765&amp;col=7&amp;number=0.113&amp;sourceID=14","0.113")</f>
        <v>0.113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HYPERLINK("http://141.218.60.56/~jnz1568/getInfo.php?workbook=12_04.xlsx&amp;sheet=U0&amp;row=7766&amp;col=6&amp;number=3.2&amp;sourceID=14","3.2")</f>
        <v>3.2</v>
      </c>
      <c r="G7766" s="4" t="str">
        <f>HYPERLINK("http://141.218.60.56/~jnz1568/getInfo.php?workbook=12_04.xlsx&amp;sheet=U0&amp;row=7766&amp;col=7&amp;number=0.112&amp;sourceID=14","0.112")</f>
        <v>0.112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HYPERLINK("http://141.218.60.56/~jnz1568/getInfo.php?workbook=12_04.xlsx&amp;sheet=U0&amp;row=7767&amp;col=6&amp;number=3.3&amp;sourceID=14","3.3")</f>
        <v>3.3</v>
      </c>
      <c r="G7767" s="4" t="str">
        <f>HYPERLINK("http://141.218.60.56/~jnz1568/getInfo.php?workbook=12_04.xlsx&amp;sheet=U0&amp;row=7767&amp;col=7&amp;number=0.112&amp;sourceID=14","0.112")</f>
        <v>0.112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HYPERLINK("http://141.218.60.56/~jnz1568/getInfo.php?workbook=12_04.xlsx&amp;sheet=U0&amp;row=7768&amp;col=6&amp;number=3.4&amp;sourceID=14","3.4")</f>
        <v>3.4</v>
      </c>
      <c r="G7768" s="4" t="str">
        <f>HYPERLINK("http://141.218.60.56/~jnz1568/getInfo.php?workbook=12_04.xlsx&amp;sheet=U0&amp;row=7768&amp;col=7&amp;number=0.112&amp;sourceID=14","0.112")</f>
        <v>0.112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HYPERLINK("http://141.218.60.56/~jnz1568/getInfo.php?workbook=12_04.xlsx&amp;sheet=U0&amp;row=7769&amp;col=6&amp;number=3.5&amp;sourceID=14","3.5")</f>
        <v>3.5</v>
      </c>
      <c r="G7769" s="4" t="str">
        <f>HYPERLINK("http://141.218.60.56/~jnz1568/getInfo.php?workbook=12_04.xlsx&amp;sheet=U0&amp;row=7769&amp;col=7&amp;number=0.112&amp;sourceID=14","0.112")</f>
        <v>0.112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HYPERLINK("http://141.218.60.56/~jnz1568/getInfo.php?workbook=12_04.xlsx&amp;sheet=U0&amp;row=7770&amp;col=6&amp;number=3.6&amp;sourceID=14","3.6")</f>
        <v>3.6</v>
      </c>
      <c r="G7770" s="4" t="str">
        <f>HYPERLINK("http://141.218.60.56/~jnz1568/getInfo.php?workbook=12_04.xlsx&amp;sheet=U0&amp;row=7770&amp;col=7&amp;number=0.112&amp;sourceID=14","0.112")</f>
        <v>0.112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HYPERLINK("http://141.218.60.56/~jnz1568/getInfo.php?workbook=12_04.xlsx&amp;sheet=U0&amp;row=7771&amp;col=6&amp;number=3.7&amp;sourceID=14","3.7")</f>
        <v>3.7</v>
      </c>
      <c r="G7771" s="4" t="str">
        <f>HYPERLINK("http://141.218.60.56/~jnz1568/getInfo.php?workbook=12_04.xlsx&amp;sheet=U0&amp;row=7771&amp;col=7&amp;number=0.112&amp;sourceID=14","0.112")</f>
        <v>0.112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HYPERLINK("http://141.218.60.56/~jnz1568/getInfo.php?workbook=12_04.xlsx&amp;sheet=U0&amp;row=7772&amp;col=6&amp;number=3.8&amp;sourceID=14","3.8")</f>
        <v>3.8</v>
      </c>
      <c r="G7772" s="4" t="str">
        <f>HYPERLINK("http://141.218.60.56/~jnz1568/getInfo.php?workbook=12_04.xlsx&amp;sheet=U0&amp;row=7772&amp;col=7&amp;number=0.111&amp;sourceID=14","0.111")</f>
        <v>0.111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HYPERLINK("http://141.218.60.56/~jnz1568/getInfo.php?workbook=12_04.xlsx&amp;sheet=U0&amp;row=7773&amp;col=6&amp;number=3.9&amp;sourceID=14","3.9")</f>
        <v>3.9</v>
      </c>
      <c r="G7773" s="4" t="str">
        <f>HYPERLINK("http://141.218.60.56/~jnz1568/getInfo.php?workbook=12_04.xlsx&amp;sheet=U0&amp;row=7773&amp;col=7&amp;number=0.111&amp;sourceID=14","0.111")</f>
        <v>0.111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HYPERLINK("http://141.218.60.56/~jnz1568/getInfo.php?workbook=12_04.xlsx&amp;sheet=U0&amp;row=7774&amp;col=6&amp;number=4&amp;sourceID=14","4")</f>
        <v>4</v>
      </c>
      <c r="G7774" s="4" t="str">
        <f>HYPERLINK("http://141.218.60.56/~jnz1568/getInfo.php?workbook=12_04.xlsx&amp;sheet=U0&amp;row=7774&amp;col=7&amp;number=0.111&amp;sourceID=14","0.111")</f>
        <v>0.111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HYPERLINK("http://141.218.60.56/~jnz1568/getInfo.php?workbook=12_04.xlsx&amp;sheet=U0&amp;row=7775&amp;col=6&amp;number=4.1&amp;sourceID=14","4.1")</f>
        <v>4.1</v>
      </c>
      <c r="G7775" s="4" t="str">
        <f>HYPERLINK("http://141.218.60.56/~jnz1568/getInfo.php?workbook=12_04.xlsx&amp;sheet=U0&amp;row=7775&amp;col=7&amp;number=0.11&amp;sourceID=14","0.11")</f>
        <v>0.11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HYPERLINK("http://141.218.60.56/~jnz1568/getInfo.php?workbook=12_04.xlsx&amp;sheet=U0&amp;row=7776&amp;col=6&amp;number=4.2&amp;sourceID=14","4.2")</f>
        <v>4.2</v>
      </c>
      <c r="G7776" s="4" t="str">
        <f>HYPERLINK("http://141.218.60.56/~jnz1568/getInfo.php?workbook=12_04.xlsx&amp;sheet=U0&amp;row=7776&amp;col=7&amp;number=0.109&amp;sourceID=14","0.109")</f>
        <v>0.109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HYPERLINK("http://141.218.60.56/~jnz1568/getInfo.php?workbook=12_04.xlsx&amp;sheet=U0&amp;row=7777&amp;col=6&amp;number=4.3&amp;sourceID=14","4.3")</f>
        <v>4.3</v>
      </c>
      <c r="G7777" s="4" t="str">
        <f>HYPERLINK("http://141.218.60.56/~jnz1568/getInfo.php?workbook=12_04.xlsx&amp;sheet=U0&amp;row=7777&amp;col=7&amp;number=0.109&amp;sourceID=14","0.109")</f>
        <v>0.109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HYPERLINK("http://141.218.60.56/~jnz1568/getInfo.php?workbook=12_04.xlsx&amp;sheet=U0&amp;row=7778&amp;col=6&amp;number=4.4&amp;sourceID=14","4.4")</f>
        <v>4.4</v>
      </c>
      <c r="G7778" s="4" t="str">
        <f>HYPERLINK("http://141.218.60.56/~jnz1568/getInfo.php?workbook=12_04.xlsx&amp;sheet=U0&amp;row=7778&amp;col=7&amp;number=0.108&amp;sourceID=14","0.108")</f>
        <v>0.108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HYPERLINK("http://141.218.60.56/~jnz1568/getInfo.php?workbook=12_04.xlsx&amp;sheet=U0&amp;row=7779&amp;col=6&amp;number=4.5&amp;sourceID=14","4.5")</f>
        <v>4.5</v>
      </c>
      <c r="G7779" s="4" t="str">
        <f>HYPERLINK("http://141.218.60.56/~jnz1568/getInfo.php?workbook=12_04.xlsx&amp;sheet=U0&amp;row=7779&amp;col=7&amp;number=0.106&amp;sourceID=14","0.106")</f>
        <v>0.106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HYPERLINK("http://141.218.60.56/~jnz1568/getInfo.php?workbook=12_04.xlsx&amp;sheet=U0&amp;row=7780&amp;col=6&amp;number=4.6&amp;sourceID=14","4.6")</f>
        <v>4.6</v>
      </c>
      <c r="G7780" s="4" t="str">
        <f>HYPERLINK("http://141.218.60.56/~jnz1568/getInfo.php?workbook=12_04.xlsx&amp;sheet=U0&amp;row=7780&amp;col=7&amp;number=0.105&amp;sourceID=14","0.105")</f>
        <v>0.105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HYPERLINK("http://141.218.60.56/~jnz1568/getInfo.php?workbook=12_04.xlsx&amp;sheet=U0&amp;row=7781&amp;col=6&amp;number=4.7&amp;sourceID=14","4.7")</f>
        <v>4.7</v>
      </c>
      <c r="G7781" s="4" t="str">
        <f>HYPERLINK("http://141.218.60.56/~jnz1568/getInfo.php?workbook=12_04.xlsx&amp;sheet=U0&amp;row=7781&amp;col=7&amp;number=0.103&amp;sourceID=14","0.103")</f>
        <v>0.103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HYPERLINK("http://141.218.60.56/~jnz1568/getInfo.php?workbook=12_04.xlsx&amp;sheet=U0&amp;row=7782&amp;col=6&amp;number=4.8&amp;sourceID=14","4.8")</f>
        <v>4.8</v>
      </c>
      <c r="G7782" s="4" t="str">
        <f>HYPERLINK("http://141.218.60.56/~jnz1568/getInfo.php?workbook=12_04.xlsx&amp;sheet=U0&amp;row=7782&amp;col=7&amp;number=0.1&amp;sourceID=14","0.1")</f>
        <v>0.1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HYPERLINK("http://141.218.60.56/~jnz1568/getInfo.php?workbook=12_04.xlsx&amp;sheet=U0&amp;row=7783&amp;col=6&amp;number=4.9&amp;sourceID=14","4.9")</f>
        <v>4.9</v>
      </c>
      <c r="G7783" s="4" t="str">
        <f>HYPERLINK("http://141.218.60.56/~jnz1568/getInfo.php?workbook=12_04.xlsx&amp;sheet=U0&amp;row=7783&amp;col=7&amp;number=0.0969&amp;sourceID=14","0.0969")</f>
        <v>0.0969</v>
      </c>
    </row>
    <row r="7784" spans="1:7">
      <c r="A7784" s="3">
        <v>12</v>
      </c>
      <c r="B7784" s="3">
        <v>4</v>
      </c>
      <c r="C7784" s="3">
        <v>5</v>
      </c>
      <c r="D7784" s="3">
        <v>13</v>
      </c>
      <c r="E7784" s="3">
        <v>1</v>
      </c>
      <c r="F7784" s="4" t="str">
        <f>HYPERLINK("http://141.218.60.56/~jnz1568/getInfo.php?workbook=12_04.xlsx&amp;sheet=U0&amp;row=7784&amp;col=6&amp;number=3&amp;sourceID=14","3")</f>
        <v>3</v>
      </c>
      <c r="G7784" s="4" t="str">
        <f>HYPERLINK("http://141.218.60.56/~jnz1568/getInfo.php?workbook=12_04.xlsx&amp;sheet=U0&amp;row=7784&amp;col=7&amp;number=0.421&amp;sourceID=14","0.421")</f>
        <v>0.421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HYPERLINK("http://141.218.60.56/~jnz1568/getInfo.php?workbook=12_04.xlsx&amp;sheet=U0&amp;row=7785&amp;col=6&amp;number=3.1&amp;sourceID=14","3.1")</f>
        <v>3.1</v>
      </c>
      <c r="G7785" s="4" t="str">
        <f>HYPERLINK("http://141.218.60.56/~jnz1568/getInfo.php?workbook=12_04.xlsx&amp;sheet=U0&amp;row=7785&amp;col=7&amp;number=0.42&amp;sourceID=14","0.42")</f>
        <v>0.42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HYPERLINK("http://141.218.60.56/~jnz1568/getInfo.php?workbook=12_04.xlsx&amp;sheet=U0&amp;row=7786&amp;col=6&amp;number=3.2&amp;sourceID=14","3.2")</f>
        <v>3.2</v>
      </c>
      <c r="G7786" s="4" t="str">
        <f>HYPERLINK("http://141.218.60.56/~jnz1568/getInfo.php?workbook=12_04.xlsx&amp;sheet=U0&amp;row=7786&amp;col=7&amp;number=0.419&amp;sourceID=14","0.419")</f>
        <v>0.419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HYPERLINK("http://141.218.60.56/~jnz1568/getInfo.php?workbook=12_04.xlsx&amp;sheet=U0&amp;row=7787&amp;col=6&amp;number=3.3&amp;sourceID=14","3.3")</f>
        <v>3.3</v>
      </c>
      <c r="G7787" s="4" t="str">
        <f>HYPERLINK("http://141.218.60.56/~jnz1568/getInfo.php?workbook=12_04.xlsx&amp;sheet=U0&amp;row=7787&amp;col=7&amp;number=0.418&amp;sourceID=14","0.418")</f>
        <v>0.418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HYPERLINK("http://141.218.60.56/~jnz1568/getInfo.php?workbook=12_04.xlsx&amp;sheet=U0&amp;row=7788&amp;col=6&amp;number=3.4&amp;sourceID=14","3.4")</f>
        <v>3.4</v>
      </c>
      <c r="G7788" s="4" t="str">
        <f>HYPERLINK("http://141.218.60.56/~jnz1568/getInfo.php?workbook=12_04.xlsx&amp;sheet=U0&amp;row=7788&amp;col=7&amp;number=0.417&amp;sourceID=14","0.417")</f>
        <v>0.417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HYPERLINK("http://141.218.60.56/~jnz1568/getInfo.php?workbook=12_04.xlsx&amp;sheet=U0&amp;row=7789&amp;col=6&amp;number=3.5&amp;sourceID=14","3.5")</f>
        <v>3.5</v>
      </c>
      <c r="G7789" s="4" t="str">
        <f>HYPERLINK("http://141.218.60.56/~jnz1568/getInfo.php?workbook=12_04.xlsx&amp;sheet=U0&amp;row=7789&amp;col=7&amp;number=0.415&amp;sourceID=14","0.415")</f>
        <v>0.415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HYPERLINK("http://141.218.60.56/~jnz1568/getInfo.php?workbook=12_04.xlsx&amp;sheet=U0&amp;row=7790&amp;col=6&amp;number=3.6&amp;sourceID=14","3.6")</f>
        <v>3.6</v>
      </c>
      <c r="G7790" s="4" t="str">
        <f>HYPERLINK("http://141.218.60.56/~jnz1568/getInfo.php?workbook=12_04.xlsx&amp;sheet=U0&amp;row=7790&amp;col=7&amp;number=0.412&amp;sourceID=14","0.412")</f>
        <v>0.412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HYPERLINK("http://141.218.60.56/~jnz1568/getInfo.php?workbook=12_04.xlsx&amp;sheet=U0&amp;row=7791&amp;col=6&amp;number=3.7&amp;sourceID=14","3.7")</f>
        <v>3.7</v>
      </c>
      <c r="G7791" s="4" t="str">
        <f>HYPERLINK("http://141.218.60.56/~jnz1568/getInfo.php?workbook=12_04.xlsx&amp;sheet=U0&amp;row=7791&amp;col=7&amp;number=0.409&amp;sourceID=14","0.409")</f>
        <v>0.409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HYPERLINK("http://141.218.60.56/~jnz1568/getInfo.php?workbook=12_04.xlsx&amp;sheet=U0&amp;row=7792&amp;col=6&amp;number=3.8&amp;sourceID=14","3.8")</f>
        <v>3.8</v>
      </c>
      <c r="G7792" s="4" t="str">
        <f>HYPERLINK("http://141.218.60.56/~jnz1568/getInfo.php?workbook=12_04.xlsx&amp;sheet=U0&amp;row=7792&amp;col=7&amp;number=0.405&amp;sourceID=14","0.405")</f>
        <v>0.405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HYPERLINK("http://141.218.60.56/~jnz1568/getInfo.php?workbook=12_04.xlsx&amp;sheet=U0&amp;row=7793&amp;col=6&amp;number=3.9&amp;sourceID=14","3.9")</f>
        <v>3.9</v>
      </c>
      <c r="G7793" s="4" t="str">
        <f>HYPERLINK("http://141.218.60.56/~jnz1568/getInfo.php?workbook=12_04.xlsx&amp;sheet=U0&amp;row=7793&amp;col=7&amp;number=0.401&amp;sourceID=14","0.401")</f>
        <v>0.401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HYPERLINK("http://141.218.60.56/~jnz1568/getInfo.php?workbook=12_04.xlsx&amp;sheet=U0&amp;row=7794&amp;col=6&amp;number=4&amp;sourceID=14","4")</f>
        <v>4</v>
      </c>
      <c r="G7794" s="4" t="str">
        <f>HYPERLINK("http://141.218.60.56/~jnz1568/getInfo.php?workbook=12_04.xlsx&amp;sheet=U0&amp;row=7794&amp;col=7&amp;number=0.395&amp;sourceID=14","0.395")</f>
        <v>0.395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HYPERLINK("http://141.218.60.56/~jnz1568/getInfo.php?workbook=12_04.xlsx&amp;sheet=U0&amp;row=7795&amp;col=6&amp;number=4.1&amp;sourceID=14","4.1")</f>
        <v>4.1</v>
      </c>
      <c r="G7795" s="4" t="str">
        <f>HYPERLINK("http://141.218.60.56/~jnz1568/getInfo.php?workbook=12_04.xlsx&amp;sheet=U0&amp;row=7795&amp;col=7&amp;number=0.387&amp;sourceID=14","0.387")</f>
        <v>0.387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HYPERLINK("http://141.218.60.56/~jnz1568/getInfo.php?workbook=12_04.xlsx&amp;sheet=U0&amp;row=7796&amp;col=6&amp;number=4.2&amp;sourceID=14","4.2")</f>
        <v>4.2</v>
      </c>
      <c r="G7796" s="4" t="str">
        <f>HYPERLINK("http://141.218.60.56/~jnz1568/getInfo.php?workbook=12_04.xlsx&amp;sheet=U0&amp;row=7796&amp;col=7&amp;number=0.378&amp;sourceID=14","0.378")</f>
        <v>0.378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HYPERLINK("http://141.218.60.56/~jnz1568/getInfo.php?workbook=12_04.xlsx&amp;sheet=U0&amp;row=7797&amp;col=6&amp;number=4.3&amp;sourceID=14","4.3")</f>
        <v>4.3</v>
      </c>
      <c r="G7797" s="4" t="str">
        <f>HYPERLINK("http://141.218.60.56/~jnz1568/getInfo.php?workbook=12_04.xlsx&amp;sheet=U0&amp;row=7797&amp;col=7&amp;number=0.366&amp;sourceID=14","0.366")</f>
        <v>0.366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HYPERLINK("http://141.218.60.56/~jnz1568/getInfo.php?workbook=12_04.xlsx&amp;sheet=U0&amp;row=7798&amp;col=6&amp;number=4.4&amp;sourceID=14","4.4")</f>
        <v>4.4</v>
      </c>
      <c r="G7798" s="4" t="str">
        <f>HYPERLINK("http://141.218.60.56/~jnz1568/getInfo.php?workbook=12_04.xlsx&amp;sheet=U0&amp;row=7798&amp;col=7&amp;number=0.352&amp;sourceID=14","0.352")</f>
        <v>0.352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HYPERLINK("http://141.218.60.56/~jnz1568/getInfo.php?workbook=12_04.xlsx&amp;sheet=U0&amp;row=7799&amp;col=6&amp;number=4.5&amp;sourceID=14","4.5")</f>
        <v>4.5</v>
      </c>
      <c r="G7799" s="4" t="str">
        <f>HYPERLINK("http://141.218.60.56/~jnz1568/getInfo.php?workbook=12_04.xlsx&amp;sheet=U0&amp;row=7799&amp;col=7&amp;number=0.335&amp;sourceID=14","0.335")</f>
        <v>0.335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HYPERLINK("http://141.218.60.56/~jnz1568/getInfo.php?workbook=12_04.xlsx&amp;sheet=U0&amp;row=7800&amp;col=6&amp;number=4.6&amp;sourceID=14","4.6")</f>
        <v>4.6</v>
      </c>
      <c r="G7800" s="4" t="str">
        <f>HYPERLINK("http://141.218.60.56/~jnz1568/getInfo.php?workbook=12_04.xlsx&amp;sheet=U0&amp;row=7800&amp;col=7&amp;number=0.315&amp;sourceID=14","0.315")</f>
        <v>0.315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HYPERLINK("http://141.218.60.56/~jnz1568/getInfo.php?workbook=12_04.xlsx&amp;sheet=U0&amp;row=7801&amp;col=6&amp;number=4.7&amp;sourceID=14","4.7")</f>
        <v>4.7</v>
      </c>
      <c r="G7801" s="4" t="str">
        <f>HYPERLINK("http://141.218.60.56/~jnz1568/getInfo.php?workbook=12_04.xlsx&amp;sheet=U0&amp;row=7801&amp;col=7&amp;number=0.291&amp;sourceID=14","0.291")</f>
        <v>0.291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HYPERLINK("http://141.218.60.56/~jnz1568/getInfo.php?workbook=12_04.xlsx&amp;sheet=U0&amp;row=7802&amp;col=6&amp;number=4.8&amp;sourceID=14","4.8")</f>
        <v>4.8</v>
      </c>
      <c r="G7802" s="4" t="str">
        <f>HYPERLINK("http://141.218.60.56/~jnz1568/getInfo.php?workbook=12_04.xlsx&amp;sheet=U0&amp;row=7802&amp;col=7&amp;number=0.264&amp;sourceID=14","0.264")</f>
        <v>0.264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HYPERLINK("http://141.218.60.56/~jnz1568/getInfo.php?workbook=12_04.xlsx&amp;sheet=U0&amp;row=7803&amp;col=6&amp;number=4.9&amp;sourceID=14","4.9")</f>
        <v>4.9</v>
      </c>
      <c r="G7803" s="4" t="str">
        <f>HYPERLINK("http://141.218.60.56/~jnz1568/getInfo.php?workbook=12_04.xlsx&amp;sheet=U0&amp;row=7803&amp;col=7&amp;number=0.235&amp;sourceID=14","0.235")</f>
        <v>0.235</v>
      </c>
    </row>
    <row r="7804" spans="1:7">
      <c r="A7804" s="3">
        <v>12</v>
      </c>
      <c r="B7804" s="3">
        <v>4</v>
      </c>
      <c r="C7804" s="3">
        <v>5</v>
      </c>
      <c r="D7804" s="3">
        <v>14</v>
      </c>
      <c r="E7804" s="3">
        <v>1</v>
      </c>
      <c r="F7804" s="4" t="str">
        <f>HYPERLINK("http://141.218.60.56/~jnz1568/getInfo.php?workbook=12_04.xlsx&amp;sheet=U0&amp;row=7804&amp;col=6&amp;number=3&amp;sourceID=14","3")</f>
        <v>3</v>
      </c>
      <c r="G7804" s="4" t="str">
        <f>HYPERLINK("http://141.218.60.56/~jnz1568/getInfo.php?workbook=12_04.xlsx&amp;sheet=U0&amp;row=7804&amp;col=7&amp;number=0.0402&amp;sourceID=14","0.0402")</f>
        <v>0.0402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HYPERLINK("http://141.218.60.56/~jnz1568/getInfo.php?workbook=12_04.xlsx&amp;sheet=U0&amp;row=7805&amp;col=6&amp;number=3.1&amp;sourceID=14","3.1")</f>
        <v>3.1</v>
      </c>
      <c r="G7805" s="4" t="str">
        <f>HYPERLINK("http://141.218.60.56/~jnz1568/getInfo.php?workbook=12_04.xlsx&amp;sheet=U0&amp;row=7805&amp;col=7&amp;number=0.0402&amp;sourceID=14","0.0402")</f>
        <v>0.0402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HYPERLINK("http://141.218.60.56/~jnz1568/getInfo.php?workbook=12_04.xlsx&amp;sheet=U0&amp;row=7806&amp;col=6&amp;number=3.2&amp;sourceID=14","3.2")</f>
        <v>3.2</v>
      </c>
      <c r="G7806" s="4" t="str">
        <f>HYPERLINK("http://141.218.60.56/~jnz1568/getInfo.php?workbook=12_04.xlsx&amp;sheet=U0&amp;row=7806&amp;col=7&amp;number=0.0401&amp;sourceID=14","0.0401")</f>
        <v>0.0401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HYPERLINK("http://141.218.60.56/~jnz1568/getInfo.php?workbook=12_04.xlsx&amp;sheet=U0&amp;row=7807&amp;col=6&amp;number=3.3&amp;sourceID=14","3.3")</f>
        <v>3.3</v>
      </c>
      <c r="G7807" s="4" t="str">
        <f>HYPERLINK("http://141.218.60.56/~jnz1568/getInfo.php?workbook=12_04.xlsx&amp;sheet=U0&amp;row=7807&amp;col=7&amp;number=0.0401&amp;sourceID=14","0.0401")</f>
        <v>0.0401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HYPERLINK("http://141.218.60.56/~jnz1568/getInfo.php?workbook=12_04.xlsx&amp;sheet=U0&amp;row=7808&amp;col=6&amp;number=3.4&amp;sourceID=14","3.4")</f>
        <v>3.4</v>
      </c>
      <c r="G7808" s="4" t="str">
        <f>HYPERLINK("http://141.218.60.56/~jnz1568/getInfo.php?workbook=12_04.xlsx&amp;sheet=U0&amp;row=7808&amp;col=7&amp;number=0.04&amp;sourceID=14","0.04")</f>
        <v>0.04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HYPERLINK("http://141.218.60.56/~jnz1568/getInfo.php?workbook=12_04.xlsx&amp;sheet=U0&amp;row=7809&amp;col=6&amp;number=3.5&amp;sourceID=14","3.5")</f>
        <v>3.5</v>
      </c>
      <c r="G7809" s="4" t="str">
        <f>HYPERLINK("http://141.218.60.56/~jnz1568/getInfo.php?workbook=12_04.xlsx&amp;sheet=U0&amp;row=7809&amp;col=7&amp;number=0.0399&amp;sourceID=14","0.0399")</f>
        <v>0.0399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HYPERLINK("http://141.218.60.56/~jnz1568/getInfo.php?workbook=12_04.xlsx&amp;sheet=U0&amp;row=7810&amp;col=6&amp;number=3.6&amp;sourceID=14","3.6")</f>
        <v>3.6</v>
      </c>
      <c r="G7810" s="4" t="str">
        <f>HYPERLINK("http://141.218.60.56/~jnz1568/getInfo.php?workbook=12_04.xlsx&amp;sheet=U0&amp;row=7810&amp;col=7&amp;number=0.0397&amp;sourceID=14","0.0397")</f>
        <v>0.0397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HYPERLINK("http://141.218.60.56/~jnz1568/getInfo.php?workbook=12_04.xlsx&amp;sheet=U0&amp;row=7811&amp;col=6&amp;number=3.7&amp;sourceID=14","3.7")</f>
        <v>3.7</v>
      </c>
      <c r="G7811" s="4" t="str">
        <f>HYPERLINK("http://141.218.60.56/~jnz1568/getInfo.php?workbook=12_04.xlsx&amp;sheet=U0&amp;row=7811&amp;col=7&amp;number=0.0395&amp;sourceID=14","0.0395")</f>
        <v>0.0395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HYPERLINK("http://141.218.60.56/~jnz1568/getInfo.php?workbook=12_04.xlsx&amp;sheet=U0&amp;row=7812&amp;col=6&amp;number=3.8&amp;sourceID=14","3.8")</f>
        <v>3.8</v>
      </c>
      <c r="G7812" s="4" t="str">
        <f>HYPERLINK("http://141.218.60.56/~jnz1568/getInfo.php?workbook=12_04.xlsx&amp;sheet=U0&amp;row=7812&amp;col=7&amp;number=0.0393&amp;sourceID=14","0.0393")</f>
        <v>0.0393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HYPERLINK("http://141.218.60.56/~jnz1568/getInfo.php?workbook=12_04.xlsx&amp;sheet=U0&amp;row=7813&amp;col=6&amp;number=3.9&amp;sourceID=14","3.9")</f>
        <v>3.9</v>
      </c>
      <c r="G7813" s="4" t="str">
        <f>HYPERLINK("http://141.218.60.56/~jnz1568/getInfo.php?workbook=12_04.xlsx&amp;sheet=U0&amp;row=7813&amp;col=7&amp;number=0.039&amp;sourceID=14","0.039")</f>
        <v>0.039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HYPERLINK("http://141.218.60.56/~jnz1568/getInfo.php?workbook=12_04.xlsx&amp;sheet=U0&amp;row=7814&amp;col=6&amp;number=4&amp;sourceID=14","4")</f>
        <v>4</v>
      </c>
      <c r="G7814" s="4" t="str">
        <f>HYPERLINK("http://141.218.60.56/~jnz1568/getInfo.php?workbook=12_04.xlsx&amp;sheet=U0&amp;row=7814&amp;col=7&amp;number=0.0387&amp;sourceID=14","0.0387")</f>
        <v>0.0387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HYPERLINK("http://141.218.60.56/~jnz1568/getInfo.php?workbook=12_04.xlsx&amp;sheet=U0&amp;row=7815&amp;col=6&amp;number=4.1&amp;sourceID=14","4.1")</f>
        <v>4.1</v>
      </c>
      <c r="G7815" s="4" t="str">
        <f>HYPERLINK("http://141.218.60.56/~jnz1568/getInfo.php?workbook=12_04.xlsx&amp;sheet=U0&amp;row=7815&amp;col=7&amp;number=0.0382&amp;sourceID=14","0.0382")</f>
        <v>0.0382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HYPERLINK("http://141.218.60.56/~jnz1568/getInfo.php?workbook=12_04.xlsx&amp;sheet=U0&amp;row=7816&amp;col=6&amp;number=4.2&amp;sourceID=14","4.2")</f>
        <v>4.2</v>
      </c>
      <c r="G7816" s="4" t="str">
        <f>HYPERLINK("http://141.218.60.56/~jnz1568/getInfo.php?workbook=12_04.xlsx&amp;sheet=U0&amp;row=7816&amp;col=7&amp;number=0.0377&amp;sourceID=14","0.0377")</f>
        <v>0.0377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HYPERLINK("http://141.218.60.56/~jnz1568/getInfo.php?workbook=12_04.xlsx&amp;sheet=U0&amp;row=7817&amp;col=6&amp;number=4.3&amp;sourceID=14","4.3")</f>
        <v>4.3</v>
      </c>
      <c r="G7817" s="4" t="str">
        <f>HYPERLINK("http://141.218.60.56/~jnz1568/getInfo.php?workbook=12_04.xlsx&amp;sheet=U0&amp;row=7817&amp;col=7&amp;number=0.037&amp;sourceID=14","0.037")</f>
        <v>0.037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HYPERLINK("http://141.218.60.56/~jnz1568/getInfo.php?workbook=12_04.xlsx&amp;sheet=U0&amp;row=7818&amp;col=6&amp;number=4.4&amp;sourceID=14","4.4")</f>
        <v>4.4</v>
      </c>
      <c r="G7818" s="4" t="str">
        <f>HYPERLINK("http://141.218.60.56/~jnz1568/getInfo.php?workbook=12_04.xlsx&amp;sheet=U0&amp;row=7818&amp;col=7&amp;number=0.0361&amp;sourceID=14","0.0361")</f>
        <v>0.0361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HYPERLINK("http://141.218.60.56/~jnz1568/getInfo.php?workbook=12_04.xlsx&amp;sheet=U0&amp;row=7819&amp;col=6&amp;number=4.5&amp;sourceID=14","4.5")</f>
        <v>4.5</v>
      </c>
      <c r="G7819" s="4" t="str">
        <f>HYPERLINK("http://141.218.60.56/~jnz1568/getInfo.php?workbook=12_04.xlsx&amp;sheet=U0&amp;row=7819&amp;col=7&amp;number=0.035&amp;sourceID=14","0.035")</f>
        <v>0.035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HYPERLINK("http://141.218.60.56/~jnz1568/getInfo.php?workbook=12_04.xlsx&amp;sheet=U0&amp;row=7820&amp;col=6&amp;number=4.6&amp;sourceID=14","4.6")</f>
        <v>4.6</v>
      </c>
      <c r="G7820" s="4" t="str">
        <f>HYPERLINK("http://141.218.60.56/~jnz1568/getInfo.php?workbook=12_04.xlsx&amp;sheet=U0&amp;row=7820&amp;col=7&amp;number=0.0337&amp;sourceID=14","0.0337")</f>
        <v>0.0337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HYPERLINK("http://141.218.60.56/~jnz1568/getInfo.php?workbook=12_04.xlsx&amp;sheet=U0&amp;row=7821&amp;col=6&amp;number=4.7&amp;sourceID=14","4.7")</f>
        <v>4.7</v>
      </c>
      <c r="G7821" s="4" t="str">
        <f>HYPERLINK("http://141.218.60.56/~jnz1568/getInfo.php?workbook=12_04.xlsx&amp;sheet=U0&amp;row=7821&amp;col=7&amp;number=0.032&amp;sourceID=14","0.032")</f>
        <v>0.032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HYPERLINK("http://141.218.60.56/~jnz1568/getInfo.php?workbook=12_04.xlsx&amp;sheet=U0&amp;row=7822&amp;col=6&amp;number=4.8&amp;sourceID=14","4.8")</f>
        <v>4.8</v>
      </c>
      <c r="G7822" s="4" t="str">
        <f>HYPERLINK("http://141.218.60.56/~jnz1568/getInfo.php?workbook=12_04.xlsx&amp;sheet=U0&amp;row=7822&amp;col=7&amp;number=0.0301&amp;sourceID=14","0.0301")</f>
        <v>0.0301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HYPERLINK("http://141.218.60.56/~jnz1568/getInfo.php?workbook=12_04.xlsx&amp;sheet=U0&amp;row=7823&amp;col=6&amp;number=4.9&amp;sourceID=14","4.9")</f>
        <v>4.9</v>
      </c>
      <c r="G7823" s="4" t="str">
        <f>HYPERLINK("http://141.218.60.56/~jnz1568/getInfo.php?workbook=12_04.xlsx&amp;sheet=U0&amp;row=7823&amp;col=7&amp;number=0.0277&amp;sourceID=14","0.0277")</f>
        <v>0.0277</v>
      </c>
    </row>
    <row r="7824" spans="1:7">
      <c r="A7824" s="3">
        <v>12</v>
      </c>
      <c r="B7824" s="3">
        <v>4</v>
      </c>
      <c r="C7824" s="3">
        <v>5</v>
      </c>
      <c r="D7824" s="3">
        <v>15</v>
      </c>
      <c r="E7824" s="3">
        <v>1</v>
      </c>
      <c r="F7824" s="4" t="str">
        <f>HYPERLINK("http://141.218.60.56/~jnz1568/getInfo.php?workbook=12_04.xlsx&amp;sheet=U0&amp;row=7824&amp;col=6&amp;number=3&amp;sourceID=14","3")</f>
        <v>3</v>
      </c>
      <c r="G7824" s="4" t="str">
        <f>HYPERLINK("http://141.218.60.56/~jnz1568/getInfo.php?workbook=12_04.xlsx&amp;sheet=U0&amp;row=7824&amp;col=7&amp;number=0.133&amp;sourceID=14","0.133")</f>
        <v>0.133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HYPERLINK("http://141.218.60.56/~jnz1568/getInfo.php?workbook=12_04.xlsx&amp;sheet=U0&amp;row=7825&amp;col=6&amp;number=3.1&amp;sourceID=14","3.1")</f>
        <v>3.1</v>
      </c>
      <c r="G7825" s="4" t="str">
        <f>HYPERLINK("http://141.218.60.56/~jnz1568/getInfo.php?workbook=12_04.xlsx&amp;sheet=U0&amp;row=7825&amp;col=7&amp;number=0.133&amp;sourceID=14","0.133")</f>
        <v>0.133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HYPERLINK("http://141.218.60.56/~jnz1568/getInfo.php?workbook=12_04.xlsx&amp;sheet=U0&amp;row=7826&amp;col=6&amp;number=3.2&amp;sourceID=14","3.2")</f>
        <v>3.2</v>
      </c>
      <c r="G7826" s="4" t="str">
        <f>HYPERLINK("http://141.218.60.56/~jnz1568/getInfo.php?workbook=12_04.xlsx&amp;sheet=U0&amp;row=7826&amp;col=7&amp;number=0.133&amp;sourceID=14","0.133")</f>
        <v>0.133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HYPERLINK("http://141.218.60.56/~jnz1568/getInfo.php?workbook=12_04.xlsx&amp;sheet=U0&amp;row=7827&amp;col=6&amp;number=3.3&amp;sourceID=14","3.3")</f>
        <v>3.3</v>
      </c>
      <c r="G7827" s="4" t="str">
        <f>HYPERLINK("http://141.218.60.56/~jnz1568/getInfo.php?workbook=12_04.xlsx&amp;sheet=U0&amp;row=7827&amp;col=7&amp;number=0.132&amp;sourceID=14","0.132")</f>
        <v>0.132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HYPERLINK("http://141.218.60.56/~jnz1568/getInfo.php?workbook=12_04.xlsx&amp;sheet=U0&amp;row=7828&amp;col=6&amp;number=3.4&amp;sourceID=14","3.4")</f>
        <v>3.4</v>
      </c>
      <c r="G7828" s="4" t="str">
        <f>HYPERLINK("http://141.218.60.56/~jnz1568/getInfo.php?workbook=12_04.xlsx&amp;sheet=U0&amp;row=7828&amp;col=7&amp;number=0.132&amp;sourceID=14","0.132")</f>
        <v>0.132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HYPERLINK("http://141.218.60.56/~jnz1568/getInfo.php?workbook=12_04.xlsx&amp;sheet=U0&amp;row=7829&amp;col=6&amp;number=3.5&amp;sourceID=14","3.5")</f>
        <v>3.5</v>
      </c>
      <c r="G7829" s="4" t="str">
        <f>HYPERLINK("http://141.218.60.56/~jnz1568/getInfo.php?workbook=12_04.xlsx&amp;sheet=U0&amp;row=7829&amp;col=7&amp;number=0.131&amp;sourceID=14","0.131")</f>
        <v>0.131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HYPERLINK("http://141.218.60.56/~jnz1568/getInfo.php?workbook=12_04.xlsx&amp;sheet=U0&amp;row=7830&amp;col=6&amp;number=3.6&amp;sourceID=14","3.6")</f>
        <v>3.6</v>
      </c>
      <c r="G7830" s="4" t="str">
        <f>HYPERLINK("http://141.218.60.56/~jnz1568/getInfo.php?workbook=12_04.xlsx&amp;sheet=U0&amp;row=7830&amp;col=7&amp;number=0.13&amp;sourceID=14","0.13")</f>
        <v>0.13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HYPERLINK("http://141.218.60.56/~jnz1568/getInfo.php?workbook=12_04.xlsx&amp;sheet=U0&amp;row=7831&amp;col=6&amp;number=3.7&amp;sourceID=14","3.7")</f>
        <v>3.7</v>
      </c>
      <c r="G7831" s="4" t="str">
        <f>HYPERLINK("http://141.218.60.56/~jnz1568/getInfo.php?workbook=12_04.xlsx&amp;sheet=U0&amp;row=7831&amp;col=7&amp;number=0.129&amp;sourceID=14","0.129")</f>
        <v>0.129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HYPERLINK("http://141.218.60.56/~jnz1568/getInfo.php?workbook=12_04.xlsx&amp;sheet=U0&amp;row=7832&amp;col=6&amp;number=3.8&amp;sourceID=14","3.8")</f>
        <v>3.8</v>
      </c>
      <c r="G7832" s="4" t="str">
        <f>HYPERLINK("http://141.218.60.56/~jnz1568/getInfo.php?workbook=12_04.xlsx&amp;sheet=U0&amp;row=7832&amp;col=7&amp;number=0.128&amp;sourceID=14","0.128")</f>
        <v>0.128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HYPERLINK("http://141.218.60.56/~jnz1568/getInfo.php?workbook=12_04.xlsx&amp;sheet=U0&amp;row=7833&amp;col=6&amp;number=3.9&amp;sourceID=14","3.9")</f>
        <v>3.9</v>
      </c>
      <c r="G7833" s="4" t="str">
        <f>HYPERLINK("http://141.218.60.56/~jnz1568/getInfo.php?workbook=12_04.xlsx&amp;sheet=U0&amp;row=7833&amp;col=7&amp;number=0.127&amp;sourceID=14","0.127")</f>
        <v>0.127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HYPERLINK("http://141.218.60.56/~jnz1568/getInfo.php?workbook=12_04.xlsx&amp;sheet=U0&amp;row=7834&amp;col=6&amp;number=4&amp;sourceID=14","4")</f>
        <v>4</v>
      </c>
      <c r="G7834" s="4" t="str">
        <f>HYPERLINK("http://141.218.60.56/~jnz1568/getInfo.php?workbook=12_04.xlsx&amp;sheet=U0&amp;row=7834&amp;col=7&amp;number=0.125&amp;sourceID=14","0.125")</f>
        <v>0.125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HYPERLINK("http://141.218.60.56/~jnz1568/getInfo.php?workbook=12_04.xlsx&amp;sheet=U0&amp;row=7835&amp;col=6&amp;number=4.1&amp;sourceID=14","4.1")</f>
        <v>4.1</v>
      </c>
      <c r="G7835" s="4" t="str">
        <f>HYPERLINK("http://141.218.60.56/~jnz1568/getInfo.php?workbook=12_04.xlsx&amp;sheet=U0&amp;row=7835&amp;col=7&amp;number=0.122&amp;sourceID=14","0.122")</f>
        <v>0.122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HYPERLINK("http://141.218.60.56/~jnz1568/getInfo.php?workbook=12_04.xlsx&amp;sheet=U0&amp;row=7836&amp;col=6&amp;number=4.2&amp;sourceID=14","4.2")</f>
        <v>4.2</v>
      </c>
      <c r="G7836" s="4" t="str">
        <f>HYPERLINK("http://141.218.60.56/~jnz1568/getInfo.php?workbook=12_04.xlsx&amp;sheet=U0&amp;row=7836&amp;col=7&amp;number=0.12&amp;sourceID=14","0.12")</f>
        <v>0.12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HYPERLINK("http://141.218.60.56/~jnz1568/getInfo.php?workbook=12_04.xlsx&amp;sheet=U0&amp;row=7837&amp;col=6&amp;number=4.3&amp;sourceID=14","4.3")</f>
        <v>4.3</v>
      </c>
      <c r="G7837" s="4" t="str">
        <f>HYPERLINK("http://141.218.60.56/~jnz1568/getInfo.php?workbook=12_04.xlsx&amp;sheet=U0&amp;row=7837&amp;col=7&amp;number=0.116&amp;sourceID=14","0.116")</f>
        <v>0.116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HYPERLINK("http://141.218.60.56/~jnz1568/getInfo.php?workbook=12_04.xlsx&amp;sheet=U0&amp;row=7838&amp;col=6&amp;number=4.4&amp;sourceID=14","4.4")</f>
        <v>4.4</v>
      </c>
      <c r="G7838" s="4" t="str">
        <f>HYPERLINK("http://141.218.60.56/~jnz1568/getInfo.php?workbook=12_04.xlsx&amp;sheet=U0&amp;row=7838&amp;col=7&amp;number=0.112&amp;sourceID=14","0.112")</f>
        <v>0.112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HYPERLINK("http://141.218.60.56/~jnz1568/getInfo.php?workbook=12_04.xlsx&amp;sheet=U0&amp;row=7839&amp;col=6&amp;number=4.5&amp;sourceID=14","4.5")</f>
        <v>4.5</v>
      </c>
      <c r="G7839" s="4" t="str">
        <f>HYPERLINK("http://141.218.60.56/~jnz1568/getInfo.php?workbook=12_04.xlsx&amp;sheet=U0&amp;row=7839&amp;col=7&amp;number=0.107&amp;sourceID=14","0.107")</f>
        <v>0.107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HYPERLINK("http://141.218.60.56/~jnz1568/getInfo.php?workbook=12_04.xlsx&amp;sheet=U0&amp;row=7840&amp;col=6&amp;number=4.6&amp;sourceID=14","4.6")</f>
        <v>4.6</v>
      </c>
      <c r="G7840" s="4" t="str">
        <f>HYPERLINK("http://141.218.60.56/~jnz1568/getInfo.php?workbook=12_04.xlsx&amp;sheet=U0&amp;row=7840&amp;col=7&amp;number=0.101&amp;sourceID=14","0.101")</f>
        <v>0.101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HYPERLINK("http://141.218.60.56/~jnz1568/getInfo.php?workbook=12_04.xlsx&amp;sheet=U0&amp;row=7841&amp;col=6&amp;number=4.7&amp;sourceID=14","4.7")</f>
        <v>4.7</v>
      </c>
      <c r="G7841" s="4" t="str">
        <f>HYPERLINK("http://141.218.60.56/~jnz1568/getInfo.php?workbook=12_04.xlsx&amp;sheet=U0&amp;row=7841&amp;col=7&amp;number=0.0937&amp;sourceID=14","0.0937")</f>
        <v>0.0937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HYPERLINK("http://141.218.60.56/~jnz1568/getInfo.php?workbook=12_04.xlsx&amp;sheet=U0&amp;row=7842&amp;col=6&amp;number=4.8&amp;sourceID=14","4.8")</f>
        <v>4.8</v>
      </c>
      <c r="G7842" s="4" t="str">
        <f>HYPERLINK("http://141.218.60.56/~jnz1568/getInfo.php?workbook=12_04.xlsx&amp;sheet=U0&amp;row=7842&amp;col=7&amp;number=0.0861&amp;sourceID=14","0.0861")</f>
        <v>0.0861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HYPERLINK("http://141.218.60.56/~jnz1568/getInfo.php?workbook=12_04.xlsx&amp;sheet=U0&amp;row=7843&amp;col=6&amp;number=4.9&amp;sourceID=14","4.9")</f>
        <v>4.9</v>
      </c>
      <c r="G7843" s="4" t="str">
        <f>HYPERLINK("http://141.218.60.56/~jnz1568/getInfo.php?workbook=12_04.xlsx&amp;sheet=U0&amp;row=7843&amp;col=7&amp;number=0.0784&amp;sourceID=14","0.0784")</f>
        <v>0.0784</v>
      </c>
    </row>
    <row r="7844" spans="1:7">
      <c r="A7844" s="3">
        <v>12</v>
      </c>
      <c r="B7844" s="3">
        <v>4</v>
      </c>
      <c r="C7844" s="3">
        <v>5</v>
      </c>
      <c r="D7844" s="3">
        <v>16</v>
      </c>
      <c r="E7844" s="3">
        <v>1</v>
      </c>
      <c r="F7844" s="4" t="str">
        <f>HYPERLINK("http://141.218.60.56/~jnz1568/getInfo.php?workbook=12_04.xlsx&amp;sheet=U0&amp;row=7844&amp;col=6&amp;number=3&amp;sourceID=14","3")</f>
        <v>3</v>
      </c>
      <c r="G7844" s="4" t="str">
        <f>HYPERLINK("http://141.218.60.56/~jnz1568/getInfo.php?workbook=12_04.xlsx&amp;sheet=U0&amp;row=7844&amp;col=7&amp;number=0.218&amp;sourceID=14","0.218")</f>
        <v>0.218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HYPERLINK("http://141.218.60.56/~jnz1568/getInfo.php?workbook=12_04.xlsx&amp;sheet=U0&amp;row=7845&amp;col=6&amp;number=3.1&amp;sourceID=14","3.1")</f>
        <v>3.1</v>
      </c>
      <c r="G7845" s="4" t="str">
        <f>HYPERLINK("http://141.218.60.56/~jnz1568/getInfo.php?workbook=12_04.xlsx&amp;sheet=U0&amp;row=7845&amp;col=7&amp;number=0.217&amp;sourceID=14","0.217")</f>
        <v>0.217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HYPERLINK("http://141.218.60.56/~jnz1568/getInfo.php?workbook=12_04.xlsx&amp;sheet=U0&amp;row=7846&amp;col=6&amp;number=3.2&amp;sourceID=14","3.2")</f>
        <v>3.2</v>
      </c>
      <c r="G7846" s="4" t="str">
        <f>HYPERLINK("http://141.218.60.56/~jnz1568/getInfo.php?workbook=12_04.xlsx&amp;sheet=U0&amp;row=7846&amp;col=7&amp;number=0.217&amp;sourceID=14","0.217")</f>
        <v>0.217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HYPERLINK("http://141.218.60.56/~jnz1568/getInfo.php?workbook=12_04.xlsx&amp;sheet=U0&amp;row=7847&amp;col=6&amp;number=3.3&amp;sourceID=14","3.3")</f>
        <v>3.3</v>
      </c>
      <c r="G7847" s="4" t="str">
        <f>HYPERLINK("http://141.218.60.56/~jnz1568/getInfo.php?workbook=12_04.xlsx&amp;sheet=U0&amp;row=7847&amp;col=7&amp;number=0.217&amp;sourceID=14","0.217")</f>
        <v>0.217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HYPERLINK("http://141.218.60.56/~jnz1568/getInfo.php?workbook=12_04.xlsx&amp;sheet=U0&amp;row=7848&amp;col=6&amp;number=3.4&amp;sourceID=14","3.4")</f>
        <v>3.4</v>
      </c>
      <c r="G7848" s="4" t="str">
        <f>HYPERLINK("http://141.218.60.56/~jnz1568/getInfo.php?workbook=12_04.xlsx&amp;sheet=U0&amp;row=7848&amp;col=7&amp;number=0.216&amp;sourceID=14","0.216")</f>
        <v>0.216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HYPERLINK("http://141.218.60.56/~jnz1568/getInfo.php?workbook=12_04.xlsx&amp;sheet=U0&amp;row=7849&amp;col=6&amp;number=3.5&amp;sourceID=14","3.5")</f>
        <v>3.5</v>
      </c>
      <c r="G7849" s="4" t="str">
        <f>HYPERLINK("http://141.218.60.56/~jnz1568/getInfo.php?workbook=12_04.xlsx&amp;sheet=U0&amp;row=7849&amp;col=7&amp;number=0.215&amp;sourceID=14","0.215")</f>
        <v>0.215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HYPERLINK("http://141.218.60.56/~jnz1568/getInfo.php?workbook=12_04.xlsx&amp;sheet=U0&amp;row=7850&amp;col=6&amp;number=3.6&amp;sourceID=14","3.6")</f>
        <v>3.6</v>
      </c>
      <c r="G7850" s="4" t="str">
        <f>HYPERLINK("http://141.218.60.56/~jnz1568/getInfo.php?workbook=12_04.xlsx&amp;sheet=U0&amp;row=7850&amp;col=7&amp;number=0.215&amp;sourceID=14","0.215")</f>
        <v>0.215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HYPERLINK("http://141.218.60.56/~jnz1568/getInfo.php?workbook=12_04.xlsx&amp;sheet=U0&amp;row=7851&amp;col=6&amp;number=3.7&amp;sourceID=14","3.7")</f>
        <v>3.7</v>
      </c>
      <c r="G7851" s="4" t="str">
        <f>HYPERLINK("http://141.218.60.56/~jnz1568/getInfo.php?workbook=12_04.xlsx&amp;sheet=U0&amp;row=7851&amp;col=7&amp;number=0.213&amp;sourceID=14","0.213")</f>
        <v>0.213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HYPERLINK("http://141.218.60.56/~jnz1568/getInfo.php?workbook=12_04.xlsx&amp;sheet=U0&amp;row=7852&amp;col=6&amp;number=3.8&amp;sourceID=14","3.8")</f>
        <v>3.8</v>
      </c>
      <c r="G7852" s="4" t="str">
        <f>HYPERLINK("http://141.218.60.56/~jnz1568/getInfo.php?workbook=12_04.xlsx&amp;sheet=U0&amp;row=7852&amp;col=7&amp;number=0.212&amp;sourceID=14","0.212")</f>
        <v>0.212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HYPERLINK("http://141.218.60.56/~jnz1568/getInfo.php?workbook=12_04.xlsx&amp;sheet=U0&amp;row=7853&amp;col=6&amp;number=3.9&amp;sourceID=14","3.9")</f>
        <v>3.9</v>
      </c>
      <c r="G7853" s="4" t="str">
        <f>HYPERLINK("http://141.218.60.56/~jnz1568/getInfo.php?workbook=12_04.xlsx&amp;sheet=U0&amp;row=7853&amp;col=7&amp;number=0.21&amp;sourceID=14","0.21")</f>
        <v>0.21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HYPERLINK("http://141.218.60.56/~jnz1568/getInfo.php?workbook=12_04.xlsx&amp;sheet=U0&amp;row=7854&amp;col=6&amp;number=4&amp;sourceID=14","4")</f>
        <v>4</v>
      </c>
      <c r="G7854" s="4" t="str">
        <f>HYPERLINK("http://141.218.60.56/~jnz1568/getInfo.php?workbook=12_04.xlsx&amp;sheet=U0&amp;row=7854&amp;col=7&amp;number=0.208&amp;sourceID=14","0.208")</f>
        <v>0.208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HYPERLINK("http://141.218.60.56/~jnz1568/getInfo.php?workbook=12_04.xlsx&amp;sheet=U0&amp;row=7855&amp;col=6&amp;number=4.1&amp;sourceID=14","4.1")</f>
        <v>4.1</v>
      </c>
      <c r="G7855" s="4" t="str">
        <f>HYPERLINK("http://141.218.60.56/~jnz1568/getInfo.php?workbook=12_04.xlsx&amp;sheet=U0&amp;row=7855&amp;col=7&amp;number=0.206&amp;sourceID=14","0.206")</f>
        <v>0.206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HYPERLINK("http://141.218.60.56/~jnz1568/getInfo.php?workbook=12_04.xlsx&amp;sheet=U0&amp;row=7856&amp;col=6&amp;number=4.2&amp;sourceID=14","4.2")</f>
        <v>4.2</v>
      </c>
      <c r="G7856" s="4" t="str">
        <f>HYPERLINK("http://141.218.60.56/~jnz1568/getInfo.php?workbook=12_04.xlsx&amp;sheet=U0&amp;row=7856&amp;col=7&amp;number=0.202&amp;sourceID=14","0.202")</f>
        <v>0.202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HYPERLINK("http://141.218.60.56/~jnz1568/getInfo.php?workbook=12_04.xlsx&amp;sheet=U0&amp;row=7857&amp;col=6&amp;number=4.3&amp;sourceID=14","4.3")</f>
        <v>4.3</v>
      </c>
      <c r="G7857" s="4" t="str">
        <f>HYPERLINK("http://141.218.60.56/~jnz1568/getInfo.php?workbook=12_04.xlsx&amp;sheet=U0&amp;row=7857&amp;col=7&amp;number=0.198&amp;sourceID=14","0.198")</f>
        <v>0.198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HYPERLINK("http://141.218.60.56/~jnz1568/getInfo.php?workbook=12_04.xlsx&amp;sheet=U0&amp;row=7858&amp;col=6&amp;number=4.4&amp;sourceID=14","4.4")</f>
        <v>4.4</v>
      </c>
      <c r="G7858" s="4" t="str">
        <f>HYPERLINK("http://141.218.60.56/~jnz1568/getInfo.php?workbook=12_04.xlsx&amp;sheet=U0&amp;row=7858&amp;col=7&amp;number=0.193&amp;sourceID=14","0.193")</f>
        <v>0.193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HYPERLINK("http://141.218.60.56/~jnz1568/getInfo.php?workbook=12_04.xlsx&amp;sheet=U0&amp;row=7859&amp;col=6&amp;number=4.5&amp;sourceID=14","4.5")</f>
        <v>4.5</v>
      </c>
      <c r="G7859" s="4" t="str">
        <f>HYPERLINK("http://141.218.60.56/~jnz1568/getInfo.php?workbook=12_04.xlsx&amp;sheet=U0&amp;row=7859&amp;col=7&amp;number=0.187&amp;sourceID=14","0.187")</f>
        <v>0.187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HYPERLINK("http://141.218.60.56/~jnz1568/getInfo.php?workbook=12_04.xlsx&amp;sheet=U0&amp;row=7860&amp;col=6&amp;number=4.6&amp;sourceID=14","4.6")</f>
        <v>4.6</v>
      </c>
      <c r="G7860" s="4" t="str">
        <f>HYPERLINK("http://141.218.60.56/~jnz1568/getInfo.php?workbook=12_04.xlsx&amp;sheet=U0&amp;row=7860&amp;col=7&amp;number=0.179&amp;sourceID=14","0.179")</f>
        <v>0.179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HYPERLINK("http://141.218.60.56/~jnz1568/getInfo.php?workbook=12_04.xlsx&amp;sheet=U0&amp;row=7861&amp;col=6&amp;number=4.7&amp;sourceID=14","4.7")</f>
        <v>4.7</v>
      </c>
      <c r="G7861" s="4" t="str">
        <f>HYPERLINK("http://141.218.60.56/~jnz1568/getInfo.php?workbook=12_04.xlsx&amp;sheet=U0&amp;row=7861&amp;col=7&amp;number=0.169&amp;sourceID=14","0.169")</f>
        <v>0.169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HYPERLINK("http://141.218.60.56/~jnz1568/getInfo.php?workbook=12_04.xlsx&amp;sheet=U0&amp;row=7862&amp;col=6&amp;number=4.8&amp;sourceID=14","4.8")</f>
        <v>4.8</v>
      </c>
      <c r="G7862" s="4" t="str">
        <f>HYPERLINK("http://141.218.60.56/~jnz1568/getInfo.php?workbook=12_04.xlsx&amp;sheet=U0&amp;row=7862&amp;col=7&amp;number=0.158&amp;sourceID=14","0.158")</f>
        <v>0.158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HYPERLINK("http://141.218.60.56/~jnz1568/getInfo.php?workbook=12_04.xlsx&amp;sheet=U0&amp;row=7863&amp;col=6&amp;number=4.9&amp;sourceID=14","4.9")</f>
        <v>4.9</v>
      </c>
      <c r="G7863" s="4" t="str">
        <f>HYPERLINK("http://141.218.60.56/~jnz1568/getInfo.php?workbook=12_04.xlsx&amp;sheet=U0&amp;row=7863&amp;col=7&amp;number=0.144&amp;sourceID=14","0.144")</f>
        <v>0.144</v>
      </c>
    </row>
    <row r="7864" spans="1:7">
      <c r="A7864" s="3">
        <v>12</v>
      </c>
      <c r="B7864" s="3">
        <v>4</v>
      </c>
      <c r="C7864" s="3">
        <v>5</v>
      </c>
      <c r="D7864" s="3">
        <v>17</v>
      </c>
      <c r="E7864" s="3">
        <v>1</v>
      </c>
      <c r="F7864" s="4" t="str">
        <f>HYPERLINK("http://141.218.60.56/~jnz1568/getInfo.php?workbook=12_04.xlsx&amp;sheet=U0&amp;row=7864&amp;col=6&amp;number=3&amp;sourceID=14","3")</f>
        <v>3</v>
      </c>
      <c r="G7864" s="4" t="str">
        <f>HYPERLINK("http://141.218.60.56/~jnz1568/getInfo.php?workbook=12_04.xlsx&amp;sheet=U0&amp;row=7864&amp;col=7&amp;number=0.0858&amp;sourceID=14","0.0858")</f>
        <v>0.0858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HYPERLINK("http://141.218.60.56/~jnz1568/getInfo.php?workbook=12_04.xlsx&amp;sheet=U0&amp;row=7865&amp;col=6&amp;number=3.1&amp;sourceID=14","3.1")</f>
        <v>3.1</v>
      </c>
      <c r="G7865" s="4" t="str">
        <f>HYPERLINK("http://141.218.60.56/~jnz1568/getInfo.php?workbook=12_04.xlsx&amp;sheet=U0&amp;row=7865&amp;col=7&amp;number=0.0857&amp;sourceID=14","0.0857")</f>
        <v>0.0857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HYPERLINK("http://141.218.60.56/~jnz1568/getInfo.php?workbook=12_04.xlsx&amp;sheet=U0&amp;row=7866&amp;col=6&amp;number=3.2&amp;sourceID=14","3.2")</f>
        <v>3.2</v>
      </c>
      <c r="G7866" s="4" t="str">
        <f>HYPERLINK("http://141.218.60.56/~jnz1568/getInfo.php?workbook=12_04.xlsx&amp;sheet=U0&amp;row=7866&amp;col=7&amp;number=0.0856&amp;sourceID=14","0.0856")</f>
        <v>0.0856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HYPERLINK("http://141.218.60.56/~jnz1568/getInfo.php?workbook=12_04.xlsx&amp;sheet=U0&amp;row=7867&amp;col=6&amp;number=3.3&amp;sourceID=14","3.3")</f>
        <v>3.3</v>
      </c>
      <c r="G7867" s="4" t="str">
        <f>HYPERLINK("http://141.218.60.56/~jnz1568/getInfo.php?workbook=12_04.xlsx&amp;sheet=U0&amp;row=7867&amp;col=7&amp;number=0.0854&amp;sourceID=14","0.0854")</f>
        <v>0.0854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HYPERLINK("http://141.218.60.56/~jnz1568/getInfo.php?workbook=12_04.xlsx&amp;sheet=U0&amp;row=7868&amp;col=6&amp;number=3.4&amp;sourceID=14","3.4")</f>
        <v>3.4</v>
      </c>
      <c r="G7868" s="4" t="str">
        <f>HYPERLINK("http://141.218.60.56/~jnz1568/getInfo.php?workbook=12_04.xlsx&amp;sheet=U0&amp;row=7868&amp;col=7&amp;number=0.0852&amp;sourceID=14","0.0852")</f>
        <v>0.0852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HYPERLINK("http://141.218.60.56/~jnz1568/getInfo.php?workbook=12_04.xlsx&amp;sheet=U0&amp;row=7869&amp;col=6&amp;number=3.5&amp;sourceID=14","3.5")</f>
        <v>3.5</v>
      </c>
      <c r="G7869" s="4" t="str">
        <f>HYPERLINK("http://141.218.60.56/~jnz1568/getInfo.php?workbook=12_04.xlsx&amp;sheet=U0&amp;row=7869&amp;col=7&amp;number=0.085&amp;sourceID=14","0.085")</f>
        <v>0.085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HYPERLINK("http://141.218.60.56/~jnz1568/getInfo.php?workbook=12_04.xlsx&amp;sheet=U0&amp;row=7870&amp;col=6&amp;number=3.6&amp;sourceID=14","3.6")</f>
        <v>3.6</v>
      </c>
      <c r="G7870" s="4" t="str">
        <f>HYPERLINK("http://141.218.60.56/~jnz1568/getInfo.php?workbook=12_04.xlsx&amp;sheet=U0&amp;row=7870&amp;col=7&amp;number=0.0847&amp;sourceID=14","0.0847")</f>
        <v>0.0847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HYPERLINK("http://141.218.60.56/~jnz1568/getInfo.php?workbook=12_04.xlsx&amp;sheet=U0&amp;row=7871&amp;col=6&amp;number=3.7&amp;sourceID=14","3.7")</f>
        <v>3.7</v>
      </c>
      <c r="G7871" s="4" t="str">
        <f>HYPERLINK("http://141.218.60.56/~jnz1568/getInfo.php?workbook=12_04.xlsx&amp;sheet=U0&amp;row=7871&amp;col=7&amp;number=0.0843&amp;sourceID=14","0.0843")</f>
        <v>0.0843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HYPERLINK("http://141.218.60.56/~jnz1568/getInfo.php?workbook=12_04.xlsx&amp;sheet=U0&amp;row=7872&amp;col=6&amp;number=3.8&amp;sourceID=14","3.8")</f>
        <v>3.8</v>
      </c>
      <c r="G7872" s="4" t="str">
        <f>HYPERLINK("http://141.218.60.56/~jnz1568/getInfo.php?workbook=12_04.xlsx&amp;sheet=U0&amp;row=7872&amp;col=7&amp;number=0.0839&amp;sourceID=14","0.0839")</f>
        <v>0.0839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HYPERLINK("http://141.218.60.56/~jnz1568/getInfo.php?workbook=12_04.xlsx&amp;sheet=U0&amp;row=7873&amp;col=6&amp;number=3.9&amp;sourceID=14","3.9")</f>
        <v>3.9</v>
      </c>
      <c r="G7873" s="4" t="str">
        <f>HYPERLINK("http://141.218.60.56/~jnz1568/getInfo.php?workbook=12_04.xlsx&amp;sheet=U0&amp;row=7873&amp;col=7&amp;number=0.0833&amp;sourceID=14","0.0833")</f>
        <v>0.0833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HYPERLINK("http://141.218.60.56/~jnz1568/getInfo.php?workbook=12_04.xlsx&amp;sheet=U0&amp;row=7874&amp;col=6&amp;number=4&amp;sourceID=14","4")</f>
        <v>4</v>
      </c>
      <c r="G7874" s="4" t="str">
        <f>HYPERLINK("http://141.218.60.56/~jnz1568/getInfo.php?workbook=12_04.xlsx&amp;sheet=U0&amp;row=7874&amp;col=7&amp;number=0.0826&amp;sourceID=14","0.0826")</f>
        <v>0.0826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HYPERLINK("http://141.218.60.56/~jnz1568/getInfo.php?workbook=12_04.xlsx&amp;sheet=U0&amp;row=7875&amp;col=6&amp;number=4.1&amp;sourceID=14","4.1")</f>
        <v>4.1</v>
      </c>
      <c r="G7875" s="4" t="str">
        <f>HYPERLINK("http://141.218.60.56/~jnz1568/getInfo.php?workbook=12_04.xlsx&amp;sheet=U0&amp;row=7875&amp;col=7&amp;number=0.0816&amp;sourceID=14","0.0816")</f>
        <v>0.0816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HYPERLINK("http://141.218.60.56/~jnz1568/getInfo.php?workbook=12_04.xlsx&amp;sheet=U0&amp;row=7876&amp;col=6&amp;number=4.2&amp;sourceID=14","4.2")</f>
        <v>4.2</v>
      </c>
      <c r="G7876" s="4" t="str">
        <f>HYPERLINK("http://141.218.60.56/~jnz1568/getInfo.php?workbook=12_04.xlsx&amp;sheet=U0&amp;row=7876&amp;col=7&amp;number=0.0805&amp;sourceID=14","0.0805")</f>
        <v>0.0805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HYPERLINK("http://141.218.60.56/~jnz1568/getInfo.php?workbook=12_04.xlsx&amp;sheet=U0&amp;row=7877&amp;col=6&amp;number=4.3&amp;sourceID=14","4.3")</f>
        <v>4.3</v>
      </c>
      <c r="G7877" s="4" t="str">
        <f>HYPERLINK("http://141.218.60.56/~jnz1568/getInfo.php?workbook=12_04.xlsx&amp;sheet=U0&amp;row=7877&amp;col=7&amp;number=0.079&amp;sourceID=14","0.079")</f>
        <v>0.079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HYPERLINK("http://141.218.60.56/~jnz1568/getInfo.php?workbook=12_04.xlsx&amp;sheet=U0&amp;row=7878&amp;col=6&amp;number=4.4&amp;sourceID=14","4.4")</f>
        <v>4.4</v>
      </c>
      <c r="G7878" s="4" t="str">
        <f>HYPERLINK("http://141.218.60.56/~jnz1568/getInfo.php?workbook=12_04.xlsx&amp;sheet=U0&amp;row=7878&amp;col=7&amp;number=0.0772&amp;sourceID=14","0.0772")</f>
        <v>0.0772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HYPERLINK("http://141.218.60.56/~jnz1568/getInfo.php?workbook=12_04.xlsx&amp;sheet=U0&amp;row=7879&amp;col=6&amp;number=4.5&amp;sourceID=14","4.5")</f>
        <v>4.5</v>
      </c>
      <c r="G7879" s="4" t="str">
        <f>HYPERLINK("http://141.218.60.56/~jnz1568/getInfo.php?workbook=12_04.xlsx&amp;sheet=U0&amp;row=7879&amp;col=7&amp;number=0.075&amp;sourceID=14","0.075")</f>
        <v>0.075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HYPERLINK("http://141.218.60.56/~jnz1568/getInfo.php?workbook=12_04.xlsx&amp;sheet=U0&amp;row=7880&amp;col=6&amp;number=4.6&amp;sourceID=14","4.6")</f>
        <v>4.6</v>
      </c>
      <c r="G7880" s="4" t="str">
        <f>HYPERLINK("http://141.218.60.56/~jnz1568/getInfo.php?workbook=12_04.xlsx&amp;sheet=U0&amp;row=7880&amp;col=7&amp;number=0.0722&amp;sourceID=14","0.0722")</f>
        <v>0.0722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HYPERLINK("http://141.218.60.56/~jnz1568/getInfo.php?workbook=12_04.xlsx&amp;sheet=U0&amp;row=7881&amp;col=6&amp;number=4.7&amp;sourceID=14","4.7")</f>
        <v>4.7</v>
      </c>
      <c r="G7881" s="4" t="str">
        <f>HYPERLINK("http://141.218.60.56/~jnz1568/getInfo.php?workbook=12_04.xlsx&amp;sheet=U0&amp;row=7881&amp;col=7&amp;number=0.0688&amp;sourceID=14","0.0688")</f>
        <v>0.0688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HYPERLINK("http://141.218.60.56/~jnz1568/getInfo.php?workbook=12_04.xlsx&amp;sheet=U0&amp;row=7882&amp;col=6&amp;number=4.8&amp;sourceID=14","4.8")</f>
        <v>4.8</v>
      </c>
      <c r="G7882" s="4" t="str">
        <f>HYPERLINK("http://141.218.60.56/~jnz1568/getInfo.php?workbook=12_04.xlsx&amp;sheet=U0&amp;row=7882&amp;col=7&amp;number=0.0647&amp;sourceID=14","0.0647")</f>
        <v>0.0647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HYPERLINK("http://141.218.60.56/~jnz1568/getInfo.php?workbook=12_04.xlsx&amp;sheet=U0&amp;row=7883&amp;col=6&amp;number=4.9&amp;sourceID=14","4.9")</f>
        <v>4.9</v>
      </c>
      <c r="G7883" s="4" t="str">
        <f>HYPERLINK("http://141.218.60.56/~jnz1568/getInfo.php?workbook=12_04.xlsx&amp;sheet=U0&amp;row=7883&amp;col=7&amp;number=0.0599&amp;sourceID=14","0.0599")</f>
        <v>0.0599</v>
      </c>
    </row>
    <row r="7884" spans="1:7">
      <c r="A7884" s="3">
        <v>12</v>
      </c>
      <c r="B7884" s="3">
        <v>4</v>
      </c>
      <c r="C7884" s="3">
        <v>5</v>
      </c>
      <c r="D7884" s="3">
        <v>18</v>
      </c>
      <c r="E7884" s="3">
        <v>1</v>
      </c>
      <c r="F7884" s="4" t="str">
        <f>HYPERLINK("http://141.218.60.56/~jnz1568/getInfo.php?workbook=12_04.xlsx&amp;sheet=U0&amp;row=7884&amp;col=6&amp;number=3&amp;sourceID=14","3")</f>
        <v>3</v>
      </c>
      <c r="G7884" s="4" t="str">
        <f>HYPERLINK("http://141.218.60.56/~jnz1568/getInfo.php?workbook=12_04.xlsx&amp;sheet=U0&amp;row=7884&amp;col=7&amp;number=0.141&amp;sourceID=14","0.141")</f>
        <v>0.141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HYPERLINK("http://141.218.60.56/~jnz1568/getInfo.php?workbook=12_04.xlsx&amp;sheet=U0&amp;row=7885&amp;col=6&amp;number=3.1&amp;sourceID=14","3.1")</f>
        <v>3.1</v>
      </c>
      <c r="G7885" s="4" t="str">
        <f>HYPERLINK("http://141.218.60.56/~jnz1568/getInfo.php?workbook=12_04.xlsx&amp;sheet=U0&amp;row=7885&amp;col=7&amp;number=0.141&amp;sourceID=14","0.141")</f>
        <v>0.141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HYPERLINK("http://141.218.60.56/~jnz1568/getInfo.php?workbook=12_04.xlsx&amp;sheet=U0&amp;row=7886&amp;col=6&amp;number=3.2&amp;sourceID=14","3.2")</f>
        <v>3.2</v>
      </c>
      <c r="G7886" s="4" t="str">
        <f>HYPERLINK("http://141.218.60.56/~jnz1568/getInfo.php?workbook=12_04.xlsx&amp;sheet=U0&amp;row=7886&amp;col=7&amp;number=0.141&amp;sourceID=14","0.141")</f>
        <v>0.141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HYPERLINK("http://141.218.60.56/~jnz1568/getInfo.php?workbook=12_04.xlsx&amp;sheet=U0&amp;row=7887&amp;col=6&amp;number=3.3&amp;sourceID=14","3.3")</f>
        <v>3.3</v>
      </c>
      <c r="G7887" s="4" t="str">
        <f>HYPERLINK("http://141.218.60.56/~jnz1568/getInfo.php?workbook=12_04.xlsx&amp;sheet=U0&amp;row=7887&amp;col=7&amp;number=0.14&amp;sourceID=14","0.14")</f>
        <v>0.14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HYPERLINK("http://141.218.60.56/~jnz1568/getInfo.php?workbook=12_04.xlsx&amp;sheet=U0&amp;row=7888&amp;col=6&amp;number=3.4&amp;sourceID=14","3.4")</f>
        <v>3.4</v>
      </c>
      <c r="G7888" s="4" t="str">
        <f>HYPERLINK("http://141.218.60.56/~jnz1568/getInfo.php?workbook=12_04.xlsx&amp;sheet=U0&amp;row=7888&amp;col=7&amp;number=0.14&amp;sourceID=14","0.14")</f>
        <v>0.14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HYPERLINK("http://141.218.60.56/~jnz1568/getInfo.php?workbook=12_04.xlsx&amp;sheet=U0&amp;row=7889&amp;col=6&amp;number=3.5&amp;sourceID=14","3.5")</f>
        <v>3.5</v>
      </c>
      <c r="G7889" s="4" t="str">
        <f>HYPERLINK("http://141.218.60.56/~jnz1568/getInfo.php?workbook=12_04.xlsx&amp;sheet=U0&amp;row=7889&amp;col=7&amp;number=0.14&amp;sourceID=14","0.14")</f>
        <v>0.14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HYPERLINK("http://141.218.60.56/~jnz1568/getInfo.php?workbook=12_04.xlsx&amp;sheet=U0&amp;row=7890&amp;col=6&amp;number=3.6&amp;sourceID=14","3.6")</f>
        <v>3.6</v>
      </c>
      <c r="G7890" s="4" t="str">
        <f>HYPERLINK("http://141.218.60.56/~jnz1568/getInfo.php?workbook=12_04.xlsx&amp;sheet=U0&amp;row=7890&amp;col=7&amp;number=0.139&amp;sourceID=14","0.139")</f>
        <v>0.139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HYPERLINK("http://141.218.60.56/~jnz1568/getInfo.php?workbook=12_04.xlsx&amp;sheet=U0&amp;row=7891&amp;col=6&amp;number=3.7&amp;sourceID=14","3.7")</f>
        <v>3.7</v>
      </c>
      <c r="G7891" s="4" t="str">
        <f>HYPERLINK("http://141.218.60.56/~jnz1568/getInfo.php?workbook=12_04.xlsx&amp;sheet=U0&amp;row=7891&amp;col=7&amp;number=0.138&amp;sourceID=14","0.138")</f>
        <v>0.138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HYPERLINK("http://141.218.60.56/~jnz1568/getInfo.php?workbook=12_04.xlsx&amp;sheet=U0&amp;row=7892&amp;col=6&amp;number=3.8&amp;sourceID=14","3.8")</f>
        <v>3.8</v>
      </c>
      <c r="G7892" s="4" t="str">
        <f>HYPERLINK("http://141.218.60.56/~jnz1568/getInfo.php?workbook=12_04.xlsx&amp;sheet=U0&amp;row=7892&amp;col=7&amp;number=0.138&amp;sourceID=14","0.138")</f>
        <v>0.138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HYPERLINK("http://141.218.60.56/~jnz1568/getInfo.php?workbook=12_04.xlsx&amp;sheet=U0&amp;row=7893&amp;col=6&amp;number=3.9&amp;sourceID=14","3.9")</f>
        <v>3.9</v>
      </c>
      <c r="G7893" s="4" t="str">
        <f>HYPERLINK("http://141.218.60.56/~jnz1568/getInfo.php?workbook=12_04.xlsx&amp;sheet=U0&amp;row=7893&amp;col=7&amp;number=0.137&amp;sourceID=14","0.137")</f>
        <v>0.137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HYPERLINK("http://141.218.60.56/~jnz1568/getInfo.php?workbook=12_04.xlsx&amp;sheet=U0&amp;row=7894&amp;col=6&amp;number=4&amp;sourceID=14","4")</f>
        <v>4</v>
      </c>
      <c r="G7894" s="4" t="str">
        <f>HYPERLINK("http://141.218.60.56/~jnz1568/getInfo.php?workbook=12_04.xlsx&amp;sheet=U0&amp;row=7894&amp;col=7&amp;number=0.135&amp;sourceID=14","0.135")</f>
        <v>0.135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HYPERLINK("http://141.218.60.56/~jnz1568/getInfo.php?workbook=12_04.xlsx&amp;sheet=U0&amp;row=7895&amp;col=6&amp;number=4.1&amp;sourceID=14","4.1")</f>
        <v>4.1</v>
      </c>
      <c r="G7895" s="4" t="str">
        <f>HYPERLINK("http://141.218.60.56/~jnz1568/getInfo.php?workbook=12_04.xlsx&amp;sheet=U0&amp;row=7895&amp;col=7&amp;number=0.134&amp;sourceID=14","0.134")</f>
        <v>0.134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HYPERLINK("http://141.218.60.56/~jnz1568/getInfo.php?workbook=12_04.xlsx&amp;sheet=U0&amp;row=7896&amp;col=6&amp;number=4.2&amp;sourceID=14","4.2")</f>
        <v>4.2</v>
      </c>
      <c r="G7896" s="4" t="str">
        <f>HYPERLINK("http://141.218.60.56/~jnz1568/getInfo.php?workbook=12_04.xlsx&amp;sheet=U0&amp;row=7896&amp;col=7&amp;number=0.132&amp;sourceID=14","0.132")</f>
        <v>0.132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HYPERLINK("http://141.218.60.56/~jnz1568/getInfo.php?workbook=12_04.xlsx&amp;sheet=U0&amp;row=7897&amp;col=6&amp;number=4.3&amp;sourceID=14","4.3")</f>
        <v>4.3</v>
      </c>
      <c r="G7897" s="4" t="str">
        <f>HYPERLINK("http://141.218.60.56/~jnz1568/getInfo.php?workbook=12_04.xlsx&amp;sheet=U0&amp;row=7897&amp;col=7&amp;number=0.13&amp;sourceID=14","0.13")</f>
        <v>0.13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HYPERLINK("http://141.218.60.56/~jnz1568/getInfo.php?workbook=12_04.xlsx&amp;sheet=U0&amp;row=7898&amp;col=6&amp;number=4.4&amp;sourceID=14","4.4")</f>
        <v>4.4</v>
      </c>
      <c r="G7898" s="4" t="str">
        <f>HYPERLINK("http://141.218.60.56/~jnz1568/getInfo.php?workbook=12_04.xlsx&amp;sheet=U0&amp;row=7898&amp;col=7&amp;number=0.126&amp;sourceID=14","0.126")</f>
        <v>0.126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HYPERLINK("http://141.218.60.56/~jnz1568/getInfo.php?workbook=12_04.xlsx&amp;sheet=U0&amp;row=7899&amp;col=6&amp;number=4.5&amp;sourceID=14","4.5")</f>
        <v>4.5</v>
      </c>
      <c r="G7899" s="4" t="str">
        <f>HYPERLINK("http://141.218.60.56/~jnz1568/getInfo.php?workbook=12_04.xlsx&amp;sheet=U0&amp;row=7899&amp;col=7&amp;number=0.123&amp;sourceID=14","0.123")</f>
        <v>0.123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HYPERLINK("http://141.218.60.56/~jnz1568/getInfo.php?workbook=12_04.xlsx&amp;sheet=U0&amp;row=7900&amp;col=6&amp;number=4.6&amp;sourceID=14","4.6")</f>
        <v>4.6</v>
      </c>
      <c r="G7900" s="4" t="str">
        <f>HYPERLINK("http://141.218.60.56/~jnz1568/getInfo.php?workbook=12_04.xlsx&amp;sheet=U0&amp;row=7900&amp;col=7&amp;number=0.118&amp;sourceID=14","0.118")</f>
        <v>0.118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HYPERLINK("http://141.218.60.56/~jnz1568/getInfo.php?workbook=12_04.xlsx&amp;sheet=U0&amp;row=7901&amp;col=6&amp;number=4.7&amp;sourceID=14","4.7")</f>
        <v>4.7</v>
      </c>
      <c r="G7901" s="4" t="str">
        <f>HYPERLINK("http://141.218.60.56/~jnz1568/getInfo.php?workbook=12_04.xlsx&amp;sheet=U0&amp;row=7901&amp;col=7&amp;number=0.112&amp;sourceID=14","0.112")</f>
        <v>0.112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HYPERLINK("http://141.218.60.56/~jnz1568/getInfo.php?workbook=12_04.xlsx&amp;sheet=U0&amp;row=7902&amp;col=6&amp;number=4.8&amp;sourceID=14","4.8")</f>
        <v>4.8</v>
      </c>
      <c r="G7902" s="4" t="str">
        <f>HYPERLINK("http://141.218.60.56/~jnz1568/getInfo.php?workbook=12_04.xlsx&amp;sheet=U0&amp;row=7902&amp;col=7&amp;number=0.105&amp;sourceID=14","0.105")</f>
        <v>0.105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HYPERLINK("http://141.218.60.56/~jnz1568/getInfo.php?workbook=12_04.xlsx&amp;sheet=U0&amp;row=7903&amp;col=6&amp;number=4.9&amp;sourceID=14","4.9")</f>
        <v>4.9</v>
      </c>
      <c r="G7903" s="4" t="str">
        <f>HYPERLINK("http://141.218.60.56/~jnz1568/getInfo.php?workbook=12_04.xlsx&amp;sheet=U0&amp;row=7903&amp;col=7&amp;number=0.0974&amp;sourceID=14","0.0974")</f>
        <v>0.0974</v>
      </c>
    </row>
    <row r="7904" spans="1:7">
      <c r="A7904" s="3">
        <v>12</v>
      </c>
      <c r="B7904" s="3">
        <v>4</v>
      </c>
      <c r="C7904" s="3">
        <v>5</v>
      </c>
      <c r="D7904" s="3">
        <v>19</v>
      </c>
      <c r="E7904" s="3">
        <v>1</v>
      </c>
      <c r="F7904" s="4" t="str">
        <f>HYPERLINK("http://141.218.60.56/~jnz1568/getInfo.php?workbook=12_04.xlsx&amp;sheet=U0&amp;row=7904&amp;col=6&amp;number=3&amp;sourceID=14","3")</f>
        <v>3</v>
      </c>
      <c r="G7904" s="4" t="str">
        <f>HYPERLINK("http://141.218.60.56/~jnz1568/getInfo.php?workbook=12_04.xlsx&amp;sheet=U0&amp;row=7904&amp;col=7&amp;number=0.192&amp;sourceID=14","0.192")</f>
        <v>0.192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HYPERLINK("http://141.218.60.56/~jnz1568/getInfo.php?workbook=12_04.xlsx&amp;sheet=U0&amp;row=7905&amp;col=6&amp;number=3.1&amp;sourceID=14","3.1")</f>
        <v>3.1</v>
      </c>
      <c r="G7905" s="4" t="str">
        <f>HYPERLINK("http://141.218.60.56/~jnz1568/getInfo.php?workbook=12_04.xlsx&amp;sheet=U0&amp;row=7905&amp;col=7&amp;number=0.192&amp;sourceID=14","0.192")</f>
        <v>0.192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HYPERLINK("http://141.218.60.56/~jnz1568/getInfo.php?workbook=12_04.xlsx&amp;sheet=U0&amp;row=7906&amp;col=6&amp;number=3.2&amp;sourceID=14","3.2")</f>
        <v>3.2</v>
      </c>
      <c r="G7906" s="4" t="str">
        <f>HYPERLINK("http://141.218.60.56/~jnz1568/getInfo.php?workbook=12_04.xlsx&amp;sheet=U0&amp;row=7906&amp;col=7&amp;number=0.191&amp;sourceID=14","0.191")</f>
        <v>0.191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HYPERLINK("http://141.218.60.56/~jnz1568/getInfo.php?workbook=12_04.xlsx&amp;sheet=U0&amp;row=7907&amp;col=6&amp;number=3.3&amp;sourceID=14","3.3")</f>
        <v>3.3</v>
      </c>
      <c r="G7907" s="4" t="str">
        <f>HYPERLINK("http://141.218.60.56/~jnz1568/getInfo.php?workbook=12_04.xlsx&amp;sheet=U0&amp;row=7907&amp;col=7&amp;number=0.191&amp;sourceID=14","0.191")</f>
        <v>0.191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HYPERLINK("http://141.218.60.56/~jnz1568/getInfo.php?workbook=12_04.xlsx&amp;sheet=U0&amp;row=7908&amp;col=6&amp;number=3.4&amp;sourceID=14","3.4")</f>
        <v>3.4</v>
      </c>
      <c r="G7908" s="4" t="str">
        <f>HYPERLINK("http://141.218.60.56/~jnz1568/getInfo.php?workbook=12_04.xlsx&amp;sheet=U0&amp;row=7908&amp;col=7&amp;number=0.191&amp;sourceID=14","0.191")</f>
        <v>0.191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HYPERLINK("http://141.218.60.56/~jnz1568/getInfo.php?workbook=12_04.xlsx&amp;sheet=U0&amp;row=7909&amp;col=6&amp;number=3.5&amp;sourceID=14","3.5")</f>
        <v>3.5</v>
      </c>
      <c r="G7909" s="4" t="str">
        <f>HYPERLINK("http://141.218.60.56/~jnz1568/getInfo.php?workbook=12_04.xlsx&amp;sheet=U0&amp;row=7909&amp;col=7&amp;number=0.19&amp;sourceID=14","0.19")</f>
        <v>0.19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HYPERLINK("http://141.218.60.56/~jnz1568/getInfo.php?workbook=12_04.xlsx&amp;sheet=U0&amp;row=7910&amp;col=6&amp;number=3.6&amp;sourceID=14","3.6")</f>
        <v>3.6</v>
      </c>
      <c r="G7910" s="4" t="str">
        <f>HYPERLINK("http://141.218.60.56/~jnz1568/getInfo.php?workbook=12_04.xlsx&amp;sheet=U0&amp;row=7910&amp;col=7&amp;number=0.19&amp;sourceID=14","0.19")</f>
        <v>0.19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HYPERLINK("http://141.218.60.56/~jnz1568/getInfo.php?workbook=12_04.xlsx&amp;sheet=U0&amp;row=7911&amp;col=6&amp;number=3.7&amp;sourceID=14","3.7")</f>
        <v>3.7</v>
      </c>
      <c r="G7911" s="4" t="str">
        <f>HYPERLINK("http://141.218.60.56/~jnz1568/getInfo.php?workbook=12_04.xlsx&amp;sheet=U0&amp;row=7911&amp;col=7&amp;number=0.189&amp;sourceID=14","0.189")</f>
        <v>0.189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HYPERLINK("http://141.218.60.56/~jnz1568/getInfo.php?workbook=12_04.xlsx&amp;sheet=U0&amp;row=7912&amp;col=6&amp;number=3.8&amp;sourceID=14","3.8")</f>
        <v>3.8</v>
      </c>
      <c r="G7912" s="4" t="str">
        <f>HYPERLINK("http://141.218.60.56/~jnz1568/getInfo.php?workbook=12_04.xlsx&amp;sheet=U0&amp;row=7912&amp;col=7&amp;number=0.188&amp;sourceID=14","0.188")</f>
        <v>0.188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HYPERLINK("http://141.218.60.56/~jnz1568/getInfo.php?workbook=12_04.xlsx&amp;sheet=U0&amp;row=7913&amp;col=6&amp;number=3.9&amp;sourceID=14","3.9")</f>
        <v>3.9</v>
      </c>
      <c r="G7913" s="4" t="str">
        <f>HYPERLINK("http://141.218.60.56/~jnz1568/getInfo.php?workbook=12_04.xlsx&amp;sheet=U0&amp;row=7913&amp;col=7&amp;number=0.187&amp;sourceID=14","0.187")</f>
        <v>0.187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HYPERLINK("http://141.218.60.56/~jnz1568/getInfo.php?workbook=12_04.xlsx&amp;sheet=U0&amp;row=7914&amp;col=6&amp;number=4&amp;sourceID=14","4")</f>
        <v>4</v>
      </c>
      <c r="G7914" s="4" t="str">
        <f>HYPERLINK("http://141.218.60.56/~jnz1568/getInfo.php?workbook=12_04.xlsx&amp;sheet=U0&amp;row=7914&amp;col=7&amp;number=0.185&amp;sourceID=14","0.185")</f>
        <v>0.185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HYPERLINK("http://141.218.60.56/~jnz1568/getInfo.php?workbook=12_04.xlsx&amp;sheet=U0&amp;row=7915&amp;col=6&amp;number=4.1&amp;sourceID=14","4.1")</f>
        <v>4.1</v>
      </c>
      <c r="G7915" s="4" t="str">
        <f>HYPERLINK("http://141.218.60.56/~jnz1568/getInfo.php?workbook=12_04.xlsx&amp;sheet=U0&amp;row=7915&amp;col=7&amp;number=0.183&amp;sourceID=14","0.183")</f>
        <v>0.183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HYPERLINK("http://141.218.60.56/~jnz1568/getInfo.php?workbook=12_04.xlsx&amp;sheet=U0&amp;row=7916&amp;col=6&amp;number=4.2&amp;sourceID=14","4.2")</f>
        <v>4.2</v>
      </c>
      <c r="G7916" s="4" t="str">
        <f>HYPERLINK("http://141.218.60.56/~jnz1568/getInfo.php?workbook=12_04.xlsx&amp;sheet=U0&amp;row=7916&amp;col=7&amp;number=0.181&amp;sourceID=14","0.181")</f>
        <v>0.181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HYPERLINK("http://141.218.60.56/~jnz1568/getInfo.php?workbook=12_04.xlsx&amp;sheet=U0&amp;row=7917&amp;col=6&amp;number=4.3&amp;sourceID=14","4.3")</f>
        <v>4.3</v>
      </c>
      <c r="G7917" s="4" t="str">
        <f>HYPERLINK("http://141.218.60.56/~jnz1568/getInfo.php?workbook=12_04.xlsx&amp;sheet=U0&amp;row=7917&amp;col=7&amp;number=0.178&amp;sourceID=14","0.178")</f>
        <v>0.178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HYPERLINK("http://141.218.60.56/~jnz1568/getInfo.php?workbook=12_04.xlsx&amp;sheet=U0&amp;row=7918&amp;col=6&amp;number=4.4&amp;sourceID=14","4.4")</f>
        <v>4.4</v>
      </c>
      <c r="G7918" s="4" t="str">
        <f>HYPERLINK("http://141.218.60.56/~jnz1568/getInfo.php?workbook=12_04.xlsx&amp;sheet=U0&amp;row=7918&amp;col=7&amp;number=0.174&amp;sourceID=14","0.174")</f>
        <v>0.174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HYPERLINK("http://141.218.60.56/~jnz1568/getInfo.php?workbook=12_04.xlsx&amp;sheet=U0&amp;row=7919&amp;col=6&amp;number=4.5&amp;sourceID=14","4.5")</f>
        <v>4.5</v>
      </c>
      <c r="G7919" s="4" t="str">
        <f>HYPERLINK("http://141.218.60.56/~jnz1568/getInfo.php?workbook=12_04.xlsx&amp;sheet=U0&amp;row=7919&amp;col=7&amp;number=0.169&amp;sourceID=14","0.169")</f>
        <v>0.169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HYPERLINK("http://141.218.60.56/~jnz1568/getInfo.php?workbook=12_04.xlsx&amp;sheet=U0&amp;row=7920&amp;col=6&amp;number=4.6&amp;sourceID=14","4.6")</f>
        <v>4.6</v>
      </c>
      <c r="G7920" s="4" t="str">
        <f>HYPERLINK("http://141.218.60.56/~jnz1568/getInfo.php?workbook=12_04.xlsx&amp;sheet=U0&amp;row=7920&amp;col=7&amp;number=0.164&amp;sourceID=14","0.164")</f>
        <v>0.164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HYPERLINK("http://141.218.60.56/~jnz1568/getInfo.php?workbook=12_04.xlsx&amp;sheet=U0&amp;row=7921&amp;col=6&amp;number=4.7&amp;sourceID=14","4.7")</f>
        <v>4.7</v>
      </c>
      <c r="G7921" s="4" t="str">
        <f>HYPERLINK("http://141.218.60.56/~jnz1568/getInfo.php?workbook=12_04.xlsx&amp;sheet=U0&amp;row=7921&amp;col=7&amp;number=0.157&amp;sourceID=14","0.157")</f>
        <v>0.157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HYPERLINK("http://141.218.60.56/~jnz1568/getInfo.php?workbook=12_04.xlsx&amp;sheet=U0&amp;row=7922&amp;col=6&amp;number=4.8&amp;sourceID=14","4.8")</f>
        <v>4.8</v>
      </c>
      <c r="G7922" s="4" t="str">
        <f>HYPERLINK("http://141.218.60.56/~jnz1568/getInfo.php?workbook=12_04.xlsx&amp;sheet=U0&amp;row=7922&amp;col=7&amp;number=0.148&amp;sourceID=14","0.148")</f>
        <v>0.148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HYPERLINK("http://141.218.60.56/~jnz1568/getInfo.php?workbook=12_04.xlsx&amp;sheet=U0&amp;row=7923&amp;col=6&amp;number=4.9&amp;sourceID=14","4.9")</f>
        <v>4.9</v>
      </c>
      <c r="G7923" s="4" t="str">
        <f>HYPERLINK("http://141.218.60.56/~jnz1568/getInfo.php?workbook=12_04.xlsx&amp;sheet=U0&amp;row=7923&amp;col=7&amp;number=0.138&amp;sourceID=14","0.138")</f>
        <v>0.138</v>
      </c>
    </row>
    <row r="7924" spans="1:7">
      <c r="A7924" s="3">
        <v>12</v>
      </c>
      <c r="B7924" s="3">
        <v>4</v>
      </c>
      <c r="C7924" s="3">
        <v>5</v>
      </c>
      <c r="D7924" s="3">
        <v>20</v>
      </c>
      <c r="E7924" s="3">
        <v>1</v>
      </c>
      <c r="F7924" s="4" t="str">
        <f>HYPERLINK("http://141.218.60.56/~jnz1568/getInfo.php?workbook=12_04.xlsx&amp;sheet=U0&amp;row=7924&amp;col=6&amp;number=3&amp;sourceID=14","3")</f>
        <v>3</v>
      </c>
      <c r="G7924" s="4" t="str">
        <f>HYPERLINK("http://141.218.60.56/~jnz1568/getInfo.php?workbook=12_04.xlsx&amp;sheet=U0&amp;row=7924&amp;col=7&amp;number=0.352&amp;sourceID=14","0.352")</f>
        <v>0.352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HYPERLINK("http://141.218.60.56/~jnz1568/getInfo.php?workbook=12_04.xlsx&amp;sheet=U0&amp;row=7925&amp;col=6&amp;number=3.1&amp;sourceID=14","3.1")</f>
        <v>3.1</v>
      </c>
      <c r="G7925" s="4" t="str">
        <f>HYPERLINK("http://141.218.60.56/~jnz1568/getInfo.php?workbook=12_04.xlsx&amp;sheet=U0&amp;row=7925&amp;col=7&amp;number=0.352&amp;sourceID=14","0.352")</f>
        <v>0.352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HYPERLINK("http://141.218.60.56/~jnz1568/getInfo.php?workbook=12_04.xlsx&amp;sheet=U0&amp;row=7926&amp;col=6&amp;number=3.2&amp;sourceID=14","3.2")</f>
        <v>3.2</v>
      </c>
      <c r="G7926" s="4" t="str">
        <f>HYPERLINK("http://141.218.60.56/~jnz1568/getInfo.php?workbook=12_04.xlsx&amp;sheet=U0&amp;row=7926&amp;col=7&amp;number=0.353&amp;sourceID=14","0.353")</f>
        <v>0.353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HYPERLINK("http://141.218.60.56/~jnz1568/getInfo.php?workbook=12_04.xlsx&amp;sheet=U0&amp;row=7927&amp;col=6&amp;number=3.3&amp;sourceID=14","3.3")</f>
        <v>3.3</v>
      </c>
      <c r="G7927" s="4" t="str">
        <f>HYPERLINK("http://141.218.60.56/~jnz1568/getInfo.php?workbook=12_04.xlsx&amp;sheet=U0&amp;row=7927&amp;col=7&amp;number=0.353&amp;sourceID=14","0.353")</f>
        <v>0.353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HYPERLINK("http://141.218.60.56/~jnz1568/getInfo.php?workbook=12_04.xlsx&amp;sheet=U0&amp;row=7928&amp;col=6&amp;number=3.4&amp;sourceID=14","3.4")</f>
        <v>3.4</v>
      </c>
      <c r="G7928" s="4" t="str">
        <f>HYPERLINK("http://141.218.60.56/~jnz1568/getInfo.php?workbook=12_04.xlsx&amp;sheet=U0&amp;row=7928&amp;col=7&amp;number=0.353&amp;sourceID=14","0.353")</f>
        <v>0.353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HYPERLINK("http://141.218.60.56/~jnz1568/getInfo.php?workbook=12_04.xlsx&amp;sheet=U0&amp;row=7929&amp;col=6&amp;number=3.5&amp;sourceID=14","3.5")</f>
        <v>3.5</v>
      </c>
      <c r="G7929" s="4" t="str">
        <f>HYPERLINK("http://141.218.60.56/~jnz1568/getInfo.php?workbook=12_04.xlsx&amp;sheet=U0&amp;row=7929&amp;col=7&amp;number=0.353&amp;sourceID=14","0.353")</f>
        <v>0.353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HYPERLINK("http://141.218.60.56/~jnz1568/getInfo.php?workbook=12_04.xlsx&amp;sheet=U0&amp;row=7930&amp;col=6&amp;number=3.6&amp;sourceID=14","3.6")</f>
        <v>3.6</v>
      </c>
      <c r="G7930" s="4" t="str">
        <f>HYPERLINK("http://141.218.60.56/~jnz1568/getInfo.php?workbook=12_04.xlsx&amp;sheet=U0&amp;row=7930&amp;col=7&amp;number=0.353&amp;sourceID=14","0.353")</f>
        <v>0.353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HYPERLINK("http://141.218.60.56/~jnz1568/getInfo.php?workbook=12_04.xlsx&amp;sheet=U0&amp;row=7931&amp;col=6&amp;number=3.7&amp;sourceID=14","3.7")</f>
        <v>3.7</v>
      </c>
      <c r="G7931" s="4" t="str">
        <f>HYPERLINK("http://141.218.60.56/~jnz1568/getInfo.php?workbook=12_04.xlsx&amp;sheet=U0&amp;row=7931&amp;col=7&amp;number=0.354&amp;sourceID=14","0.354")</f>
        <v>0.354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HYPERLINK("http://141.218.60.56/~jnz1568/getInfo.php?workbook=12_04.xlsx&amp;sheet=U0&amp;row=7932&amp;col=6&amp;number=3.8&amp;sourceID=14","3.8")</f>
        <v>3.8</v>
      </c>
      <c r="G7932" s="4" t="str">
        <f>HYPERLINK("http://141.218.60.56/~jnz1568/getInfo.php?workbook=12_04.xlsx&amp;sheet=U0&amp;row=7932&amp;col=7&amp;number=0.354&amp;sourceID=14","0.354")</f>
        <v>0.354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HYPERLINK("http://141.218.60.56/~jnz1568/getInfo.php?workbook=12_04.xlsx&amp;sheet=U0&amp;row=7933&amp;col=6&amp;number=3.9&amp;sourceID=14","3.9")</f>
        <v>3.9</v>
      </c>
      <c r="G7933" s="4" t="str">
        <f>HYPERLINK("http://141.218.60.56/~jnz1568/getInfo.php?workbook=12_04.xlsx&amp;sheet=U0&amp;row=7933&amp;col=7&amp;number=0.355&amp;sourceID=14","0.355")</f>
        <v>0.355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HYPERLINK("http://141.218.60.56/~jnz1568/getInfo.php?workbook=12_04.xlsx&amp;sheet=U0&amp;row=7934&amp;col=6&amp;number=4&amp;sourceID=14","4")</f>
        <v>4</v>
      </c>
      <c r="G7934" s="4" t="str">
        <f>HYPERLINK("http://141.218.60.56/~jnz1568/getInfo.php?workbook=12_04.xlsx&amp;sheet=U0&amp;row=7934&amp;col=7&amp;number=0.355&amp;sourceID=14","0.355")</f>
        <v>0.355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HYPERLINK("http://141.218.60.56/~jnz1568/getInfo.php?workbook=12_04.xlsx&amp;sheet=U0&amp;row=7935&amp;col=6&amp;number=4.1&amp;sourceID=14","4.1")</f>
        <v>4.1</v>
      </c>
      <c r="G7935" s="4" t="str">
        <f>HYPERLINK("http://141.218.60.56/~jnz1568/getInfo.php?workbook=12_04.xlsx&amp;sheet=U0&amp;row=7935&amp;col=7&amp;number=0.356&amp;sourceID=14","0.356")</f>
        <v>0.356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HYPERLINK("http://141.218.60.56/~jnz1568/getInfo.php?workbook=12_04.xlsx&amp;sheet=U0&amp;row=7936&amp;col=6&amp;number=4.2&amp;sourceID=14","4.2")</f>
        <v>4.2</v>
      </c>
      <c r="G7936" s="4" t="str">
        <f>HYPERLINK("http://141.218.60.56/~jnz1568/getInfo.php?workbook=12_04.xlsx&amp;sheet=U0&amp;row=7936&amp;col=7&amp;number=0.357&amp;sourceID=14","0.357")</f>
        <v>0.357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HYPERLINK("http://141.218.60.56/~jnz1568/getInfo.php?workbook=12_04.xlsx&amp;sheet=U0&amp;row=7937&amp;col=6&amp;number=4.3&amp;sourceID=14","4.3")</f>
        <v>4.3</v>
      </c>
      <c r="G7937" s="4" t="str">
        <f>HYPERLINK("http://141.218.60.56/~jnz1568/getInfo.php?workbook=12_04.xlsx&amp;sheet=U0&amp;row=7937&amp;col=7&amp;number=0.358&amp;sourceID=14","0.358")</f>
        <v>0.358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HYPERLINK("http://141.218.60.56/~jnz1568/getInfo.php?workbook=12_04.xlsx&amp;sheet=U0&amp;row=7938&amp;col=6&amp;number=4.4&amp;sourceID=14","4.4")</f>
        <v>4.4</v>
      </c>
      <c r="G7938" s="4" t="str">
        <f>HYPERLINK("http://141.218.60.56/~jnz1568/getInfo.php?workbook=12_04.xlsx&amp;sheet=U0&amp;row=7938&amp;col=7&amp;number=0.36&amp;sourceID=14","0.36")</f>
        <v>0.36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HYPERLINK("http://141.218.60.56/~jnz1568/getInfo.php?workbook=12_04.xlsx&amp;sheet=U0&amp;row=7939&amp;col=6&amp;number=4.5&amp;sourceID=14","4.5")</f>
        <v>4.5</v>
      </c>
      <c r="G7939" s="4" t="str">
        <f>HYPERLINK("http://141.218.60.56/~jnz1568/getInfo.php?workbook=12_04.xlsx&amp;sheet=U0&amp;row=7939&amp;col=7&amp;number=0.361&amp;sourceID=14","0.361")</f>
        <v>0.361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HYPERLINK("http://141.218.60.56/~jnz1568/getInfo.php?workbook=12_04.xlsx&amp;sheet=U0&amp;row=7940&amp;col=6&amp;number=4.6&amp;sourceID=14","4.6")</f>
        <v>4.6</v>
      </c>
      <c r="G7940" s="4" t="str">
        <f>HYPERLINK("http://141.218.60.56/~jnz1568/getInfo.php?workbook=12_04.xlsx&amp;sheet=U0&amp;row=7940&amp;col=7&amp;number=0.364&amp;sourceID=14","0.364")</f>
        <v>0.364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HYPERLINK("http://141.218.60.56/~jnz1568/getInfo.php?workbook=12_04.xlsx&amp;sheet=U0&amp;row=7941&amp;col=6&amp;number=4.7&amp;sourceID=14","4.7")</f>
        <v>4.7</v>
      </c>
      <c r="G7941" s="4" t="str">
        <f>HYPERLINK("http://141.218.60.56/~jnz1568/getInfo.php?workbook=12_04.xlsx&amp;sheet=U0&amp;row=7941&amp;col=7&amp;number=0.367&amp;sourceID=14","0.367")</f>
        <v>0.367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HYPERLINK("http://141.218.60.56/~jnz1568/getInfo.php?workbook=12_04.xlsx&amp;sheet=U0&amp;row=7942&amp;col=6&amp;number=4.8&amp;sourceID=14","4.8")</f>
        <v>4.8</v>
      </c>
      <c r="G7942" s="4" t="str">
        <f>HYPERLINK("http://141.218.60.56/~jnz1568/getInfo.php?workbook=12_04.xlsx&amp;sheet=U0&amp;row=7942&amp;col=7&amp;number=0.37&amp;sourceID=14","0.37")</f>
        <v>0.37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HYPERLINK("http://141.218.60.56/~jnz1568/getInfo.php?workbook=12_04.xlsx&amp;sheet=U0&amp;row=7943&amp;col=6&amp;number=4.9&amp;sourceID=14","4.9")</f>
        <v>4.9</v>
      </c>
      <c r="G7943" s="4" t="str">
        <f>HYPERLINK("http://141.218.60.56/~jnz1568/getInfo.php?workbook=12_04.xlsx&amp;sheet=U0&amp;row=7943&amp;col=7&amp;number=0.374&amp;sourceID=14","0.374")</f>
        <v>0.374</v>
      </c>
    </row>
    <row r="7944" spans="1:7">
      <c r="A7944" s="3">
        <v>12</v>
      </c>
      <c r="B7944" s="3">
        <v>4</v>
      </c>
      <c r="C7944" s="3">
        <v>5</v>
      </c>
      <c r="D7944" s="3">
        <v>21</v>
      </c>
      <c r="E7944" s="3">
        <v>1</v>
      </c>
      <c r="F7944" s="4" t="str">
        <f>HYPERLINK("http://141.218.60.56/~jnz1568/getInfo.php?workbook=12_04.xlsx&amp;sheet=U0&amp;row=7944&amp;col=6&amp;number=3&amp;sourceID=14","3")</f>
        <v>3</v>
      </c>
      <c r="G7944" s="4" t="str">
        <f>HYPERLINK("http://141.218.60.56/~jnz1568/getInfo.php?workbook=12_04.xlsx&amp;sheet=U0&amp;row=7944&amp;col=7&amp;number=0.0368&amp;sourceID=14","0.0368")</f>
        <v>0.0368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HYPERLINK("http://141.218.60.56/~jnz1568/getInfo.php?workbook=12_04.xlsx&amp;sheet=U0&amp;row=7945&amp;col=6&amp;number=3.1&amp;sourceID=14","3.1")</f>
        <v>3.1</v>
      </c>
      <c r="G7945" s="4" t="str">
        <f>HYPERLINK("http://141.218.60.56/~jnz1568/getInfo.php?workbook=12_04.xlsx&amp;sheet=U0&amp;row=7945&amp;col=7&amp;number=0.0368&amp;sourceID=14","0.0368")</f>
        <v>0.0368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HYPERLINK("http://141.218.60.56/~jnz1568/getInfo.php?workbook=12_04.xlsx&amp;sheet=U0&amp;row=7946&amp;col=6&amp;number=3.2&amp;sourceID=14","3.2")</f>
        <v>3.2</v>
      </c>
      <c r="G7946" s="4" t="str">
        <f>HYPERLINK("http://141.218.60.56/~jnz1568/getInfo.php?workbook=12_04.xlsx&amp;sheet=U0&amp;row=7946&amp;col=7&amp;number=0.0367&amp;sourceID=14","0.0367")</f>
        <v>0.0367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HYPERLINK("http://141.218.60.56/~jnz1568/getInfo.php?workbook=12_04.xlsx&amp;sheet=U0&amp;row=7947&amp;col=6&amp;number=3.3&amp;sourceID=14","3.3")</f>
        <v>3.3</v>
      </c>
      <c r="G7947" s="4" t="str">
        <f>HYPERLINK("http://141.218.60.56/~jnz1568/getInfo.php?workbook=12_04.xlsx&amp;sheet=U0&amp;row=7947&amp;col=7&amp;number=0.0365&amp;sourceID=14","0.0365")</f>
        <v>0.0365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HYPERLINK("http://141.218.60.56/~jnz1568/getInfo.php?workbook=12_04.xlsx&amp;sheet=U0&amp;row=7948&amp;col=6&amp;number=3.4&amp;sourceID=14","3.4")</f>
        <v>3.4</v>
      </c>
      <c r="G7948" s="4" t="str">
        <f>HYPERLINK("http://141.218.60.56/~jnz1568/getInfo.php?workbook=12_04.xlsx&amp;sheet=U0&amp;row=7948&amp;col=7&amp;number=0.0364&amp;sourceID=14","0.0364")</f>
        <v>0.0364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HYPERLINK("http://141.218.60.56/~jnz1568/getInfo.php?workbook=12_04.xlsx&amp;sheet=U0&amp;row=7949&amp;col=6&amp;number=3.5&amp;sourceID=14","3.5")</f>
        <v>3.5</v>
      </c>
      <c r="G7949" s="4" t="str">
        <f>HYPERLINK("http://141.218.60.56/~jnz1568/getInfo.php?workbook=12_04.xlsx&amp;sheet=U0&amp;row=7949&amp;col=7&amp;number=0.0362&amp;sourceID=14","0.0362")</f>
        <v>0.0362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HYPERLINK("http://141.218.60.56/~jnz1568/getInfo.php?workbook=12_04.xlsx&amp;sheet=U0&amp;row=7950&amp;col=6&amp;number=3.6&amp;sourceID=14","3.6")</f>
        <v>3.6</v>
      </c>
      <c r="G7950" s="4" t="str">
        <f>HYPERLINK("http://141.218.60.56/~jnz1568/getInfo.php?workbook=12_04.xlsx&amp;sheet=U0&amp;row=7950&amp;col=7&amp;number=0.0359&amp;sourceID=14","0.0359")</f>
        <v>0.0359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HYPERLINK("http://141.218.60.56/~jnz1568/getInfo.php?workbook=12_04.xlsx&amp;sheet=U0&amp;row=7951&amp;col=6&amp;number=3.7&amp;sourceID=14","3.7")</f>
        <v>3.7</v>
      </c>
      <c r="G7951" s="4" t="str">
        <f>HYPERLINK("http://141.218.60.56/~jnz1568/getInfo.php?workbook=12_04.xlsx&amp;sheet=U0&amp;row=7951&amp;col=7&amp;number=0.0356&amp;sourceID=14","0.0356")</f>
        <v>0.0356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HYPERLINK("http://141.218.60.56/~jnz1568/getInfo.php?workbook=12_04.xlsx&amp;sheet=U0&amp;row=7952&amp;col=6&amp;number=3.8&amp;sourceID=14","3.8")</f>
        <v>3.8</v>
      </c>
      <c r="G7952" s="4" t="str">
        <f>HYPERLINK("http://141.218.60.56/~jnz1568/getInfo.php?workbook=12_04.xlsx&amp;sheet=U0&amp;row=7952&amp;col=7&amp;number=0.0353&amp;sourceID=14","0.0353")</f>
        <v>0.0353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HYPERLINK("http://141.218.60.56/~jnz1568/getInfo.php?workbook=12_04.xlsx&amp;sheet=U0&amp;row=7953&amp;col=6&amp;number=3.9&amp;sourceID=14","3.9")</f>
        <v>3.9</v>
      </c>
      <c r="G7953" s="4" t="str">
        <f>HYPERLINK("http://141.218.60.56/~jnz1568/getInfo.php?workbook=12_04.xlsx&amp;sheet=U0&amp;row=7953&amp;col=7&amp;number=0.0348&amp;sourceID=14","0.0348")</f>
        <v>0.0348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HYPERLINK("http://141.218.60.56/~jnz1568/getInfo.php?workbook=12_04.xlsx&amp;sheet=U0&amp;row=7954&amp;col=6&amp;number=4&amp;sourceID=14","4")</f>
        <v>4</v>
      </c>
      <c r="G7954" s="4" t="str">
        <f>HYPERLINK("http://141.218.60.56/~jnz1568/getInfo.php?workbook=12_04.xlsx&amp;sheet=U0&amp;row=7954&amp;col=7&amp;number=0.0342&amp;sourceID=14","0.0342")</f>
        <v>0.0342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HYPERLINK("http://141.218.60.56/~jnz1568/getInfo.php?workbook=12_04.xlsx&amp;sheet=U0&amp;row=7955&amp;col=6&amp;number=4.1&amp;sourceID=14","4.1")</f>
        <v>4.1</v>
      </c>
      <c r="G7955" s="4" t="str">
        <f>HYPERLINK("http://141.218.60.56/~jnz1568/getInfo.php?workbook=12_04.xlsx&amp;sheet=U0&amp;row=7955&amp;col=7&amp;number=0.0334&amp;sourceID=14","0.0334")</f>
        <v>0.0334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HYPERLINK("http://141.218.60.56/~jnz1568/getInfo.php?workbook=12_04.xlsx&amp;sheet=U0&amp;row=7956&amp;col=6&amp;number=4.2&amp;sourceID=14","4.2")</f>
        <v>4.2</v>
      </c>
      <c r="G7956" s="4" t="str">
        <f>HYPERLINK("http://141.218.60.56/~jnz1568/getInfo.php?workbook=12_04.xlsx&amp;sheet=U0&amp;row=7956&amp;col=7&amp;number=0.0325&amp;sourceID=14","0.0325")</f>
        <v>0.0325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HYPERLINK("http://141.218.60.56/~jnz1568/getInfo.php?workbook=12_04.xlsx&amp;sheet=U0&amp;row=7957&amp;col=6&amp;number=4.3&amp;sourceID=14","4.3")</f>
        <v>4.3</v>
      </c>
      <c r="G7957" s="4" t="str">
        <f>HYPERLINK("http://141.218.60.56/~jnz1568/getInfo.php?workbook=12_04.xlsx&amp;sheet=U0&amp;row=7957&amp;col=7&amp;number=0.0313&amp;sourceID=14","0.0313")</f>
        <v>0.0313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HYPERLINK("http://141.218.60.56/~jnz1568/getInfo.php?workbook=12_04.xlsx&amp;sheet=U0&amp;row=7958&amp;col=6&amp;number=4.4&amp;sourceID=14","4.4")</f>
        <v>4.4</v>
      </c>
      <c r="G7958" s="4" t="str">
        <f>HYPERLINK("http://141.218.60.56/~jnz1568/getInfo.php?workbook=12_04.xlsx&amp;sheet=U0&amp;row=7958&amp;col=7&amp;number=0.0299&amp;sourceID=14","0.0299")</f>
        <v>0.0299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HYPERLINK("http://141.218.60.56/~jnz1568/getInfo.php?workbook=12_04.xlsx&amp;sheet=U0&amp;row=7959&amp;col=6&amp;number=4.5&amp;sourceID=14","4.5")</f>
        <v>4.5</v>
      </c>
      <c r="G7959" s="4" t="str">
        <f>HYPERLINK("http://141.218.60.56/~jnz1568/getInfo.php?workbook=12_04.xlsx&amp;sheet=U0&amp;row=7959&amp;col=7&amp;number=0.0281&amp;sourceID=14","0.0281")</f>
        <v>0.0281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HYPERLINK("http://141.218.60.56/~jnz1568/getInfo.php?workbook=12_04.xlsx&amp;sheet=U0&amp;row=7960&amp;col=6&amp;number=4.6&amp;sourceID=14","4.6")</f>
        <v>4.6</v>
      </c>
      <c r="G7960" s="4" t="str">
        <f>HYPERLINK("http://141.218.60.56/~jnz1568/getInfo.php?workbook=12_04.xlsx&amp;sheet=U0&amp;row=7960&amp;col=7&amp;number=0.026&amp;sourceID=14","0.026")</f>
        <v>0.026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HYPERLINK("http://141.218.60.56/~jnz1568/getInfo.php?workbook=12_04.xlsx&amp;sheet=U0&amp;row=7961&amp;col=6&amp;number=4.7&amp;sourceID=14","4.7")</f>
        <v>4.7</v>
      </c>
      <c r="G7961" s="4" t="str">
        <f>HYPERLINK("http://141.218.60.56/~jnz1568/getInfo.php?workbook=12_04.xlsx&amp;sheet=U0&amp;row=7961&amp;col=7&amp;number=0.0235&amp;sourceID=14","0.0235")</f>
        <v>0.0235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HYPERLINK("http://141.218.60.56/~jnz1568/getInfo.php?workbook=12_04.xlsx&amp;sheet=U0&amp;row=7962&amp;col=6&amp;number=4.8&amp;sourceID=14","4.8")</f>
        <v>4.8</v>
      </c>
      <c r="G7962" s="4" t="str">
        <f>HYPERLINK("http://141.218.60.56/~jnz1568/getInfo.php?workbook=12_04.xlsx&amp;sheet=U0&amp;row=7962&amp;col=7&amp;number=0.0207&amp;sourceID=14","0.0207")</f>
        <v>0.0207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HYPERLINK("http://141.218.60.56/~jnz1568/getInfo.php?workbook=12_04.xlsx&amp;sheet=U0&amp;row=7963&amp;col=6&amp;number=4.9&amp;sourceID=14","4.9")</f>
        <v>4.9</v>
      </c>
      <c r="G7963" s="4" t="str">
        <f>HYPERLINK("http://141.218.60.56/~jnz1568/getInfo.php?workbook=12_04.xlsx&amp;sheet=U0&amp;row=7963&amp;col=7&amp;number=0.0176&amp;sourceID=14","0.0176")</f>
        <v>0.0176</v>
      </c>
    </row>
    <row r="7964" spans="1:7">
      <c r="A7964" s="3">
        <v>12</v>
      </c>
      <c r="B7964" s="3">
        <v>4</v>
      </c>
      <c r="C7964" s="3">
        <v>5</v>
      </c>
      <c r="D7964" s="3">
        <v>22</v>
      </c>
      <c r="E7964" s="3">
        <v>1</v>
      </c>
      <c r="F7964" s="4" t="str">
        <f>HYPERLINK("http://141.218.60.56/~jnz1568/getInfo.php?workbook=12_04.xlsx&amp;sheet=U0&amp;row=7964&amp;col=6&amp;number=3&amp;sourceID=14","3")</f>
        <v>3</v>
      </c>
      <c r="G7964" s="4" t="str">
        <f>HYPERLINK("http://141.218.60.56/~jnz1568/getInfo.php?workbook=12_04.xlsx&amp;sheet=U0&amp;row=7964&amp;col=7&amp;number=0.0764&amp;sourceID=14","0.0764")</f>
        <v>0.0764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HYPERLINK("http://141.218.60.56/~jnz1568/getInfo.php?workbook=12_04.xlsx&amp;sheet=U0&amp;row=7965&amp;col=6&amp;number=3.1&amp;sourceID=14","3.1")</f>
        <v>3.1</v>
      </c>
      <c r="G7965" s="4" t="str">
        <f>HYPERLINK("http://141.218.60.56/~jnz1568/getInfo.php?workbook=12_04.xlsx&amp;sheet=U0&amp;row=7965&amp;col=7&amp;number=0.0763&amp;sourceID=14","0.0763")</f>
        <v>0.0763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HYPERLINK("http://141.218.60.56/~jnz1568/getInfo.php?workbook=12_04.xlsx&amp;sheet=U0&amp;row=7966&amp;col=6&amp;number=3.2&amp;sourceID=14","3.2")</f>
        <v>3.2</v>
      </c>
      <c r="G7966" s="4" t="str">
        <f>HYPERLINK("http://141.218.60.56/~jnz1568/getInfo.php?workbook=12_04.xlsx&amp;sheet=U0&amp;row=7966&amp;col=7&amp;number=0.0761&amp;sourceID=14","0.0761")</f>
        <v>0.0761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HYPERLINK("http://141.218.60.56/~jnz1568/getInfo.php?workbook=12_04.xlsx&amp;sheet=U0&amp;row=7967&amp;col=6&amp;number=3.3&amp;sourceID=14","3.3")</f>
        <v>3.3</v>
      </c>
      <c r="G7967" s="4" t="str">
        <f>HYPERLINK("http://141.218.60.56/~jnz1568/getInfo.php?workbook=12_04.xlsx&amp;sheet=U0&amp;row=7967&amp;col=7&amp;number=0.0759&amp;sourceID=14","0.0759")</f>
        <v>0.0759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HYPERLINK("http://141.218.60.56/~jnz1568/getInfo.php?workbook=12_04.xlsx&amp;sheet=U0&amp;row=7968&amp;col=6&amp;number=3.4&amp;sourceID=14","3.4")</f>
        <v>3.4</v>
      </c>
      <c r="G7968" s="4" t="str">
        <f>HYPERLINK("http://141.218.60.56/~jnz1568/getInfo.php?workbook=12_04.xlsx&amp;sheet=U0&amp;row=7968&amp;col=7&amp;number=0.0756&amp;sourceID=14","0.0756")</f>
        <v>0.0756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HYPERLINK("http://141.218.60.56/~jnz1568/getInfo.php?workbook=12_04.xlsx&amp;sheet=U0&amp;row=7969&amp;col=6&amp;number=3.5&amp;sourceID=14","3.5")</f>
        <v>3.5</v>
      </c>
      <c r="G7969" s="4" t="str">
        <f>HYPERLINK("http://141.218.60.56/~jnz1568/getInfo.php?workbook=12_04.xlsx&amp;sheet=U0&amp;row=7969&amp;col=7&amp;number=0.0752&amp;sourceID=14","0.0752")</f>
        <v>0.0752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HYPERLINK("http://141.218.60.56/~jnz1568/getInfo.php?workbook=12_04.xlsx&amp;sheet=U0&amp;row=7970&amp;col=6&amp;number=3.6&amp;sourceID=14","3.6")</f>
        <v>3.6</v>
      </c>
      <c r="G7970" s="4" t="str">
        <f>HYPERLINK("http://141.218.60.56/~jnz1568/getInfo.php?workbook=12_04.xlsx&amp;sheet=U0&amp;row=7970&amp;col=7&amp;number=0.0748&amp;sourceID=14","0.0748")</f>
        <v>0.0748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HYPERLINK("http://141.218.60.56/~jnz1568/getInfo.php?workbook=12_04.xlsx&amp;sheet=U0&amp;row=7971&amp;col=6&amp;number=3.7&amp;sourceID=14","3.7")</f>
        <v>3.7</v>
      </c>
      <c r="G7971" s="4" t="str">
        <f>HYPERLINK("http://141.218.60.56/~jnz1568/getInfo.php?workbook=12_04.xlsx&amp;sheet=U0&amp;row=7971&amp;col=7&amp;number=0.0742&amp;sourceID=14","0.0742")</f>
        <v>0.0742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HYPERLINK("http://141.218.60.56/~jnz1568/getInfo.php?workbook=12_04.xlsx&amp;sheet=U0&amp;row=7972&amp;col=6&amp;number=3.8&amp;sourceID=14","3.8")</f>
        <v>3.8</v>
      </c>
      <c r="G7972" s="4" t="str">
        <f>HYPERLINK("http://141.218.60.56/~jnz1568/getInfo.php?workbook=12_04.xlsx&amp;sheet=U0&amp;row=7972&amp;col=7&amp;number=0.0735&amp;sourceID=14","0.0735")</f>
        <v>0.0735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HYPERLINK("http://141.218.60.56/~jnz1568/getInfo.php?workbook=12_04.xlsx&amp;sheet=U0&amp;row=7973&amp;col=6&amp;number=3.9&amp;sourceID=14","3.9")</f>
        <v>3.9</v>
      </c>
      <c r="G7973" s="4" t="str">
        <f>HYPERLINK("http://141.218.60.56/~jnz1568/getInfo.php?workbook=12_04.xlsx&amp;sheet=U0&amp;row=7973&amp;col=7&amp;number=0.0726&amp;sourceID=14","0.0726")</f>
        <v>0.0726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HYPERLINK("http://141.218.60.56/~jnz1568/getInfo.php?workbook=12_04.xlsx&amp;sheet=U0&amp;row=7974&amp;col=6&amp;number=4&amp;sourceID=14","4")</f>
        <v>4</v>
      </c>
      <c r="G7974" s="4" t="str">
        <f>HYPERLINK("http://141.218.60.56/~jnz1568/getInfo.php?workbook=12_04.xlsx&amp;sheet=U0&amp;row=7974&amp;col=7&amp;number=0.0715&amp;sourceID=14","0.0715")</f>
        <v>0.0715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HYPERLINK("http://141.218.60.56/~jnz1568/getInfo.php?workbook=12_04.xlsx&amp;sheet=U0&amp;row=7975&amp;col=6&amp;number=4.1&amp;sourceID=14","4.1")</f>
        <v>4.1</v>
      </c>
      <c r="G7975" s="4" t="str">
        <f>HYPERLINK("http://141.218.60.56/~jnz1568/getInfo.php?workbook=12_04.xlsx&amp;sheet=U0&amp;row=7975&amp;col=7&amp;number=0.0701&amp;sourceID=14","0.0701")</f>
        <v>0.0701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HYPERLINK("http://141.218.60.56/~jnz1568/getInfo.php?workbook=12_04.xlsx&amp;sheet=U0&amp;row=7976&amp;col=6&amp;number=4.2&amp;sourceID=14","4.2")</f>
        <v>4.2</v>
      </c>
      <c r="G7976" s="4" t="str">
        <f>HYPERLINK("http://141.218.60.56/~jnz1568/getInfo.php?workbook=12_04.xlsx&amp;sheet=U0&amp;row=7976&amp;col=7&amp;number=0.0683&amp;sourceID=14","0.0683")</f>
        <v>0.0683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HYPERLINK("http://141.218.60.56/~jnz1568/getInfo.php?workbook=12_04.xlsx&amp;sheet=U0&amp;row=7977&amp;col=6&amp;number=4.3&amp;sourceID=14","4.3")</f>
        <v>4.3</v>
      </c>
      <c r="G7977" s="4" t="str">
        <f>HYPERLINK("http://141.218.60.56/~jnz1568/getInfo.php?workbook=12_04.xlsx&amp;sheet=U0&amp;row=7977&amp;col=7&amp;number=0.0662&amp;sourceID=14","0.0662")</f>
        <v>0.0662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HYPERLINK("http://141.218.60.56/~jnz1568/getInfo.php?workbook=12_04.xlsx&amp;sheet=U0&amp;row=7978&amp;col=6&amp;number=4.4&amp;sourceID=14","4.4")</f>
        <v>4.4</v>
      </c>
      <c r="G7978" s="4" t="str">
        <f>HYPERLINK("http://141.218.60.56/~jnz1568/getInfo.php?workbook=12_04.xlsx&amp;sheet=U0&amp;row=7978&amp;col=7&amp;number=0.0635&amp;sourceID=14","0.0635")</f>
        <v>0.0635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HYPERLINK("http://141.218.60.56/~jnz1568/getInfo.php?workbook=12_04.xlsx&amp;sheet=U0&amp;row=7979&amp;col=6&amp;number=4.5&amp;sourceID=14","4.5")</f>
        <v>4.5</v>
      </c>
      <c r="G7979" s="4" t="str">
        <f>HYPERLINK("http://141.218.60.56/~jnz1568/getInfo.php?workbook=12_04.xlsx&amp;sheet=U0&amp;row=7979&amp;col=7&amp;number=0.0603&amp;sourceID=14","0.0603")</f>
        <v>0.0603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HYPERLINK("http://141.218.60.56/~jnz1568/getInfo.php?workbook=12_04.xlsx&amp;sheet=U0&amp;row=7980&amp;col=6&amp;number=4.6&amp;sourceID=14","4.6")</f>
        <v>4.6</v>
      </c>
      <c r="G7980" s="4" t="str">
        <f>HYPERLINK("http://141.218.60.56/~jnz1568/getInfo.php?workbook=12_04.xlsx&amp;sheet=U0&amp;row=7980&amp;col=7&amp;number=0.0564&amp;sourceID=14","0.0564")</f>
        <v>0.0564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HYPERLINK("http://141.218.60.56/~jnz1568/getInfo.php?workbook=12_04.xlsx&amp;sheet=U0&amp;row=7981&amp;col=6&amp;number=4.7&amp;sourceID=14","4.7")</f>
        <v>4.7</v>
      </c>
      <c r="G7981" s="4" t="str">
        <f>HYPERLINK("http://141.218.60.56/~jnz1568/getInfo.php?workbook=12_04.xlsx&amp;sheet=U0&amp;row=7981&amp;col=7&amp;number=0.0518&amp;sourceID=14","0.0518")</f>
        <v>0.0518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HYPERLINK("http://141.218.60.56/~jnz1568/getInfo.php?workbook=12_04.xlsx&amp;sheet=U0&amp;row=7982&amp;col=6&amp;number=4.8&amp;sourceID=14","4.8")</f>
        <v>4.8</v>
      </c>
      <c r="G7982" s="4" t="str">
        <f>HYPERLINK("http://141.218.60.56/~jnz1568/getInfo.php?workbook=12_04.xlsx&amp;sheet=U0&amp;row=7982&amp;col=7&amp;number=0.0465&amp;sourceID=14","0.0465")</f>
        <v>0.0465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HYPERLINK("http://141.218.60.56/~jnz1568/getInfo.php?workbook=12_04.xlsx&amp;sheet=U0&amp;row=7983&amp;col=6&amp;number=4.9&amp;sourceID=14","4.9")</f>
        <v>4.9</v>
      </c>
      <c r="G7983" s="4" t="str">
        <f>HYPERLINK("http://141.218.60.56/~jnz1568/getInfo.php?workbook=12_04.xlsx&amp;sheet=U0&amp;row=7983&amp;col=7&amp;number=0.0407&amp;sourceID=14","0.0407")</f>
        <v>0.0407</v>
      </c>
    </row>
    <row r="7984" spans="1:7">
      <c r="A7984" s="3">
        <v>12</v>
      </c>
      <c r="B7984" s="3">
        <v>4</v>
      </c>
      <c r="C7984" s="3">
        <v>5</v>
      </c>
      <c r="D7984" s="3">
        <v>23</v>
      </c>
      <c r="E7984" s="3">
        <v>1</v>
      </c>
      <c r="F7984" s="4" t="str">
        <f>HYPERLINK("http://141.218.60.56/~jnz1568/getInfo.php?workbook=12_04.xlsx&amp;sheet=U0&amp;row=7984&amp;col=6&amp;number=3&amp;sourceID=14","3")</f>
        <v>3</v>
      </c>
      <c r="G7984" s="4" t="str">
        <f>HYPERLINK("http://141.218.60.56/~jnz1568/getInfo.php?workbook=12_04.xlsx&amp;sheet=U0&amp;row=7984&amp;col=7&amp;number=0.0819&amp;sourceID=14","0.0819")</f>
        <v>0.0819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HYPERLINK("http://141.218.60.56/~jnz1568/getInfo.php?workbook=12_04.xlsx&amp;sheet=U0&amp;row=7985&amp;col=6&amp;number=3.1&amp;sourceID=14","3.1")</f>
        <v>3.1</v>
      </c>
      <c r="G7985" s="4" t="str">
        <f>HYPERLINK("http://141.218.60.56/~jnz1568/getInfo.php?workbook=12_04.xlsx&amp;sheet=U0&amp;row=7985&amp;col=7&amp;number=0.0818&amp;sourceID=14","0.0818")</f>
        <v>0.0818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HYPERLINK("http://141.218.60.56/~jnz1568/getInfo.php?workbook=12_04.xlsx&amp;sheet=U0&amp;row=7986&amp;col=6&amp;number=3.2&amp;sourceID=14","3.2")</f>
        <v>3.2</v>
      </c>
      <c r="G7986" s="4" t="str">
        <f>HYPERLINK("http://141.218.60.56/~jnz1568/getInfo.php?workbook=12_04.xlsx&amp;sheet=U0&amp;row=7986&amp;col=7&amp;number=0.0817&amp;sourceID=14","0.0817")</f>
        <v>0.0817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HYPERLINK("http://141.218.60.56/~jnz1568/getInfo.php?workbook=12_04.xlsx&amp;sheet=U0&amp;row=7987&amp;col=6&amp;number=3.3&amp;sourceID=14","3.3")</f>
        <v>3.3</v>
      </c>
      <c r="G7987" s="4" t="str">
        <f>HYPERLINK("http://141.218.60.56/~jnz1568/getInfo.php?workbook=12_04.xlsx&amp;sheet=U0&amp;row=7987&amp;col=7&amp;number=0.0815&amp;sourceID=14","0.0815")</f>
        <v>0.0815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HYPERLINK("http://141.218.60.56/~jnz1568/getInfo.php?workbook=12_04.xlsx&amp;sheet=U0&amp;row=7988&amp;col=6&amp;number=3.4&amp;sourceID=14","3.4")</f>
        <v>3.4</v>
      </c>
      <c r="G7988" s="4" t="str">
        <f>HYPERLINK("http://141.218.60.56/~jnz1568/getInfo.php?workbook=12_04.xlsx&amp;sheet=U0&amp;row=7988&amp;col=7&amp;number=0.0813&amp;sourceID=14","0.0813")</f>
        <v>0.0813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HYPERLINK("http://141.218.60.56/~jnz1568/getInfo.php?workbook=12_04.xlsx&amp;sheet=U0&amp;row=7989&amp;col=6&amp;number=3.5&amp;sourceID=14","3.5")</f>
        <v>3.5</v>
      </c>
      <c r="G7989" s="4" t="str">
        <f>HYPERLINK("http://141.218.60.56/~jnz1568/getInfo.php?workbook=12_04.xlsx&amp;sheet=U0&amp;row=7989&amp;col=7&amp;number=0.0811&amp;sourceID=14","0.0811")</f>
        <v>0.0811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HYPERLINK("http://141.218.60.56/~jnz1568/getInfo.php?workbook=12_04.xlsx&amp;sheet=U0&amp;row=7990&amp;col=6&amp;number=3.6&amp;sourceID=14","3.6")</f>
        <v>3.6</v>
      </c>
      <c r="G7990" s="4" t="str">
        <f>HYPERLINK("http://141.218.60.56/~jnz1568/getInfo.php?workbook=12_04.xlsx&amp;sheet=U0&amp;row=7990&amp;col=7&amp;number=0.0808&amp;sourceID=14","0.0808")</f>
        <v>0.0808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HYPERLINK("http://141.218.60.56/~jnz1568/getInfo.php?workbook=12_04.xlsx&amp;sheet=U0&amp;row=7991&amp;col=6&amp;number=3.7&amp;sourceID=14","3.7")</f>
        <v>3.7</v>
      </c>
      <c r="G7991" s="4" t="str">
        <f>HYPERLINK("http://141.218.60.56/~jnz1568/getInfo.php?workbook=12_04.xlsx&amp;sheet=U0&amp;row=7991&amp;col=7&amp;number=0.0805&amp;sourceID=14","0.0805")</f>
        <v>0.0805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HYPERLINK("http://141.218.60.56/~jnz1568/getInfo.php?workbook=12_04.xlsx&amp;sheet=U0&amp;row=7992&amp;col=6&amp;number=3.8&amp;sourceID=14","3.8")</f>
        <v>3.8</v>
      </c>
      <c r="G7992" s="4" t="str">
        <f>HYPERLINK("http://141.218.60.56/~jnz1568/getInfo.php?workbook=12_04.xlsx&amp;sheet=U0&amp;row=7992&amp;col=7&amp;number=0.08&amp;sourceID=14","0.08")</f>
        <v>0.08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HYPERLINK("http://141.218.60.56/~jnz1568/getInfo.php?workbook=12_04.xlsx&amp;sheet=U0&amp;row=7993&amp;col=6&amp;number=3.9&amp;sourceID=14","3.9")</f>
        <v>3.9</v>
      </c>
      <c r="G7993" s="4" t="str">
        <f>HYPERLINK("http://141.218.60.56/~jnz1568/getInfo.php?workbook=12_04.xlsx&amp;sheet=U0&amp;row=7993&amp;col=7&amp;number=0.0795&amp;sourceID=14","0.0795")</f>
        <v>0.0795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HYPERLINK("http://141.218.60.56/~jnz1568/getInfo.php?workbook=12_04.xlsx&amp;sheet=U0&amp;row=7994&amp;col=6&amp;number=4&amp;sourceID=14","4")</f>
        <v>4</v>
      </c>
      <c r="G7994" s="4" t="str">
        <f>HYPERLINK("http://141.218.60.56/~jnz1568/getInfo.php?workbook=12_04.xlsx&amp;sheet=U0&amp;row=7994&amp;col=7&amp;number=0.0788&amp;sourceID=14","0.0788")</f>
        <v>0.0788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HYPERLINK("http://141.218.60.56/~jnz1568/getInfo.php?workbook=12_04.xlsx&amp;sheet=U0&amp;row=7995&amp;col=6&amp;number=4.1&amp;sourceID=14","4.1")</f>
        <v>4.1</v>
      </c>
      <c r="G7995" s="4" t="str">
        <f>HYPERLINK("http://141.218.60.56/~jnz1568/getInfo.php?workbook=12_04.xlsx&amp;sheet=U0&amp;row=7995&amp;col=7&amp;number=0.0779&amp;sourceID=14","0.0779")</f>
        <v>0.0779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HYPERLINK("http://141.218.60.56/~jnz1568/getInfo.php?workbook=12_04.xlsx&amp;sheet=U0&amp;row=7996&amp;col=6&amp;number=4.2&amp;sourceID=14","4.2")</f>
        <v>4.2</v>
      </c>
      <c r="G7996" s="4" t="str">
        <f>HYPERLINK("http://141.218.60.56/~jnz1568/getInfo.php?workbook=12_04.xlsx&amp;sheet=U0&amp;row=7996&amp;col=7&amp;number=0.0768&amp;sourceID=14","0.0768")</f>
        <v>0.0768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HYPERLINK("http://141.218.60.56/~jnz1568/getInfo.php?workbook=12_04.xlsx&amp;sheet=U0&amp;row=7997&amp;col=6&amp;number=4.3&amp;sourceID=14","4.3")</f>
        <v>4.3</v>
      </c>
      <c r="G7997" s="4" t="str">
        <f>HYPERLINK("http://141.218.60.56/~jnz1568/getInfo.php?workbook=12_04.xlsx&amp;sheet=U0&amp;row=7997&amp;col=7&amp;number=0.0754&amp;sourceID=14","0.0754")</f>
        <v>0.0754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HYPERLINK("http://141.218.60.56/~jnz1568/getInfo.php?workbook=12_04.xlsx&amp;sheet=U0&amp;row=7998&amp;col=6&amp;number=4.4&amp;sourceID=14","4.4")</f>
        <v>4.4</v>
      </c>
      <c r="G7998" s="4" t="str">
        <f>HYPERLINK("http://141.218.60.56/~jnz1568/getInfo.php?workbook=12_04.xlsx&amp;sheet=U0&amp;row=7998&amp;col=7&amp;number=0.0737&amp;sourceID=14","0.0737")</f>
        <v>0.0737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HYPERLINK("http://141.218.60.56/~jnz1568/getInfo.php?workbook=12_04.xlsx&amp;sheet=U0&amp;row=7999&amp;col=6&amp;number=4.5&amp;sourceID=14","4.5")</f>
        <v>4.5</v>
      </c>
      <c r="G7999" s="4" t="str">
        <f>HYPERLINK("http://141.218.60.56/~jnz1568/getInfo.php?workbook=12_04.xlsx&amp;sheet=U0&amp;row=7999&amp;col=7&amp;number=0.0716&amp;sourceID=14","0.0716")</f>
        <v>0.0716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HYPERLINK("http://141.218.60.56/~jnz1568/getInfo.php?workbook=12_04.xlsx&amp;sheet=U0&amp;row=8000&amp;col=6&amp;number=4.6&amp;sourceID=14","4.6")</f>
        <v>4.6</v>
      </c>
      <c r="G8000" s="4" t="str">
        <f>HYPERLINK("http://141.218.60.56/~jnz1568/getInfo.php?workbook=12_04.xlsx&amp;sheet=U0&amp;row=8000&amp;col=7&amp;number=0.069&amp;sourceID=14","0.069")</f>
        <v>0.069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HYPERLINK("http://141.218.60.56/~jnz1568/getInfo.php?workbook=12_04.xlsx&amp;sheet=U0&amp;row=8001&amp;col=6&amp;number=4.7&amp;sourceID=14","4.7")</f>
        <v>4.7</v>
      </c>
      <c r="G8001" s="4" t="str">
        <f>HYPERLINK("http://141.218.60.56/~jnz1568/getInfo.php?workbook=12_04.xlsx&amp;sheet=U0&amp;row=8001&amp;col=7&amp;number=0.0658&amp;sourceID=14","0.0658")</f>
        <v>0.0658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HYPERLINK("http://141.218.60.56/~jnz1568/getInfo.php?workbook=12_04.xlsx&amp;sheet=U0&amp;row=8002&amp;col=6&amp;number=4.8&amp;sourceID=14","4.8")</f>
        <v>4.8</v>
      </c>
      <c r="G8002" s="4" t="str">
        <f>HYPERLINK("http://141.218.60.56/~jnz1568/getInfo.php?workbook=12_04.xlsx&amp;sheet=U0&amp;row=8002&amp;col=7&amp;number=0.0618&amp;sourceID=14","0.0618")</f>
        <v>0.0618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HYPERLINK("http://141.218.60.56/~jnz1568/getInfo.php?workbook=12_04.xlsx&amp;sheet=U0&amp;row=8003&amp;col=6&amp;number=4.9&amp;sourceID=14","4.9")</f>
        <v>4.9</v>
      </c>
      <c r="G8003" s="4" t="str">
        <f>HYPERLINK("http://141.218.60.56/~jnz1568/getInfo.php?workbook=12_04.xlsx&amp;sheet=U0&amp;row=8003&amp;col=7&amp;number=0.0571&amp;sourceID=14","0.0571")</f>
        <v>0.0571</v>
      </c>
    </row>
    <row r="8004" spans="1:7">
      <c r="A8004" s="3">
        <v>12</v>
      </c>
      <c r="B8004" s="3">
        <v>4</v>
      </c>
      <c r="C8004" s="3">
        <v>5</v>
      </c>
      <c r="D8004" s="3">
        <v>24</v>
      </c>
      <c r="E8004" s="3">
        <v>1</v>
      </c>
      <c r="F8004" s="4" t="str">
        <f>HYPERLINK("http://141.218.60.56/~jnz1568/getInfo.php?workbook=12_04.xlsx&amp;sheet=U0&amp;row=8004&amp;col=6&amp;number=3&amp;sourceID=14","3")</f>
        <v>3</v>
      </c>
      <c r="G8004" s="4" t="str">
        <f>HYPERLINK("http://141.218.60.56/~jnz1568/getInfo.php?workbook=12_04.xlsx&amp;sheet=U0&amp;row=8004&amp;col=7&amp;number=0.246&amp;sourceID=14","0.246")</f>
        <v>0.246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HYPERLINK("http://141.218.60.56/~jnz1568/getInfo.php?workbook=12_04.xlsx&amp;sheet=U0&amp;row=8005&amp;col=6&amp;number=3.1&amp;sourceID=14","3.1")</f>
        <v>3.1</v>
      </c>
      <c r="G8005" s="4" t="str">
        <f>HYPERLINK("http://141.218.60.56/~jnz1568/getInfo.php?workbook=12_04.xlsx&amp;sheet=U0&amp;row=8005&amp;col=7&amp;number=0.246&amp;sourceID=14","0.246")</f>
        <v>0.246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HYPERLINK("http://141.218.60.56/~jnz1568/getInfo.php?workbook=12_04.xlsx&amp;sheet=U0&amp;row=8006&amp;col=6&amp;number=3.2&amp;sourceID=14","3.2")</f>
        <v>3.2</v>
      </c>
      <c r="G8006" s="4" t="str">
        <f>HYPERLINK("http://141.218.60.56/~jnz1568/getInfo.php?workbook=12_04.xlsx&amp;sheet=U0&amp;row=8006&amp;col=7&amp;number=0.246&amp;sourceID=14","0.246")</f>
        <v>0.246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HYPERLINK("http://141.218.60.56/~jnz1568/getInfo.php?workbook=12_04.xlsx&amp;sheet=U0&amp;row=8007&amp;col=6&amp;number=3.3&amp;sourceID=14","3.3")</f>
        <v>3.3</v>
      </c>
      <c r="G8007" s="4" t="str">
        <f>HYPERLINK("http://141.218.60.56/~jnz1568/getInfo.php?workbook=12_04.xlsx&amp;sheet=U0&amp;row=8007&amp;col=7&amp;number=0.246&amp;sourceID=14","0.246")</f>
        <v>0.246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HYPERLINK("http://141.218.60.56/~jnz1568/getInfo.php?workbook=12_04.xlsx&amp;sheet=U0&amp;row=8008&amp;col=6&amp;number=3.4&amp;sourceID=14","3.4")</f>
        <v>3.4</v>
      </c>
      <c r="G8008" s="4" t="str">
        <f>HYPERLINK("http://141.218.60.56/~jnz1568/getInfo.php?workbook=12_04.xlsx&amp;sheet=U0&amp;row=8008&amp;col=7&amp;number=0.245&amp;sourceID=14","0.245")</f>
        <v>0.245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HYPERLINK("http://141.218.60.56/~jnz1568/getInfo.php?workbook=12_04.xlsx&amp;sheet=U0&amp;row=8009&amp;col=6&amp;number=3.5&amp;sourceID=14","3.5")</f>
        <v>3.5</v>
      </c>
      <c r="G8009" s="4" t="str">
        <f>HYPERLINK("http://141.218.60.56/~jnz1568/getInfo.php?workbook=12_04.xlsx&amp;sheet=U0&amp;row=8009&amp;col=7&amp;number=0.245&amp;sourceID=14","0.245")</f>
        <v>0.245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HYPERLINK("http://141.218.60.56/~jnz1568/getInfo.php?workbook=12_04.xlsx&amp;sheet=U0&amp;row=8010&amp;col=6&amp;number=3.6&amp;sourceID=14","3.6")</f>
        <v>3.6</v>
      </c>
      <c r="G8010" s="4" t="str">
        <f>HYPERLINK("http://141.218.60.56/~jnz1568/getInfo.php?workbook=12_04.xlsx&amp;sheet=U0&amp;row=8010&amp;col=7&amp;number=0.244&amp;sourceID=14","0.244")</f>
        <v>0.244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HYPERLINK("http://141.218.60.56/~jnz1568/getInfo.php?workbook=12_04.xlsx&amp;sheet=U0&amp;row=8011&amp;col=6&amp;number=3.7&amp;sourceID=14","3.7")</f>
        <v>3.7</v>
      </c>
      <c r="G8011" s="4" t="str">
        <f>HYPERLINK("http://141.218.60.56/~jnz1568/getInfo.php?workbook=12_04.xlsx&amp;sheet=U0&amp;row=8011&amp;col=7&amp;number=0.244&amp;sourceID=14","0.244")</f>
        <v>0.244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HYPERLINK("http://141.218.60.56/~jnz1568/getInfo.php?workbook=12_04.xlsx&amp;sheet=U0&amp;row=8012&amp;col=6&amp;number=3.8&amp;sourceID=14","3.8")</f>
        <v>3.8</v>
      </c>
      <c r="G8012" s="4" t="str">
        <f>HYPERLINK("http://141.218.60.56/~jnz1568/getInfo.php?workbook=12_04.xlsx&amp;sheet=U0&amp;row=8012&amp;col=7&amp;number=0.243&amp;sourceID=14","0.243")</f>
        <v>0.243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HYPERLINK("http://141.218.60.56/~jnz1568/getInfo.php?workbook=12_04.xlsx&amp;sheet=U0&amp;row=8013&amp;col=6&amp;number=3.9&amp;sourceID=14","3.9")</f>
        <v>3.9</v>
      </c>
      <c r="G8013" s="4" t="str">
        <f>HYPERLINK("http://141.218.60.56/~jnz1568/getInfo.php?workbook=12_04.xlsx&amp;sheet=U0&amp;row=8013&amp;col=7&amp;number=0.242&amp;sourceID=14","0.242")</f>
        <v>0.242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HYPERLINK("http://141.218.60.56/~jnz1568/getInfo.php?workbook=12_04.xlsx&amp;sheet=U0&amp;row=8014&amp;col=6&amp;number=4&amp;sourceID=14","4")</f>
        <v>4</v>
      </c>
      <c r="G8014" s="4" t="str">
        <f>HYPERLINK("http://141.218.60.56/~jnz1568/getInfo.php?workbook=12_04.xlsx&amp;sheet=U0&amp;row=8014&amp;col=7&amp;number=0.241&amp;sourceID=14","0.241")</f>
        <v>0.241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HYPERLINK("http://141.218.60.56/~jnz1568/getInfo.php?workbook=12_04.xlsx&amp;sheet=U0&amp;row=8015&amp;col=6&amp;number=4.1&amp;sourceID=14","4.1")</f>
        <v>4.1</v>
      </c>
      <c r="G8015" s="4" t="str">
        <f>HYPERLINK("http://141.218.60.56/~jnz1568/getInfo.php?workbook=12_04.xlsx&amp;sheet=U0&amp;row=8015&amp;col=7&amp;number=0.239&amp;sourceID=14","0.239")</f>
        <v>0.239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HYPERLINK("http://141.218.60.56/~jnz1568/getInfo.php?workbook=12_04.xlsx&amp;sheet=U0&amp;row=8016&amp;col=6&amp;number=4.2&amp;sourceID=14","4.2")</f>
        <v>4.2</v>
      </c>
      <c r="G8016" s="4" t="str">
        <f>HYPERLINK("http://141.218.60.56/~jnz1568/getInfo.php?workbook=12_04.xlsx&amp;sheet=U0&amp;row=8016&amp;col=7&amp;number=0.238&amp;sourceID=14","0.238")</f>
        <v>0.238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HYPERLINK("http://141.218.60.56/~jnz1568/getInfo.php?workbook=12_04.xlsx&amp;sheet=U0&amp;row=8017&amp;col=6&amp;number=4.3&amp;sourceID=14","4.3")</f>
        <v>4.3</v>
      </c>
      <c r="G8017" s="4" t="str">
        <f>HYPERLINK("http://141.218.60.56/~jnz1568/getInfo.php?workbook=12_04.xlsx&amp;sheet=U0&amp;row=8017&amp;col=7&amp;number=0.235&amp;sourceID=14","0.235")</f>
        <v>0.235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HYPERLINK("http://141.218.60.56/~jnz1568/getInfo.php?workbook=12_04.xlsx&amp;sheet=U0&amp;row=8018&amp;col=6&amp;number=4.4&amp;sourceID=14","4.4")</f>
        <v>4.4</v>
      </c>
      <c r="G8018" s="4" t="str">
        <f>HYPERLINK("http://141.218.60.56/~jnz1568/getInfo.php?workbook=12_04.xlsx&amp;sheet=U0&amp;row=8018&amp;col=7&amp;number=0.232&amp;sourceID=14","0.232")</f>
        <v>0.232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HYPERLINK("http://141.218.60.56/~jnz1568/getInfo.php?workbook=12_04.xlsx&amp;sheet=U0&amp;row=8019&amp;col=6&amp;number=4.5&amp;sourceID=14","4.5")</f>
        <v>4.5</v>
      </c>
      <c r="G8019" s="4" t="str">
        <f>HYPERLINK("http://141.218.60.56/~jnz1568/getInfo.php?workbook=12_04.xlsx&amp;sheet=U0&amp;row=8019&amp;col=7&amp;number=0.229&amp;sourceID=14","0.229")</f>
        <v>0.229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HYPERLINK("http://141.218.60.56/~jnz1568/getInfo.php?workbook=12_04.xlsx&amp;sheet=U0&amp;row=8020&amp;col=6&amp;number=4.6&amp;sourceID=14","4.6")</f>
        <v>4.6</v>
      </c>
      <c r="G8020" s="4" t="str">
        <f>HYPERLINK("http://141.218.60.56/~jnz1568/getInfo.php?workbook=12_04.xlsx&amp;sheet=U0&amp;row=8020&amp;col=7&amp;number=0.224&amp;sourceID=14","0.224")</f>
        <v>0.224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HYPERLINK("http://141.218.60.56/~jnz1568/getInfo.php?workbook=12_04.xlsx&amp;sheet=U0&amp;row=8021&amp;col=6&amp;number=4.7&amp;sourceID=14","4.7")</f>
        <v>4.7</v>
      </c>
      <c r="G8021" s="4" t="str">
        <f>HYPERLINK("http://141.218.60.56/~jnz1568/getInfo.php?workbook=12_04.xlsx&amp;sheet=U0&amp;row=8021&amp;col=7&amp;number=0.219&amp;sourceID=14","0.219")</f>
        <v>0.219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HYPERLINK("http://141.218.60.56/~jnz1568/getInfo.php?workbook=12_04.xlsx&amp;sheet=U0&amp;row=8022&amp;col=6&amp;number=4.8&amp;sourceID=14","4.8")</f>
        <v>4.8</v>
      </c>
      <c r="G8022" s="4" t="str">
        <f>HYPERLINK("http://141.218.60.56/~jnz1568/getInfo.php?workbook=12_04.xlsx&amp;sheet=U0&amp;row=8022&amp;col=7&amp;number=0.213&amp;sourceID=14","0.213")</f>
        <v>0.213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HYPERLINK("http://141.218.60.56/~jnz1568/getInfo.php?workbook=12_04.xlsx&amp;sheet=U0&amp;row=8023&amp;col=6&amp;number=4.9&amp;sourceID=14","4.9")</f>
        <v>4.9</v>
      </c>
      <c r="G8023" s="4" t="str">
        <f>HYPERLINK("http://141.218.60.56/~jnz1568/getInfo.php?workbook=12_04.xlsx&amp;sheet=U0&amp;row=8023&amp;col=7&amp;number=0.206&amp;sourceID=14","0.206")</f>
        <v>0.206</v>
      </c>
    </row>
    <row r="8024" spans="1:7">
      <c r="A8024" s="3">
        <v>12</v>
      </c>
      <c r="B8024" s="3">
        <v>4</v>
      </c>
      <c r="C8024" s="3">
        <v>5</v>
      </c>
      <c r="D8024" s="3">
        <v>25</v>
      </c>
      <c r="E8024" s="3">
        <v>1</v>
      </c>
      <c r="F8024" s="4" t="str">
        <f>HYPERLINK("http://141.218.60.56/~jnz1568/getInfo.php?workbook=12_04.xlsx&amp;sheet=U0&amp;row=8024&amp;col=6&amp;number=3&amp;sourceID=14","3")</f>
        <v>3</v>
      </c>
      <c r="G8024" s="4" t="str">
        <f>HYPERLINK("http://141.218.60.56/~jnz1568/getInfo.php?workbook=12_04.xlsx&amp;sheet=U0&amp;row=8024&amp;col=7&amp;number=0.0879&amp;sourceID=14","0.0879")</f>
        <v>0.0879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HYPERLINK("http://141.218.60.56/~jnz1568/getInfo.php?workbook=12_04.xlsx&amp;sheet=U0&amp;row=8025&amp;col=6&amp;number=3.1&amp;sourceID=14","3.1")</f>
        <v>3.1</v>
      </c>
      <c r="G8025" s="4" t="str">
        <f>HYPERLINK("http://141.218.60.56/~jnz1568/getInfo.php?workbook=12_04.xlsx&amp;sheet=U0&amp;row=8025&amp;col=7&amp;number=0.0878&amp;sourceID=14","0.0878")</f>
        <v>0.0878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HYPERLINK("http://141.218.60.56/~jnz1568/getInfo.php?workbook=12_04.xlsx&amp;sheet=U0&amp;row=8026&amp;col=6&amp;number=3.2&amp;sourceID=14","3.2")</f>
        <v>3.2</v>
      </c>
      <c r="G8026" s="4" t="str">
        <f>HYPERLINK("http://141.218.60.56/~jnz1568/getInfo.php?workbook=12_04.xlsx&amp;sheet=U0&amp;row=8026&amp;col=7&amp;number=0.0876&amp;sourceID=14","0.0876")</f>
        <v>0.0876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HYPERLINK("http://141.218.60.56/~jnz1568/getInfo.php?workbook=12_04.xlsx&amp;sheet=U0&amp;row=8027&amp;col=6&amp;number=3.3&amp;sourceID=14","3.3")</f>
        <v>3.3</v>
      </c>
      <c r="G8027" s="4" t="str">
        <f>HYPERLINK("http://141.218.60.56/~jnz1568/getInfo.php?workbook=12_04.xlsx&amp;sheet=U0&amp;row=8027&amp;col=7&amp;number=0.0875&amp;sourceID=14","0.0875")</f>
        <v>0.0875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HYPERLINK("http://141.218.60.56/~jnz1568/getInfo.php?workbook=12_04.xlsx&amp;sheet=U0&amp;row=8028&amp;col=6&amp;number=3.4&amp;sourceID=14","3.4")</f>
        <v>3.4</v>
      </c>
      <c r="G8028" s="4" t="str">
        <f>HYPERLINK("http://141.218.60.56/~jnz1568/getInfo.php?workbook=12_04.xlsx&amp;sheet=U0&amp;row=8028&amp;col=7&amp;number=0.0873&amp;sourceID=14","0.0873")</f>
        <v>0.0873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HYPERLINK("http://141.218.60.56/~jnz1568/getInfo.php?workbook=12_04.xlsx&amp;sheet=U0&amp;row=8029&amp;col=6&amp;number=3.5&amp;sourceID=14","3.5")</f>
        <v>3.5</v>
      </c>
      <c r="G8029" s="4" t="str">
        <f>HYPERLINK("http://141.218.60.56/~jnz1568/getInfo.php?workbook=12_04.xlsx&amp;sheet=U0&amp;row=8029&amp;col=7&amp;number=0.087&amp;sourceID=14","0.087")</f>
        <v>0.087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HYPERLINK("http://141.218.60.56/~jnz1568/getInfo.php?workbook=12_04.xlsx&amp;sheet=U0&amp;row=8030&amp;col=6&amp;number=3.6&amp;sourceID=14","3.6")</f>
        <v>3.6</v>
      </c>
      <c r="G8030" s="4" t="str">
        <f>HYPERLINK("http://141.218.60.56/~jnz1568/getInfo.php?workbook=12_04.xlsx&amp;sheet=U0&amp;row=8030&amp;col=7&amp;number=0.0867&amp;sourceID=14","0.0867")</f>
        <v>0.0867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HYPERLINK("http://141.218.60.56/~jnz1568/getInfo.php?workbook=12_04.xlsx&amp;sheet=U0&amp;row=8031&amp;col=6&amp;number=3.7&amp;sourceID=14","3.7")</f>
        <v>3.7</v>
      </c>
      <c r="G8031" s="4" t="str">
        <f>HYPERLINK("http://141.218.60.56/~jnz1568/getInfo.php?workbook=12_04.xlsx&amp;sheet=U0&amp;row=8031&amp;col=7&amp;number=0.0863&amp;sourceID=14","0.0863")</f>
        <v>0.0863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HYPERLINK("http://141.218.60.56/~jnz1568/getInfo.php?workbook=12_04.xlsx&amp;sheet=U0&amp;row=8032&amp;col=6&amp;number=3.8&amp;sourceID=14","3.8")</f>
        <v>3.8</v>
      </c>
      <c r="G8032" s="4" t="str">
        <f>HYPERLINK("http://141.218.60.56/~jnz1568/getInfo.php?workbook=12_04.xlsx&amp;sheet=U0&amp;row=8032&amp;col=7&amp;number=0.0858&amp;sourceID=14","0.0858")</f>
        <v>0.0858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HYPERLINK("http://141.218.60.56/~jnz1568/getInfo.php?workbook=12_04.xlsx&amp;sheet=U0&amp;row=8033&amp;col=6&amp;number=3.9&amp;sourceID=14","3.9")</f>
        <v>3.9</v>
      </c>
      <c r="G8033" s="4" t="str">
        <f>HYPERLINK("http://141.218.60.56/~jnz1568/getInfo.php?workbook=12_04.xlsx&amp;sheet=U0&amp;row=8033&amp;col=7&amp;number=0.0852&amp;sourceID=14","0.0852")</f>
        <v>0.0852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HYPERLINK("http://141.218.60.56/~jnz1568/getInfo.php?workbook=12_04.xlsx&amp;sheet=U0&amp;row=8034&amp;col=6&amp;number=4&amp;sourceID=14","4")</f>
        <v>4</v>
      </c>
      <c r="G8034" s="4" t="str">
        <f>HYPERLINK("http://141.218.60.56/~jnz1568/getInfo.php?workbook=12_04.xlsx&amp;sheet=U0&amp;row=8034&amp;col=7&amp;number=0.0844&amp;sourceID=14","0.0844")</f>
        <v>0.0844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HYPERLINK("http://141.218.60.56/~jnz1568/getInfo.php?workbook=12_04.xlsx&amp;sheet=U0&amp;row=8035&amp;col=6&amp;number=4.1&amp;sourceID=14","4.1")</f>
        <v>4.1</v>
      </c>
      <c r="G8035" s="4" t="str">
        <f>HYPERLINK("http://141.218.60.56/~jnz1568/getInfo.php?workbook=12_04.xlsx&amp;sheet=U0&amp;row=8035&amp;col=7&amp;number=0.0834&amp;sourceID=14","0.0834")</f>
        <v>0.0834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HYPERLINK("http://141.218.60.56/~jnz1568/getInfo.php?workbook=12_04.xlsx&amp;sheet=U0&amp;row=8036&amp;col=6&amp;number=4.2&amp;sourceID=14","4.2")</f>
        <v>4.2</v>
      </c>
      <c r="G8036" s="4" t="str">
        <f>HYPERLINK("http://141.218.60.56/~jnz1568/getInfo.php?workbook=12_04.xlsx&amp;sheet=U0&amp;row=8036&amp;col=7&amp;number=0.0821&amp;sourceID=14","0.0821")</f>
        <v>0.0821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HYPERLINK("http://141.218.60.56/~jnz1568/getInfo.php?workbook=12_04.xlsx&amp;sheet=U0&amp;row=8037&amp;col=6&amp;number=4.3&amp;sourceID=14","4.3")</f>
        <v>4.3</v>
      </c>
      <c r="G8037" s="4" t="str">
        <f>HYPERLINK("http://141.218.60.56/~jnz1568/getInfo.php?workbook=12_04.xlsx&amp;sheet=U0&amp;row=8037&amp;col=7&amp;number=0.0806&amp;sourceID=14","0.0806")</f>
        <v>0.0806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HYPERLINK("http://141.218.60.56/~jnz1568/getInfo.php?workbook=12_04.xlsx&amp;sheet=U0&amp;row=8038&amp;col=6&amp;number=4.4&amp;sourceID=14","4.4")</f>
        <v>4.4</v>
      </c>
      <c r="G8038" s="4" t="str">
        <f>HYPERLINK("http://141.218.60.56/~jnz1568/getInfo.php?workbook=12_04.xlsx&amp;sheet=U0&amp;row=8038&amp;col=7&amp;number=0.0786&amp;sourceID=14","0.0786")</f>
        <v>0.0786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HYPERLINK("http://141.218.60.56/~jnz1568/getInfo.php?workbook=12_04.xlsx&amp;sheet=U0&amp;row=8039&amp;col=6&amp;number=4.5&amp;sourceID=14","4.5")</f>
        <v>4.5</v>
      </c>
      <c r="G8039" s="4" t="str">
        <f>HYPERLINK("http://141.218.60.56/~jnz1568/getInfo.php?workbook=12_04.xlsx&amp;sheet=U0&amp;row=8039&amp;col=7&amp;number=0.0762&amp;sourceID=14","0.0762")</f>
        <v>0.0762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HYPERLINK("http://141.218.60.56/~jnz1568/getInfo.php?workbook=12_04.xlsx&amp;sheet=U0&amp;row=8040&amp;col=6&amp;number=4.6&amp;sourceID=14","4.6")</f>
        <v>4.6</v>
      </c>
      <c r="G8040" s="4" t="str">
        <f>HYPERLINK("http://141.218.60.56/~jnz1568/getInfo.php?workbook=12_04.xlsx&amp;sheet=U0&amp;row=8040&amp;col=7&amp;number=0.0733&amp;sourceID=14","0.0733")</f>
        <v>0.0733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HYPERLINK("http://141.218.60.56/~jnz1568/getInfo.php?workbook=12_04.xlsx&amp;sheet=U0&amp;row=8041&amp;col=6&amp;number=4.7&amp;sourceID=14","4.7")</f>
        <v>4.7</v>
      </c>
      <c r="G8041" s="4" t="str">
        <f>HYPERLINK("http://141.218.60.56/~jnz1568/getInfo.php?workbook=12_04.xlsx&amp;sheet=U0&amp;row=8041&amp;col=7&amp;number=0.0698&amp;sourceID=14","0.0698")</f>
        <v>0.0698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HYPERLINK("http://141.218.60.56/~jnz1568/getInfo.php?workbook=12_04.xlsx&amp;sheet=U0&amp;row=8042&amp;col=6&amp;number=4.8&amp;sourceID=14","4.8")</f>
        <v>4.8</v>
      </c>
      <c r="G8042" s="4" t="str">
        <f>HYPERLINK("http://141.218.60.56/~jnz1568/getInfo.php?workbook=12_04.xlsx&amp;sheet=U0&amp;row=8042&amp;col=7&amp;number=0.0656&amp;sourceID=14","0.0656")</f>
        <v>0.0656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HYPERLINK("http://141.218.60.56/~jnz1568/getInfo.php?workbook=12_04.xlsx&amp;sheet=U0&amp;row=8043&amp;col=6&amp;number=4.9&amp;sourceID=14","4.9")</f>
        <v>4.9</v>
      </c>
      <c r="G8043" s="4" t="str">
        <f>HYPERLINK("http://141.218.60.56/~jnz1568/getInfo.php?workbook=12_04.xlsx&amp;sheet=U0&amp;row=8043&amp;col=7&amp;number=0.0606&amp;sourceID=14","0.0606")</f>
        <v>0.0606</v>
      </c>
    </row>
    <row r="8044" spans="1:7">
      <c r="A8044" s="3">
        <v>12</v>
      </c>
      <c r="B8044" s="3">
        <v>4</v>
      </c>
      <c r="C8044" s="3">
        <v>5</v>
      </c>
      <c r="D8044" s="3">
        <v>26</v>
      </c>
      <c r="E8044" s="3">
        <v>1</v>
      </c>
      <c r="F8044" s="4" t="str">
        <f>HYPERLINK("http://141.218.60.56/~jnz1568/getInfo.php?workbook=12_04.xlsx&amp;sheet=U0&amp;row=8044&amp;col=6&amp;number=3&amp;sourceID=14","3")</f>
        <v>3</v>
      </c>
      <c r="G8044" s="4" t="str">
        <f>HYPERLINK("http://141.218.60.56/~jnz1568/getInfo.php?workbook=12_04.xlsx&amp;sheet=U0&amp;row=8044&amp;col=7&amp;number=0.0461&amp;sourceID=14","0.0461")</f>
        <v>0.0461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HYPERLINK("http://141.218.60.56/~jnz1568/getInfo.php?workbook=12_04.xlsx&amp;sheet=U0&amp;row=8045&amp;col=6&amp;number=3.1&amp;sourceID=14","3.1")</f>
        <v>3.1</v>
      </c>
      <c r="G8045" s="4" t="str">
        <f>HYPERLINK("http://141.218.60.56/~jnz1568/getInfo.php?workbook=12_04.xlsx&amp;sheet=U0&amp;row=8045&amp;col=7&amp;number=0.046&amp;sourceID=14","0.046")</f>
        <v>0.046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HYPERLINK("http://141.218.60.56/~jnz1568/getInfo.php?workbook=12_04.xlsx&amp;sheet=U0&amp;row=8046&amp;col=6&amp;number=3.2&amp;sourceID=14","3.2")</f>
        <v>3.2</v>
      </c>
      <c r="G8046" s="4" t="str">
        <f>HYPERLINK("http://141.218.60.56/~jnz1568/getInfo.php?workbook=12_04.xlsx&amp;sheet=U0&amp;row=8046&amp;col=7&amp;number=0.0459&amp;sourceID=14","0.0459")</f>
        <v>0.0459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HYPERLINK("http://141.218.60.56/~jnz1568/getInfo.php?workbook=12_04.xlsx&amp;sheet=U0&amp;row=8047&amp;col=6&amp;number=3.3&amp;sourceID=14","3.3")</f>
        <v>3.3</v>
      </c>
      <c r="G8047" s="4" t="str">
        <f>HYPERLINK("http://141.218.60.56/~jnz1568/getInfo.php?workbook=12_04.xlsx&amp;sheet=U0&amp;row=8047&amp;col=7&amp;number=0.0458&amp;sourceID=14","0.0458")</f>
        <v>0.0458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HYPERLINK("http://141.218.60.56/~jnz1568/getInfo.php?workbook=12_04.xlsx&amp;sheet=U0&amp;row=8048&amp;col=6&amp;number=3.4&amp;sourceID=14","3.4")</f>
        <v>3.4</v>
      </c>
      <c r="G8048" s="4" t="str">
        <f>HYPERLINK("http://141.218.60.56/~jnz1568/getInfo.php?workbook=12_04.xlsx&amp;sheet=U0&amp;row=8048&amp;col=7&amp;number=0.0457&amp;sourceID=14","0.0457")</f>
        <v>0.0457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HYPERLINK("http://141.218.60.56/~jnz1568/getInfo.php?workbook=12_04.xlsx&amp;sheet=U0&amp;row=8049&amp;col=6&amp;number=3.5&amp;sourceID=14","3.5")</f>
        <v>3.5</v>
      </c>
      <c r="G8049" s="4" t="str">
        <f>HYPERLINK("http://141.218.60.56/~jnz1568/getInfo.php?workbook=12_04.xlsx&amp;sheet=U0&amp;row=8049&amp;col=7&amp;number=0.0455&amp;sourceID=14","0.0455")</f>
        <v>0.0455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HYPERLINK("http://141.218.60.56/~jnz1568/getInfo.php?workbook=12_04.xlsx&amp;sheet=U0&amp;row=8050&amp;col=6&amp;number=3.6&amp;sourceID=14","3.6")</f>
        <v>3.6</v>
      </c>
      <c r="G8050" s="4" t="str">
        <f>HYPERLINK("http://141.218.60.56/~jnz1568/getInfo.php?workbook=12_04.xlsx&amp;sheet=U0&amp;row=8050&amp;col=7&amp;number=0.0453&amp;sourceID=14","0.0453")</f>
        <v>0.0453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HYPERLINK("http://141.218.60.56/~jnz1568/getInfo.php?workbook=12_04.xlsx&amp;sheet=U0&amp;row=8051&amp;col=6&amp;number=3.7&amp;sourceID=14","3.7")</f>
        <v>3.7</v>
      </c>
      <c r="G8051" s="4" t="str">
        <f>HYPERLINK("http://141.218.60.56/~jnz1568/getInfo.php?workbook=12_04.xlsx&amp;sheet=U0&amp;row=8051&amp;col=7&amp;number=0.045&amp;sourceID=14","0.045")</f>
        <v>0.045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HYPERLINK("http://141.218.60.56/~jnz1568/getInfo.php?workbook=12_04.xlsx&amp;sheet=U0&amp;row=8052&amp;col=6&amp;number=3.8&amp;sourceID=14","3.8")</f>
        <v>3.8</v>
      </c>
      <c r="G8052" s="4" t="str">
        <f>HYPERLINK("http://141.218.60.56/~jnz1568/getInfo.php?workbook=12_04.xlsx&amp;sheet=U0&amp;row=8052&amp;col=7&amp;number=0.0446&amp;sourceID=14","0.0446")</f>
        <v>0.0446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HYPERLINK("http://141.218.60.56/~jnz1568/getInfo.php?workbook=12_04.xlsx&amp;sheet=U0&amp;row=8053&amp;col=6&amp;number=3.9&amp;sourceID=14","3.9")</f>
        <v>3.9</v>
      </c>
      <c r="G8053" s="4" t="str">
        <f>HYPERLINK("http://141.218.60.56/~jnz1568/getInfo.php?workbook=12_04.xlsx&amp;sheet=U0&amp;row=8053&amp;col=7&amp;number=0.0442&amp;sourceID=14","0.0442")</f>
        <v>0.0442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HYPERLINK("http://141.218.60.56/~jnz1568/getInfo.php?workbook=12_04.xlsx&amp;sheet=U0&amp;row=8054&amp;col=6&amp;number=4&amp;sourceID=14","4")</f>
        <v>4</v>
      </c>
      <c r="G8054" s="4" t="str">
        <f>HYPERLINK("http://141.218.60.56/~jnz1568/getInfo.php?workbook=12_04.xlsx&amp;sheet=U0&amp;row=8054&amp;col=7&amp;number=0.0436&amp;sourceID=14","0.0436")</f>
        <v>0.0436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HYPERLINK("http://141.218.60.56/~jnz1568/getInfo.php?workbook=12_04.xlsx&amp;sheet=U0&amp;row=8055&amp;col=6&amp;number=4.1&amp;sourceID=14","4.1")</f>
        <v>4.1</v>
      </c>
      <c r="G8055" s="4" t="str">
        <f>HYPERLINK("http://141.218.60.56/~jnz1568/getInfo.php?workbook=12_04.xlsx&amp;sheet=U0&amp;row=8055&amp;col=7&amp;number=0.0429&amp;sourceID=14","0.0429")</f>
        <v>0.0429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HYPERLINK("http://141.218.60.56/~jnz1568/getInfo.php?workbook=12_04.xlsx&amp;sheet=U0&amp;row=8056&amp;col=6&amp;number=4.2&amp;sourceID=14","4.2")</f>
        <v>4.2</v>
      </c>
      <c r="G8056" s="4" t="str">
        <f>HYPERLINK("http://141.218.60.56/~jnz1568/getInfo.php?workbook=12_04.xlsx&amp;sheet=U0&amp;row=8056&amp;col=7&amp;number=0.042&amp;sourceID=14","0.042")</f>
        <v>0.042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HYPERLINK("http://141.218.60.56/~jnz1568/getInfo.php?workbook=12_04.xlsx&amp;sheet=U0&amp;row=8057&amp;col=6&amp;number=4.3&amp;sourceID=14","4.3")</f>
        <v>4.3</v>
      </c>
      <c r="G8057" s="4" t="str">
        <f>HYPERLINK("http://141.218.60.56/~jnz1568/getInfo.php?workbook=12_04.xlsx&amp;sheet=U0&amp;row=8057&amp;col=7&amp;number=0.0409&amp;sourceID=14","0.0409")</f>
        <v>0.0409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HYPERLINK("http://141.218.60.56/~jnz1568/getInfo.php?workbook=12_04.xlsx&amp;sheet=U0&amp;row=8058&amp;col=6&amp;number=4.4&amp;sourceID=14","4.4")</f>
        <v>4.4</v>
      </c>
      <c r="G8058" s="4" t="str">
        <f>HYPERLINK("http://141.218.60.56/~jnz1568/getInfo.php?workbook=12_04.xlsx&amp;sheet=U0&amp;row=8058&amp;col=7&amp;number=0.0396&amp;sourceID=14","0.0396")</f>
        <v>0.0396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HYPERLINK("http://141.218.60.56/~jnz1568/getInfo.php?workbook=12_04.xlsx&amp;sheet=U0&amp;row=8059&amp;col=6&amp;number=4.5&amp;sourceID=14","4.5")</f>
        <v>4.5</v>
      </c>
      <c r="G8059" s="4" t="str">
        <f>HYPERLINK("http://141.218.60.56/~jnz1568/getInfo.php?workbook=12_04.xlsx&amp;sheet=U0&amp;row=8059&amp;col=7&amp;number=0.0379&amp;sourceID=14","0.0379")</f>
        <v>0.0379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HYPERLINK("http://141.218.60.56/~jnz1568/getInfo.php?workbook=12_04.xlsx&amp;sheet=U0&amp;row=8060&amp;col=6&amp;number=4.6&amp;sourceID=14","4.6")</f>
        <v>4.6</v>
      </c>
      <c r="G8060" s="4" t="str">
        <f>HYPERLINK("http://141.218.60.56/~jnz1568/getInfo.php?workbook=12_04.xlsx&amp;sheet=U0&amp;row=8060&amp;col=7&amp;number=0.0358&amp;sourceID=14","0.0358")</f>
        <v>0.0358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HYPERLINK("http://141.218.60.56/~jnz1568/getInfo.php?workbook=12_04.xlsx&amp;sheet=U0&amp;row=8061&amp;col=6&amp;number=4.7&amp;sourceID=14","4.7")</f>
        <v>4.7</v>
      </c>
      <c r="G8061" s="4" t="str">
        <f>HYPERLINK("http://141.218.60.56/~jnz1568/getInfo.php?workbook=12_04.xlsx&amp;sheet=U0&amp;row=8061&amp;col=7&amp;number=0.0333&amp;sourceID=14","0.0333")</f>
        <v>0.0333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HYPERLINK("http://141.218.60.56/~jnz1568/getInfo.php?workbook=12_04.xlsx&amp;sheet=U0&amp;row=8062&amp;col=6&amp;number=4.8&amp;sourceID=14","4.8")</f>
        <v>4.8</v>
      </c>
      <c r="G8062" s="4" t="str">
        <f>HYPERLINK("http://141.218.60.56/~jnz1568/getInfo.php?workbook=12_04.xlsx&amp;sheet=U0&amp;row=8062&amp;col=7&amp;number=0.0303&amp;sourceID=14","0.0303")</f>
        <v>0.0303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HYPERLINK("http://141.218.60.56/~jnz1568/getInfo.php?workbook=12_04.xlsx&amp;sheet=U0&amp;row=8063&amp;col=6&amp;number=4.9&amp;sourceID=14","4.9")</f>
        <v>4.9</v>
      </c>
      <c r="G8063" s="4" t="str">
        <f>HYPERLINK("http://141.218.60.56/~jnz1568/getInfo.php?workbook=12_04.xlsx&amp;sheet=U0&amp;row=8063&amp;col=7&amp;number=0.0269&amp;sourceID=14","0.0269")</f>
        <v>0.0269</v>
      </c>
    </row>
    <row r="8064" spans="1:7">
      <c r="A8064" s="3">
        <v>12</v>
      </c>
      <c r="B8064" s="3">
        <v>4</v>
      </c>
      <c r="C8064" s="3">
        <v>5</v>
      </c>
      <c r="D8064" s="3">
        <v>27</v>
      </c>
      <c r="E8064" s="3">
        <v>1</v>
      </c>
      <c r="F8064" s="4" t="str">
        <f>HYPERLINK("http://141.218.60.56/~jnz1568/getInfo.php?workbook=12_04.xlsx&amp;sheet=U0&amp;row=8064&amp;col=6&amp;number=3&amp;sourceID=14","3")</f>
        <v>3</v>
      </c>
      <c r="G8064" s="4" t="str">
        <f>HYPERLINK("http://141.218.60.56/~jnz1568/getInfo.php?workbook=12_04.xlsx&amp;sheet=U0&amp;row=8064&amp;col=7&amp;number=0.055&amp;sourceID=14","0.055")</f>
        <v>0.055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HYPERLINK("http://141.218.60.56/~jnz1568/getInfo.php?workbook=12_04.xlsx&amp;sheet=U0&amp;row=8065&amp;col=6&amp;number=3.1&amp;sourceID=14","3.1")</f>
        <v>3.1</v>
      </c>
      <c r="G8065" s="4" t="str">
        <f>HYPERLINK("http://141.218.60.56/~jnz1568/getInfo.php?workbook=12_04.xlsx&amp;sheet=U0&amp;row=8065&amp;col=7&amp;number=0.0549&amp;sourceID=14","0.0549")</f>
        <v>0.0549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HYPERLINK("http://141.218.60.56/~jnz1568/getInfo.php?workbook=12_04.xlsx&amp;sheet=U0&amp;row=8066&amp;col=6&amp;number=3.2&amp;sourceID=14","3.2")</f>
        <v>3.2</v>
      </c>
      <c r="G8066" s="4" t="str">
        <f>HYPERLINK("http://141.218.60.56/~jnz1568/getInfo.php?workbook=12_04.xlsx&amp;sheet=U0&amp;row=8066&amp;col=7&amp;number=0.0548&amp;sourceID=14","0.0548")</f>
        <v>0.0548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HYPERLINK("http://141.218.60.56/~jnz1568/getInfo.php?workbook=12_04.xlsx&amp;sheet=U0&amp;row=8067&amp;col=6&amp;number=3.3&amp;sourceID=14","3.3")</f>
        <v>3.3</v>
      </c>
      <c r="G8067" s="4" t="str">
        <f>HYPERLINK("http://141.218.60.56/~jnz1568/getInfo.php?workbook=12_04.xlsx&amp;sheet=U0&amp;row=8067&amp;col=7&amp;number=0.0547&amp;sourceID=14","0.0547")</f>
        <v>0.0547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HYPERLINK("http://141.218.60.56/~jnz1568/getInfo.php?workbook=12_04.xlsx&amp;sheet=U0&amp;row=8068&amp;col=6&amp;number=3.4&amp;sourceID=14","3.4")</f>
        <v>3.4</v>
      </c>
      <c r="G8068" s="4" t="str">
        <f>HYPERLINK("http://141.218.60.56/~jnz1568/getInfo.php?workbook=12_04.xlsx&amp;sheet=U0&amp;row=8068&amp;col=7&amp;number=0.0546&amp;sourceID=14","0.0546")</f>
        <v>0.0546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HYPERLINK("http://141.218.60.56/~jnz1568/getInfo.php?workbook=12_04.xlsx&amp;sheet=U0&amp;row=8069&amp;col=6&amp;number=3.5&amp;sourceID=14","3.5")</f>
        <v>3.5</v>
      </c>
      <c r="G8069" s="4" t="str">
        <f>HYPERLINK("http://141.218.60.56/~jnz1568/getInfo.php?workbook=12_04.xlsx&amp;sheet=U0&amp;row=8069&amp;col=7&amp;number=0.0544&amp;sourceID=14","0.0544")</f>
        <v>0.0544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HYPERLINK("http://141.218.60.56/~jnz1568/getInfo.php?workbook=12_04.xlsx&amp;sheet=U0&amp;row=8070&amp;col=6&amp;number=3.6&amp;sourceID=14","3.6")</f>
        <v>3.6</v>
      </c>
      <c r="G8070" s="4" t="str">
        <f>HYPERLINK("http://141.218.60.56/~jnz1568/getInfo.php?workbook=12_04.xlsx&amp;sheet=U0&amp;row=8070&amp;col=7&amp;number=0.0542&amp;sourceID=14","0.0542")</f>
        <v>0.0542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HYPERLINK("http://141.218.60.56/~jnz1568/getInfo.php?workbook=12_04.xlsx&amp;sheet=U0&amp;row=8071&amp;col=6&amp;number=3.7&amp;sourceID=14","3.7")</f>
        <v>3.7</v>
      </c>
      <c r="G8071" s="4" t="str">
        <f>HYPERLINK("http://141.218.60.56/~jnz1568/getInfo.php?workbook=12_04.xlsx&amp;sheet=U0&amp;row=8071&amp;col=7&amp;number=0.0539&amp;sourceID=14","0.0539")</f>
        <v>0.0539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HYPERLINK("http://141.218.60.56/~jnz1568/getInfo.php?workbook=12_04.xlsx&amp;sheet=U0&amp;row=8072&amp;col=6&amp;number=3.8&amp;sourceID=14","3.8")</f>
        <v>3.8</v>
      </c>
      <c r="G8072" s="4" t="str">
        <f>HYPERLINK("http://141.218.60.56/~jnz1568/getInfo.php?workbook=12_04.xlsx&amp;sheet=U0&amp;row=8072&amp;col=7&amp;number=0.0535&amp;sourceID=14","0.0535")</f>
        <v>0.0535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HYPERLINK("http://141.218.60.56/~jnz1568/getInfo.php?workbook=12_04.xlsx&amp;sheet=U0&amp;row=8073&amp;col=6&amp;number=3.9&amp;sourceID=14","3.9")</f>
        <v>3.9</v>
      </c>
      <c r="G8073" s="4" t="str">
        <f>HYPERLINK("http://141.218.60.56/~jnz1568/getInfo.php?workbook=12_04.xlsx&amp;sheet=U0&amp;row=8073&amp;col=7&amp;number=0.053&amp;sourceID=14","0.053")</f>
        <v>0.053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HYPERLINK("http://141.218.60.56/~jnz1568/getInfo.php?workbook=12_04.xlsx&amp;sheet=U0&amp;row=8074&amp;col=6&amp;number=4&amp;sourceID=14","4")</f>
        <v>4</v>
      </c>
      <c r="G8074" s="4" t="str">
        <f>HYPERLINK("http://141.218.60.56/~jnz1568/getInfo.php?workbook=12_04.xlsx&amp;sheet=U0&amp;row=8074&amp;col=7&amp;number=0.0525&amp;sourceID=14","0.0525")</f>
        <v>0.0525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HYPERLINK("http://141.218.60.56/~jnz1568/getInfo.php?workbook=12_04.xlsx&amp;sheet=U0&amp;row=8075&amp;col=6&amp;number=4.1&amp;sourceID=14","4.1")</f>
        <v>4.1</v>
      </c>
      <c r="G8075" s="4" t="str">
        <f>HYPERLINK("http://141.218.60.56/~jnz1568/getInfo.php?workbook=12_04.xlsx&amp;sheet=U0&amp;row=8075&amp;col=7&amp;number=0.0518&amp;sourceID=14","0.0518")</f>
        <v>0.0518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HYPERLINK("http://141.218.60.56/~jnz1568/getInfo.php?workbook=12_04.xlsx&amp;sheet=U0&amp;row=8076&amp;col=6&amp;number=4.2&amp;sourceID=14","4.2")</f>
        <v>4.2</v>
      </c>
      <c r="G8076" s="4" t="str">
        <f>HYPERLINK("http://141.218.60.56/~jnz1568/getInfo.php?workbook=12_04.xlsx&amp;sheet=U0&amp;row=8076&amp;col=7&amp;number=0.0509&amp;sourceID=14","0.0509")</f>
        <v>0.0509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HYPERLINK("http://141.218.60.56/~jnz1568/getInfo.php?workbook=12_04.xlsx&amp;sheet=U0&amp;row=8077&amp;col=6&amp;number=4.3&amp;sourceID=14","4.3")</f>
        <v>4.3</v>
      </c>
      <c r="G8077" s="4" t="str">
        <f>HYPERLINK("http://141.218.60.56/~jnz1568/getInfo.php?workbook=12_04.xlsx&amp;sheet=U0&amp;row=8077&amp;col=7&amp;number=0.0497&amp;sourceID=14","0.0497")</f>
        <v>0.0497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HYPERLINK("http://141.218.60.56/~jnz1568/getInfo.php?workbook=12_04.xlsx&amp;sheet=U0&amp;row=8078&amp;col=6&amp;number=4.4&amp;sourceID=14","4.4")</f>
        <v>4.4</v>
      </c>
      <c r="G8078" s="4" t="str">
        <f>HYPERLINK("http://141.218.60.56/~jnz1568/getInfo.php?workbook=12_04.xlsx&amp;sheet=U0&amp;row=8078&amp;col=7&amp;number=0.0483&amp;sourceID=14","0.0483")</f>
        <v>0.0483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HYPERLINK("http://141.218.60.56/~jnz1568/getInfo.php?workbook=12_04.xlsx&amp;sheet=U0&amp;row=8079&amp;col=6&amp;number=4.5&amp;sourceID=14","4.5")</f>
        <v>4.5</v>
      </c>
      <c r="G8079" s="4" t="str">
        <f>HYPERLINK("http://141.218.60.56/~jnz1568/getInfo.php?workbook=12_04.xlsx&amp;sheet=U0&amp;row=8079&amp;col=7&amp;number=0.0466&amp;sourceID=14","0.0466")</f>
        <v>0.0466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HYPERLINK("http://141.218.60.56/~jnz1568/getInfo.php?workbook=12_04.xlsx&amp;sheet=U0&amp;row=8080&amp;col=6&amp;number=4.6&amp;sourceID=14","4.6")</f>
        <v>4.6</v>
      </c>
      <c r="G8080" s="4" t="str">
        <f>HYPERLINK("http://141.218.60.56/~jnz1568/getInfo.php?workbook=12_04.xlsx&amp;sheet=U0&amp;row=8080&amp;col=7&amp;number=0.0444&amp;sourceID=14","0.0444")</f>
        <v>0.0444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HYPERLINK("http://141.218.60.56/~jnz1568/getInfo.php?workbook=12_04.xlsx&amp;sheet=U0&amp;row=8081&amp;col=6&amp;number=4.7&amp;sourceID=14","4.7")</f>
        <v>4.7</v>
      </c>
      <c r="G8081" s="4" t="str">
        <f>HYPERLINK("http://141.218.60.56/~jnz1568/getInfo.php?workbook=12_04.xlsx&amp;sheet=U0&amp;row=8081&amp;col=7&amp;number=0.0417&amp;sourceID=14","0.0417")</f>
        <v>0.0417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HYPERLINK("http://141.218.60.56/~jnz1568/getInfo.php?workbook=12_04.xlsx&amp;sheet=U0&amp;row=8082&amp;col=6&amp;number=4.8&amp;sourceID=14","4.8")</f>
        <v>4.8</v>
      </c>
      <c r="G8082" s="4" t="str">
        <f>HYPERLINK("http://141.218.60.56/~jnz1568/getInfo.php?workbook=12_04.xlsx&amp;sheet=U0&amp;row=8082&amp;col=7&amp;number=0.0385&amp;sourceID=14","0.0385")</f>
        <v>0.0385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HYPERLINK("http://141.218.60.56/~jnz1568/getInfo.php?workbook=12_04.xlsx&amp;sheet=U0&amp;row=8083&amp;col=6&amp;number=4.9&amp;sourceID=14","4.9")</f>
        <v>4.9</v>
      </c>
      <c r="G8083" s="4" t="str">
        <f>HYPERLINK("http://141.218.60.56/~jnz1568/getInfo.php?workbook=12_04.xlsx&amp;sheet=U0&amp;row=8083&amp;col=7&amp;number=0.0347&amp;sourceID=14","0.0347")</f>
        <v>0.0347</v>
      </c>
    </row>
    <row r="8084" spans="1:7">
      <c r="A8084" s="3">
        <v>12</v>
      </c>
      <c r="B8084" s="3">
        <v>4</v>
      </c>
      <c r="C8084" s="3">
        <v>5</v>
      </c>
      <c r="D8084" s="3">
        <v>28</v>
      </c>
      <c r="E8084" s="3">
        <v>1</v>
      </c>
      <c r="F8084" s="4" t="str">
        <f>HYPERLINK("http://141.218.60.56/~jnz1568/getInfo.php?workbook=12_04.xlsx&amp;sheet=U0&amp;row=8084&amp;col=6&amp;number=3&amp;sourceID=14","3")</f>
        <v>3</v>
      </c>
      <c r="G8084" s="4" t="str">
        <f>HYPERLINK("http://141.218.60.56/~jnz1568/getInfo.php?workbook=12_04.xlsx&amp;sheet=U0&amp;row=8084&amp;col=7&amp;number=0.0606&amp;sourceID=14","0.0606")</f>
        <v>0.0606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HYPERLINK("http://141.218.60.56/~jnz1568/getInfo.php?workbook=12_04.xlsx&amp;sheet=U0&amp;row=8085&amp;col=6&amp;number=3.1&amp;sourceID=14","3.1")</f>
        <v>3.1</v>
      </c>
      <c r="G8085" s="4" t="str">
        <f>HYPERLINK("http://141.218.60.56/~jnz1568/getInfo.php?workbook=12_04.xlsx&amp;sheet=U0&amp;row=8085&amp;col=7&amp;number=0.0605&amp;sourceID=14","0.0605")</f>
        <v>0.0605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HYPERLINK("http://141.218.60.56/~jnz1568/getInfo.php?workbook=12_04.xlsx&amp;sheet=U0&amp;row=8086&amp;col=6&amp;number=3.2&amp;sourceID=14","3.2")</f>
        <v>3.2</v>
      </c>
      <c r="G8086" s="4" t="str">
        <f>HYPERLINK("http://141.218.60.56/~jnz1568/getInfo.php?workbook=12_04.xlsx&amp;sheet=U0&amp;row=8086&amp;col=7&amp;number=0.0604&amp;sourceID=14","0.0604")</f>
        <v>0.0604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HYPERLINK("http://141.218.60.56/~jnz1568/getInfo.php?workbook=12_04.xlsx&amp;sheet=U0&amp;row=8087&amp;col=6&amp;number=3.3&amp;sourceID=14","3.3")</f>
        <v>3.3</v>
      </c>
      <c r="G8087" s="4" t="str">
        <f>HYPERLINK("http://141.218.60.56/~jnz1568/getInfo.php?workbook=12_04.xlsx&amp;sheet=U0&amp;row=8087&amp;col=7&amp;number=0.0603&amp;sourceID=14","0.0603")</f>
        <v>0.0603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HYPERLINK("http://141.218.60.56/~jnz1568/getInfo.php?workbook=12_04.xlsx&amp;sheet=U0&amp;row=8088&amp;col=6&amp;number=3.4&amp;sourceID=14","3.4")</f>
        <v>3.4</v>
      </c>
      <c r="G8088" s="4" t="str">
        <f>HYPERLINK("http://141.218.60.56/~jnz1568/getInfo.php?workbook=12_04.xlsx&amp;sheet=U0&amp;row=8088&amp;col=7&amp;number=0.0601&amp;sourceID=14","0.0601")</f>
        <v>0.0601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HYPERLINK("http://141.218.60.56/~jnz1568/getInfo.php?workbook=12_04.xlsx&amp;sheet=U0&amp;row=8089&amp;col=6&amp;number=3.5&amp;sourceID=14","3.5")</f>
        <v>3.5</v>
      </c>
      <c r="G8089" s="4" t="str">
        <f>HYPERLINK("http://141.218.60.56/~jnz1568/getInfo.php?workbook=12_04.xlsx&amp;sheet=U0&amp;row=8089&amp;col=7&amp;number=0.0599&amp;sourceID=14","0.0599")</f>
        <v>0.0599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HYPERLINK("http://141.218.60.56/~jnz1568/getInfo.php?workbook=12_04.xlsx&amp;sheet=U0&amp;row=8090&amp;col=6&amp;number=3.6&amp;sourceID=14","3.6")</f>
        <v>3.6</v>
      </c>
      <c r="G8090" s="4" t="str">
        <f>HYPERLINK("http://141.218.60.56/~jnz1568/getInfo.php?workbook=12_04.xlsx&amp;sheet=U0&amp;row=8090&amp;col=7&amp;number=0.0597&amp;sourceID=14","0.0597")</f>
        <v>0.0597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HYPERLINK("http://141.218.60.56/~jnz1568/getInfo.php?workbook=12_04.xlsx&amp;sheet=U0&amp;row=8091&amp;col=6&amp;number=3.7&amp;sourceID=14","3.7")</f>
        <v>3.7</v>
      </c>
      <c r="G8091" s="4" t="str">
        <f>HYPERLINK("http://141.218.60.56/~jnz1568/getInfo.php?workbook=12_04.xlsx&amp;sheet=U0&amp;row=8091&amp;col=7&amp;number=0.0594&amp;sourceID=14","0.0594")</f>
        <v>0.0594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HYPERLINK("http://141.218.60.56/~jnz1568/getInfo.php?workbook=12_04.xlsx&amp;sheet=U0&amp;row=8092&amp;col=6&amp;number=3.8&amp;sourceID=14","3.8")</f>
        <v>3.8</v>
      </c>
      <c r="G8092" s="4" t="str">
        <f>HYPERLINK("http://141.218.60.56/~jnz1568/getInfo.php?workbook=12_04.xlsx&amp;sheet=U0&amp;row=8092&amp;col=7&amp;number=0.0589&amp;sourceID=14","0.0589")</f>
        <v>0.0589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HYPERLINK("http://141.218.60.56/~jnz1568/getInfo.php?workbook=12_04.xlsx&amp;sheet=U0&amp;row=8093&amp;col=6&amp;number=3.9&amp;sourceID=14","3.9")</f>
        <v>3.9</v>
      </c>
      <c r="G8093" s="4" t="str">
        <f>HYPERLINK("http://141.218.60.56/~jnz1568/getInfo.php?workbook=12_04.xlsx&amp;sheet=U0&amp;row=8093&amp;col=7&amp;number=0.0584&amp;sourceID=14","0.0584")</f>
        <v>0.0584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HYPERLINK("http://141.218.60.56/~jnz1568/getInfo.php?workbook=12_04.xlsx&amp;sheet=U0&amp;row=8094&amp;col=6&amp;number=4&amp;sourceID=14","4")</f>
        <v>4</v>
      </c>
      <c r="G8094" s="4" t="str">
        <f>HYPERLINK("http://141.218.60.56/~jnz1568/getInfo.php?workbook=12_04.xlsx&amp;sheet=U0&amp;row=8094&amp;col=7&amp;number=0.0578&amp;sourceID=14","0.0578")</f>
        <v>0.0578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HYPERLINK("http://141.218.60.56/~jnz1568/getInfo.php?workbook=12_04.xlsx&amp;sheet=U0&amp;row=8095&amp;col=6&amp;number=4.1&amp;sourceID=14","4.1")</f>
        <v>4.1</v>
      </c>
      <c r="G8095" s="4" t="str">
        <f>HYPERLINK("http://141.218.60.56/~jnz1568/getInfo.php?workbook=12_04.xlsx&amp;sheet=U0&amp;row=8095&amp;col=7&amp;number=0.057&amp;sourceID=14","0.057")</f>
        <v>0.057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HYPERLINK("http://141.218.60.56/~jnz1568/getInfo.php?workbook=12_04.xlsx&amp;sheet=U0&amp;row=8096&amp;col=6&amp;number=4.2&amp;sourceID=14","4.2")</f>
        <v>4.2</v>
      </c>
      <c r="G8096" s="4" t="str">
        <f>HYPERLINK("http://141.218.60.56/~jnz1568/getInfo.php?workbook=12_04.xlsx&amp;sheet=U0&amp;row=8096&amp;col=7&amp;number=0.056&amp;sourceID=14","0.056")</f>
        <v>0.056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HYPERLINK("http://141.218.60.56/~jnz1568/getInfo.php?workbook=12_04.xlsx&amp;sheet=U0&amp;row=8097&amp;col=6&amp;number=4.3&amp;sourceID=14","4.3")</f>
        <v>4.3</v>
      </c>
      <c r="G8097" s="4" t="str">
        <f>HYPERLINK("http://141.218.60.56/~jnz1568/getInfo.php?workbook=12_04.xlsx&amp;sheet=U0&amp;row=8097&amp;col=7&amp;number=0.0548&amp;sourceID=14","0.0548")</f>
        <v>0.0548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HYPERLINK("http://141.218.60.56/~jnz1568/getInfo.php?workbook=12_04.xlsx&amp;sheet=U0&amp;row=8098&amp;col=6&amp;number=4.4&amp;sourceID=14","4.4")</f>
        <v>4.4</v>
      </c>
      <c r="G8098" s="4" t="str">
        <f>HYPERLINK("http://141.218.60.56/~jnz1568/getInfo.php?workbook=12_04.xlsx&amp;sheet=U0&amp;row=8098&amp;col=7&amp;number=0.0532&amp;sourceID=14","0.0532")</f>
        <v>0.0532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HYPERLINK("http://141.218.60.56/~jnz1568/getInfo.php?workbook=12_04.xlsx&amp;sheet=U0&amp;row=8099&amp;col=6&amp;number=4.5&amp;sourceID=14","4.5")</f>
        <v>4.5</v>
      </c>
      <c r="G8099" s="4" t="str">
        <f>HYPERLINK("http://141.218.60.56/~jnz1568/getInfo.php?workbook=12_04.xlsx&amp;sheet=U0&amp;row=8099&amp;col=7&amp;number=0.0513&amp;sourceID=14","0.0513")</f>
        <v>0.0513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HYPERLINK("http://141.218.60.56/~jnz1568/getInfo.php?workbook=12_04.xlsx&amp;sheet=U0&amp;row=8100&amp;col=6&amp;number=4.6&amp;sourceID=14","4.6")</f>
        <v>4.6</v>
      </c>
      <c r="G8100" s="4" t="str">
        <f>HYPERLINK("http://141.218.60.56/~jnz1568/getInfo.php?workbook=12_04.xlsx&amp;sheet=U0&amp;row=8100&amp;col=7&amp;number=0.049&amp;sourceID=14","0.049")</f>
        <v>0.049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HYPERLINK("http://141.218.60.56/~jnz1568/getInfo.php?workbook=12_04.xlsx&amp;sheet=U0&amp;row=8101&amp;col=6&amp;number=4.7&amp;sourceID=14","4.7")</f>
        <v>4.7</v>
      </c>
      <c r="G8101" s="4" t="str">
        <f>HYPERLINK("http://141.218.60.56/~jnz1568/getInfo.php?workbook=12_04.xlsx&amp;sheet=U0&amp;row=8101&amp;col=7&amp;number=0.0462&amp;sourceID=14","0.0462")</f>
        <v>0.0462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HYPERLINK("http://141.218.60.56/~jnz1568/getInfo.php?workbook=12_04.xlsx&amp;sheet=U0&amp;row=8102&amp;col=6&amp;number=4.8&amp;sourceID=14","4.8")</f>
        <v>4.8</v>
      </c>
      <c r="G8102" s="4" t="str">
        <f>HYPERLINK("http://141.218.60.56/~jnz1568/getInfo.php?workbook=12_04.xlsx&amp;sheet=U0&amp;row=8102&amp;col=7&amp;number=0.0427&amp;sourceID=14","0.0427")</f>
        <v>0.0427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HYPERLINK("http://141.218.60.56/~jnz1568/getInfo.php?workbook=12_04.xlsx&amp;sheet=U0&amp;row=8103&amp;col=6&amp;number=4.9&amp;sourceID=14","4.9")</f>
        <v>4.9</v>
      </c>
      <c r="G8103" s="4" t="str">
        <f>HYPERLINK("http://141.218.60.56/~jnz1568/getInfo.php?workbook=12_04.xlsx&amp;sheet=U0&amp;row=8103&amp;col=7&amp;number=0.0388&amp;sourceID=14","0.0388")</f>
        <v>0.0388</v>
      </c>
    </row>
    <row r="8104" spans="1:7">
      <c r="A8104" s="3">
        <v>12</v>
      </c>
      <c r="B8104" s="3">
        <v>4</v>
      </c>
      <c r="C8104" s="3">
        <v>5</v>
      </c>
      <c r="D8104" s="3">
        <v>29</v>
      </c>
      <c r="E8104" s="3">
        <v>1</v>
      </c>
      <c r="F8104" s="4" t="str">
        <f>HYPERLINK("http://141.218.60.56/~jnz1568/getInfo.php?workbook=12_04.xlsx&amp;sheet=U0&amp;row=8104&amp;col=6&amp;number=3&amp;sourceID=14","3")</f>
        <v>3</v>
      </c>
      <c r="G8104" s="4" t="str">
        <f>HYPERLINK("http://141.218.60.56/~jnz1568/getInfo.php?workbook=12_04.xlsx&amp;sheet=U0&amp;row=8104&amp;col=7&amp;number=0.0336&amp;sourceID=14","0.0336")</f>
        <v>0.0336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HYPERLINK("http://141.218.60.56/~jnz1568/getInfo.php?workbook=12_04.xlsx&amp;sheet=U0&amp;row=8105&amp;col=6&amp;number=3.1&amp;sourceID=14","3.1")</f>
        <v>3.1</v>
      </c>
      <c r="G8105" s="4" t="str">
        <f>HYPERLINK("http://141.218.60.56/~jnz1568/getInfo.php?workbook=12_04.xlsx&amp;sheet=U0&amp;row=8105&amp;col=7&amp;number=0.0336&amp;sourceID=14","0.0336")</f>
        <v>0.0336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HYPERLINK("http://141.218.60.56/~jnz1568/getInfo.php?workbook=12_04.xlsx&amp;sheet=U0&amp;row=8106&amp;col=6&amp;number=3.2&amp;sourceID=14","3.2")</f>
        <v>3.2</v>
      </c>
      <c r="G8106" s="4" t="str">
        <f>HYPERLINK("http://141.218.60.56/~jnz1568/getInfo.php?workbook=12_04.xlsx&amp;sheet=U0&amp;row=8106&amp;col=7&amp;number=0.0335&amp;sourceID=14","0.0335")</f>
        <v>0.0335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HYPERLINK("http://141.218.60.56/~jnz1568/getInfo.php?workbook=12_04.xlsx&amp;sheet=U0&amp;row=8107&amp;col=6&amp;number=3.3&amp;sourceID=14","3.3")</f>
        <v>3.3</v>
      </c>
      <c r="G8107" s="4" t="str">
        <f>HYPERLINK("http://141.218.60.56/~jnz1568/getInfo.php?workbook=12_04.xlsx&amp;sheet=U0&amp;row=8107&amp;col=7&amp;number=0.0334&amp;sourceID=14","0.0334")</f>
        <v>0.0334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HYPERLINK("http://141.218.60.56/~jnz1568/getInfo.php?workbook=12_04.xlsx&amp;sheet=U0&amp;row=8108&amp;col=6&amp;number=3.4&amp;sourceID=14","3.4")</f>
        <v>3.4</v>
      </c>
      <c r="G8108" s="4" t="str">
        <f>HYPERLINK("http://141.218.60.56/~jnz1568/getInfo.php?workbook=12_04.xlsx&amp;sheet=U0&amp;row=8108&amp;col=7&amp;number=0.0333&amp;sourceID=14","0.0333")</f>
        <v>0.0333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HYPERLINK("http://141.218.60.56/~jnz1568/getInfo.php?workbook=12_04.xlsx&amp;sheet=U0&amp;row=8109&amp;col=6&amp;number=3.5&amp;sourceID=14","3.5")</f>
        <v>3.5</v>
      </c>
      <c r="G8109" s="4" t="str">
        <f>HYPERLINK("http://141.218.60.56/~jnz1568/getInfo.php?workbook=12_04.xlsx&amp;sheet=U0&amp;row=8109&amp;col=7&amp;number=0.0332&amp;sourceID=14","0.0332")</f>
        <v>0.0332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HYPERLINK("http://141.218.60.56/~jnz1568/getInfo.php?workbook=12_04.xlsx&amp;sheet=U0&amp;row=8110&amp;col=6&amp;number=3.6&amp;sourceID=14","3.6")</f>
        <v>3.6</v>
      </c>
      <c r="G8110" s="4" t="str">
        <f>HYPERLINK("http://141.218.60.56/~jnz1568/getInfo.php?workbook=12_04.xlsx&amp;sheet=U0&amp;row=8110&amp;col=7&amp;number=0.0331&amp;sourceID=14","0.0331")</f>
        <v>0.0331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HYPERLINK("http://141.218.60.56/~jnz1568/getInfo.php?workbook=12_04.xlsx&amp;sheet=U0&amp;row=8111&amp;col=6&amp;number=3.7&amp;sourceID=14","3.7")</f>
        <v>3.7</v>
      </c>
      <c r="G8111" s="4" t="str">
        <f>HYPERLINK("http://141.218.60.56/~jnz1568/getInfo.php?workbook=12_04.xlsx&amp;sheet=U0&amp;row=8111&amp;col=7&amp;number=0.0329&amp;sourceID=14","0.0329")</f>
        <v>0.0329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HYPERLINK("http://141.218.60.56/~jnz1568/getInfo.php?workbook=12_04.xlsx&amp;sheet=U0&amp;row=8112&amp;col=6&amp;number=3.8&amp;sourceID=14","3.8")</f>
        <v>3.8</v>
      </c>
      <c r="G8112" s="4" t="str">
        <f>HYPERLINK("http://141.218.60.56/~jnz1568/getInfo.php?workbook=12_04.xlsx&amp;sheet=U0&amp;row=8112&amp;col=7&amp;number=0.0326&amp;sourceID=14","0.0326")</f>
        <v>0.0326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HYPERLINK("http://141.218.60.56/~jnz1568/getInfo.php?workbook=12_04.xlsx&amp;sheet=U0&amp;row=8113&amp;col=6&amp;number=3.9&amp;sourceID=14","3.9")</f>
        <v>3.9</v>
      </c>
      <c r="G8113" s="4" t="str">
        <f>HYPERLINK("http://141.218.60.56/~jnz1568/getInfo.php?workbook=12_04.xlsx&amp;sheet=U0&amp;row=8113&amp;col=7&amp;number=0.0323&amp;sourceID=14","0.0323")</f>
        <v>0.0323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HYPERLINK("http://141.218.60.56/~jnz1568/getInfo.php?workbook=12_04.xlsx&amp;sheet=U0&amp;row=8114&amp;col=6&amp;number=4&amp;sourceID=14","4")</f>
        <v>4</v>
      </c>
      <c r="G8114" s="4" t="str">
        <f>HYPERLINK("http://141.218.60.56/~jnz1568/getInfo.php?workbook=12_04.xlsx&amp;sheet=U0&amp;row=8114&amp;col=7&amp;number=0.0319&amp;sourceID=14","0.0319")</f>
        <v>0.0319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HYPERLINK("http://141.218.60.56/~jnz1568/getInfo.php?workbook=12_04.xlsx&amp;sheet=U0&amp;row=8115&amp;col=6&amp;number=4.1&amp;sourceID=14","4.1")</f>
        <v>4.1</v>
      </c>
      <c r="G8115" s="4" t="str">
        <f>HYPERLINK("http://141.218.60.56/~jnz1568/getInfo.php?workbook=12_04.xlsx&amp;sheet=U0&amp;row=8115&amp;col=7&amp;number=0.0314&amp;sourceID=14","0.0314")</f>
        <v>0.0314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HYPERLINK("http://141.218.60.56/~jnz1568/getInfo.php?workbook=12_04.xlsx&amp;sheet=U0&amp;row=8116&amp;col=6&amp;number=4.2&amp;sourceID=14","4.2")</f>
        <v>4.2</v>
      </c>
      <c r="G8116" s="4" t="str">
        <f>HYPERLINK("http://141.218.60.56/~jnz1568/getInfo.php?workbook=12_04.xlsx&amp;sheet=U0&amp;row=8116&amp;col=7&amp;number=0.0308&amp;sourceID=14","0.0308")</f>
        <v>0.0308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HYPERLINK("http://141.218.60.56/~jnz1568/getInfo.php?workbook=12_04.xlsx&amp;sheet=U0&amp;row=8117&amp;col=6&amp;number=4.3&amp;sourceID=14","4.3")</f>
        <v>4.3</v>
      </c>
      <c r="G8117" s="4" t="str">
        <f>HYPERLINK("http://141.218.60.56/~jnz1568/getInfo.php?workbook=12_04.xlsx&amp;sheet=U0&amp;row=8117&amp;col=7&amp;number=0.0301&amp;sourceID=14","0.0301")</f>
        <v>0.0301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HYPERLINK("http://141.218.60.56/~jnz1568/getInfo.php?workbook=12_04.xlsx&amp;sheet=U0&amp;row=8118&amp;col=6&amp;number=4.4&amp;sourceID=14","4.4")</f>
        <v>4.4</v>
      </c>
      <c r="G8118" s="4" t="str">
        <f>HYPERLINK("http://141.218.60.56/~jnz1568/getInfo.php?workbook=12_04.xlsx&amp;sheet=U0&amp;row=8118&amp;col=7&amp;number=0.0291&amp;sourceID=14","0.0291")</f>
        <v>0.0291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HYPERLINK("http://141.218.60.56/~jnz1568/getInfo.php?workbook=12_04.xlsx&amp;sheet=U0&amp;row=8119&amp;col=6&amp;number=4.5&amp;sourceID=14","4.5")</f>
        <v>4.5</v>
      </c>
      <c r="G8119" s="4" t="str">
        <f>HYPERLINK("http://141.218.60.56/~jnz1568/getInfo.php?workbook=12_04.xlsx&amp;sheet=U0&amp;row=8119&amp;col=7&amp;number=0.0279&amp;sourceID=14","0.0279")</f>
        <v>0.0279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HYPERLINK("http://141.218.60.56/~jnz1568/getInfo.php?workbook=12_04.xlsx&amp;sheet=U0&amp;row=8120&amp;col=6&amp;number=4.6&amp;sourceID=14","4.6")</f>
        <v>4.6</v>
      </c>
      <c r="G8120" s="4" t="str">
        <f>HYPERLINK("http://141.218.60.56/~jnz1568/getInfo.php?workbook=12_04.xlsx&amp;sheet=U0&amp;row=8120&amp;col=7&amp;number=0.0265&amp;sourceID=14","0.0265")</f>
        <v>0.0265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HYPERLINK("http://141.218.60.56/~jnz1568/getInfo.php?workbook=12_04.xlsx&amp;sheet=U0&amp;row=8121&amp;col=6&amp;number=4.7&amp;sourceID=14","4.7")</f>
        <v>4.7</v>
      </c>
      <c r="G8121" s="4" t="str">
        <f>HYPERLINK("http://141.218.60.56/~jnz1568/getInfo.php?workbook=12_04.xlsx&amp;sheet=U0&amp;row=8121&amp;col=7&amp;number=0.0248&amp;sourceID=14","0.0248")</f>
        <v>0.0248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HYPERLINK("http://141.218.60.56/~jnz1568/getInfo.php?workbook=12_04.xlsx&amp;sheet=U0&amp;row=8122&amp;col=6&amp;number=4.8&amp;sourceID=14","4.8")</f>
        <v>4.8</v>
      </c>
      <c r="G8122" s="4" t="str">
        <f>HYPERLINK("http://141.218.60.56/~jnz1568/getInfo.php?workbook=12_04.xlsx&amp;sheet=U0&amp;row=8122&amp;col=7&amp;number=0.0227&amp;sourceID=14","0.0227")</f>
        <v>0.0227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HYPERLINK("http://141.218.60.56/~jnz1568/getInfo.php?workbook=12_04.xlsx&amp;sheet=U0&amp;row=8123&amp;col=6&amp;number=4.9&amp;sourceID=14","4.9")</f>
        <v>4.9</v>
      </c>
      <c r="G8123" s="4" t="str">
        <f>HYPERLINK("http://141.218.60.56/~jnz1568/getInfo.php?workbook=12_04.xlsx&amp;sheet=U0&amp;row=8123&amp;col=7&amp;number=0.0203&amp;sourceID=14","0.0203")</f>
        <v>0.0203</v>
      </c>
    </row>
    <row r="8124" spans="1:7">
      <c r="A8124" s="3">
        <v>12</v>
      </c>
      <c r="B8124" s="3">
        <v>4</v>
      </c>
      <c r="C8124" s="3">
        <v>5</v>
      </c>
      <c r="D8124" s="3">
        <v>30</v>
      </c>
      <c r="E8124" s="3">
        <v>1</v>
      </c>
      <c r="F8124" s="4" t="str">
        <f>HYPERLINK("http://141.218.60.56/~jnz1568/getInfo.php?workbook=12_04.xlsx&amp;sheet=U0&amp;row=8124&amp;col=6&amp;number=3&amp;sourceID=14","3")</f>
        <v>3</v>
      </c>
      <c r="G8124" s="4" t="str">
        <f>HYPERLINK("http://141.218.60.56/~jnz1568/getInfo.php?workbook=12_04.xlsx&amp;sheet=U0&amp;row=8124&amp;col=7&amp;number=0.00788&amp;sourceID=14","0.00788")</f>
        <v>0.00788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HYPERLINK("http://141.218.60.56/~jnz1568/getInfo.php?workbook=12_04.xlsx&amp;sheet=U0&amp;row=8125&amp;col=6&amp;number=3.1&amp;sourceID=14","3.1")</f>
        <v>3.1</v>
      </c>
      <c r="G8125" s="4" t="str">
        <f>HYPERLINK("http://141.218.60.56/~jnz1568/getInfo.php?workbook=12_04.xlsx&amp;sheet=U0&amp;row=8125&amp;col=7&amp;number=0.00787&amp;sourceID=14","0.00787")</f>
        <v>0.00787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HYPERLINK("http://141.218.60.56/~jnz1568/getInfo.php?workbook=12_04.xlsx&amp;sheet=U0&amp;row=8126&amp;col=6&amp;number=3.2&amp;sourceID=14","3.2")</f>
        <v>3.2</v>
      </c>
      <c r="G8126" s="4" t="str">
        <f>HYPERLINK("http://141.218.60.56/~jnz1568/getInfo.php?workbook=12_04.xlsx&amp;sheet=U0&amp;row=8126&amp;col=7&amp;number=0.00786&amp;sourceID=14","0.00786")</f>
        <v>0.00786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HYPERLINK("http://141.218.60.56/~jnz1568/getInfo.php?workbook=12_04.xlsx&amp;sheet=U0&amp;row=8127&amp;col=6&amp;number=3.3&amp;sourceID=14","3.3")</f>
        <v>3.3</v>
      </c>
      <c r="G8127" s="4" t="str">
        <f>HYPERLINK("http://141.218.60.56/~jnz1568/getInfo.php?workbook=12_04.xlsx&amp;sheet=U0&amp;row=8127&amp;col=7&amp;number=0.00784&amp;sourceID=14","0.00784")</f>
        <v>0.00784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HYPERLINK("http://141.218.60.56/~jnz1568/getInfo.php?workbook=12_04.xlsx&amp;sheet=U0&amp;row=8128&amp;col=6&amp;number=3.4&amp;sourceID=14","3.4")</f>
        <v>3.4</v>
      </c>
      <c r="G8128" s="4" t="str">
        <f>HYPERLINK("http://141.218.60.56/~jnz1568/getInfo.php?workbook=12_04.xlsx&amp;sheet=U0&amp;row=8128&amp;col=7&amp;number=0.00782&amp;sourceID=14","0.00782")</f>
        <v>0.00782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HYPERLINK("http://141.218.60.56/~jnz1568/getInfo.php?workbook=12_04.xlsx&amp;sheet=U0&amp;row=8129&amp;col=6&amp;number=3.5&amp;sourceID=14","3.5")</f>
        <v>3.5</v>
      </c>
      <c r="G8129" s="4" t="str">
        <f>HYPERLINK("http://141.218.60.56/~jnz1568/getInfo.php?workbook=12_04.xlsx&amp;sheet=U0&amp;row=8129&amp;col=7&amp;number=0.00779&amp;sourceID=14","0.00779")</f>
        <v>0.00779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HYPERLINK("http://141.218.60.56/~jnz1568/getInfo.php?workbook=12_04.xlsx&amp;sheet=U0&amp;row=8130&amp;col=6&amp;number=3.6&amp;sourceID=14","3.6")</f>
        <v>3.6</v>
      </c>
      <c r="G8130" s="4" t="str">
        <f>HYPERLINK("http://141.218.60.56/~jnz1568/getInfo.php?workbook=12_04.xlsx&amp;sheet=U0&amp;row=8130&amp;col=7&amp;number=0.00776&amp;sourceID=14","0.00776")</f>
        <v>0.00776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HYPERLINK("http://141.218.60.56/~jnz1568/getInfo.php?workbook=12_04.xlsx&amp;sheet=U0&amp;row=8131&amp;col=6&amp;number=3.7&amp;sourceID=14","3.7")</f>
        <v>3.7</v>
      </c>
      <c r="G8131" s="4" t="str">
        <f>HYPERLINK("http://141.218.60.56/~jnz1568/getInfo.php?workbook=12_04.xlsx&amp;sheet=U0&amp;row=8131&amp;col=7&amp;number=0.00771&amp;sourceID=14","0.00771")</f>
        <v>0.00771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HYPERLINK("http://141.218.60.56/~jnz1568/getInfo.php?workbook=12_04.xlsx&amp;sheet=U0&amp;row=8132&amp;col=6&amp;number=3.8&amp;sourceID=14","3.8")</f>
        <v>3.8</v>
      </c>
      <c r="G8132" s="4" t="str">
        <f>HYPERLINK("http://141.218.60.56/~jnz1568/getInfo.php?workbook=12_04.xlsx&amp;sheet=U0&amp;row=8132&amp;col=7&amp;number=0.00766&amp;sourceID=14","0.00766")</f>
        <v>0.00766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HYPERLINK("http://141.218.60.56/~jnz1568/getInfo.php?workbook=12_04.xlsx&amp;sheet=U0&amp;row=8133&amp;col=6&amp;number=3.9&amp;sourceID=14","3.9")</f>
        <v>3.9</v>
      </c>
      <c r="G8133" s="4" t="str">
        <f>HYPERLINK("http://141.218.60.56/~jnz1568/getInfo.php?workbook=12_04.xlsx&amp;sheet=U0&amp;row=8133&amp;col=7&amp;number=0.00759&amp;sourceID=14","0.00759")</f>
        <v>0.00759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HYPERLINK("http://141.218.60.56/~jnz1568/getInfo.php?workbook=12_04.xlsx&amp;sheet=U0&amp;row=8134&amp;col=6&amp;number=4&amp;sourceID=14","4")</f>
        <v>4</v>
      </c>
      <c r="G8134" s="4" t="str">
        <f>HYPERLINK("http://141.218.60.56/~jnz1568/getInfo.php?workbook=12_04.xlsx&amp;sheet=U0&amp;row=8134&amp;col=7&amp;number=0.00751&amp;sourceID=14","0.00751")</f>
        <v>0.00751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HYPERLINK("http://141.218.60.56/~jnz1568/getInfo.php?workbook=12_04.xlsx&amp;sheet=U0&amp;row=8135&amp;col=6&amp;number=4.1&amp;sourceID=14","4.1")</f>
        <v>4.1</v>
      </c>
      <c r="G8135" s="4" t="str">
        <f>HYPERLINK("http://141.218.60.56/~jnz1568/getInfo.php?workbook=12_04.xlsx&amp;sheet=U0&amp;row=8135&amp;col=7&amp;number=0.0074&amp;sourceID=14","0.0074")</f>
        <v>0.0074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HYPERLINK("http://141.218.60.56/~jnz1568/getInfo.php?workbook=12_04.xlsx&amp;sheet=U0&amp;row=8136&amp;col=6&amp;number=4.2&amp;sourceID=14","4.2")</f>
        <v>4.2</v>
      </c>
      <c r="G8136" s="4" t="str">
        <f>HYPERLINK("http://141.218.60.56/~jnz1568/getInfo.php?workbook=12_04.xlsx&amp;sheet=U0&amp;row=8136&amp;col=7&amp;number=0.00726&amp;sourceID=14","0.00726")</f>
        <v>0.00726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HYPERLINK("http://141.218.60.56/~jnz1568/getInfo.php?workbook=12_04.xlsx&amp;sheet=U0&amp;row=8137&amp;col=6&amp;number=4.3&amp;sourceID=14","4.3")</f>
        <v>4.3</v>
      </c>
      <c r="G8137" s="4" t="str">
        <f>HYPERLINK("http://141.218.60.56/~jnz1568/getInfo.php?workbook=12_04.xlsx&amp;sheet=U0&amp;row=8137&amp;col=7&amp;number=0.00709&amp;sourceID=14","0.00709")</f>
        <v>0.00709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HYPERLINK("http://141.218.60.56/~jnz1568/getInfo.php?workbook=12_04.xlsx&amp;sheet=U0&amp;row=8138&amp;col=6&amp;number=4.4&amp;sourceID=14","4.4")</f>
        <v>4.4</v>
      </c>
      <c r="G8138" s="4" t="str">
        <f>HYPERLINK("http://141.218.60.56/~jnz1568/getInfo.php?workbook=12_04.xlsx&amp;sheet=U0&amp;row=8138&amp;col=7&amp;number=0.00688&amp;sourceID=14","0.00688")</f>
        <v>0.00688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HYPERLINK("http://141.218.60.56/~jnz1568/getInfo.php?workbook=12_04.xlsx&amp;sheet=U0&amp;row=8139&amp;col=6&amp;number=4.5&amp;sourceID=14","4.5")</f>
        <v>4.5</v>
      </c>
      <c r="G8139" s="4" t="str">
        <f>HYPERLINK("http://141.218.60.56/~jnz1568/getInfo.php?workbook=12_04.xlsx&amp;sheet=U0&amp;row=8139&amp;col=7&amp;number=0.00661&amp;sourceID=14","0.00661")</f>
        <v>0.00661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HYPERLINK("http://141.218.60.56/~jnz1568/getInfo.php?workbook=12_04.xlsx&amp;sheet=U0&amp;row=8140&amp;col=6&amp;number=4.6&amp;sourceID=14","4.6")</f>
        <v>4.6</v>
      </c>
      <c r="G8140" s="4" t="str">
        <f>HYPERLINK("http://141.218.60.56/~jnz1568/getInfo.php?workbook=12_04.xlsx&amp;sheet=U0&amp;row=8140&amp;col=7&amp;number=0.00628&amp;sourceID=14","0.00628")</f>
        <v>0.00628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HYPERLINK("http://141.218.60.56/~jnz1568/getInfo.php?workbook=12_04.xlsx&amp;sheet=U0&amp;row=8141&amp;col=6&amp;number=4.7&amp;sourceID=14","4.7")</f>
        <v>4.7</v>
      </c>
      <c r="G8141" s="4" t="str">
        <f>HYPERLINK("http://141.218.60.56/~jnz1568/getInfo.php?workbook=12_04.xlsx&amp;sheet=U0&amp;row=8141&amp;col=7&amp;number=0.00588&amp;sourceID=14","0.00588")</f>
        <v>0.00588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HYPERLINK("http://141.218.60.56/~jnz1568/getInfo.php?workbook=12_04.xlsx&amp;sheet=U0&amp;row=8142&amp;col=6&amp;number=4.8&amp;sourceID=14","4.8")</f>
        <v>4.8</v>
      </c>
      <c r="G8142" s="4" t="str">
        <f>HYPERLINK("http://141.218.60.56/~jnz1568/getInfo.php?workbook=12_04.xlsx&amp;sheet=U0&amp;row=8142&amp;col=7&amp;number=0.0054&amp;sourceID=14","0.0054")</f>
        <v>0.0054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HYPERLINK("http://141.218.60.56/~jnz1568/getInfo.php?workbook=12_04.xlsx&amp;sheet=U0&amp;row=8143&amp;col=6&amp;number=4.9&amp;sourceID=14","4.9")</f>
        <v>4.9</v>
      </c>
      <c r="G8143" s="4" t="str">
        <f>HYPERLINK("http://141.218.60.56/~jnz1568/getInfo.php?workbook=12_04.xlsx&amp;sheet=U0&amp;row=8143&amp;col=7&amp;number=0.00482&amp;sourceID=14","0.00482")</f>
        <v>0.00482</v>
      </c>
    </row>
    <row r="8144" spans="1:7">
      <c r="A8144" s="3">
        <v>12</v>
      </c>
      <c r="B8144" s="3">
        <v>4</v>
      </c>
      <c r="C8144" s="3">
        <v>5</v>
      </c>
      <c r="D8144" s="3">
        <v>31</v>
      </c>
      <c r="E8144" s="3">
        <v>1</v>
      </c>
      <c r="F8144" s="4" t="str">
        <f>HYPERLINK("http://141.218.60.56/~jnz1568/getInfo.php?workbook=12_04.xlsx&amp;sheet=U0&amp;row=8144&amp;col=6&amp;number=3&amp;sourceID=14","3")</f>
        <v>3</v>
      </c>
      <c r="G8144" s="4" t="str">
        <f>HYPERLINK("http://141.218.60.56/~jnz1568/getInfo.php?workbook=12_04.xlsx&amp;sheet=U0&amp;row=8144&amp;col=7&amp;number=0.0232&amp;sourceID=14","0.0232")</f>
        <v>0.0232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HYPERLINK("http://141.218.60.56/~jnz1568/getInfo.php?workbook=12_04.xlsx&amp;sheet=U0&amp;row=8145&amp;col=6&amp;number=3.1&amp;sourceID=14","3.1")</f>
        <v>3.1</v>
      </c>
      <c r="G8145" s="4" t="str">
        <f>HYPERLINK("http://141.218.60.56/~jnz1568/getInfo.php?workbook=12_04.xlsx&amp;sheet=U0&amp;row=8145&amp;col=7&amp;number=0.0231&amp;sourceID=14","0.0231")</f>
        <v>0.0231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HYPERLINK("http://141.218.60.56/~jnz1568/getInfo.php?workbook=12_04.xlsx&amp;sheet=U0&amp;row=8146&amp;col=6&amp;number=3.2&amp;sourceID=14","3.2")</f>
        <v>3.2</v>
      </c>
      <c r="G8146" s="4" t="str">
        <f>HYPERLINK("http://141.218.60.56/~jnz1568/getInfo.php?workbook=12_04.xlsx&amp;sheet=U0&amp;row=8146&amp;col=7&amp;number=0.0231&amp;sourceID=14","0.0231")</f>
        <v>0.0231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HYPERLINK("http://141.218.60.56/~jnz1568/getInfo.php?workbook=12_04.xlsx&amp;sheet=U0&amp;row=8147&amp;col=6&amp;number=3.3&amp;sourceID=14","3.3")</f>
        <v>3.3</v>
      </c>
      <c r="G8147" s="4" t="str">
        <f>HYPERLINK("http://141.218.60.56/~jnz1568/getInfo.php?workbook=12_04.xlsx&amp;sheet=U0&amp;row=8147&amp;col=7&amp;number=0.0231&amp;sourceID=14","0.0231")</f>
        <v>0.0231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HYPERLINK("http://141.218.60.56/~jnz1568/getInfo.php?workbook=12_04.xlsx&amp;sheet=U0&amp;row=8148&amp;col=6&amp;number=3.4&amp;sourceID=14","3.4")</f>
        <v>3.4</v>
      </c>
      <c r="G8148" s="4" t="str">
        <f>HYPERLINK("http://141.218.60.56/~jnz1568/getInfo.php?workbook=12_04.xlsx&amp;sheet=U0&amp;row=8148&amp;col=7&amp;number=0.023&amp;sourceID=14","0.023")</f>
        <v>0.023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HYPERLINK("http://141.218.60.56/~jnz1568/getInfo.php?workbook=12_04.xlsx&amp;sheet=U0&amp;row=8149&amp;col=6&amp;number=3.5&amp;sourceID=14","3.5")</f>
        <v>3.5</v>
      </c>
      <c r="G8149" s="4" t="str">
        <f>HYPERLINK("http://141.218.60.56/~jnz1568/getInfo.php?workbook=12_04.xlsx&amp;sheet=U0&amp;row=8149&amp;col=7&amp;number=0.0229&amp;sourceID=14","0.0229")</f>
        <v>0.0229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HYPERLINK("http://141.218.60.56/~jnz1568/getInfo.php?workbook=12_04.xlsx&amp;sheet=U0&amp;row=8150&amp;col=6&amp;number=3.6&amp;sourceID=14","3.6")</f>
        <v>3.6</v>
      </c>
      <c r="G8150" s="4" t="str">
        <f>HYPERLINK("http://141.218.60.56/~jnz1568/getInfo.php?workbook=12_04.xlsx&amp;sheet=U0&amp;row=8150&amp;col=7&amp;number=0.0228&amp;sourceID=14","0.0228")</f>
        <v>0.0228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HYPERLINK("http://141.218.60.56/~jnz1568/getInfo.php?workbook=12_04.xlsx&amp;sheet=U0&amp;row=8151&amp;col=6&amp;number=3.7&amp;sourceID=14","3.7")</f>
        <v>3.7</v>
      </c>
      <c r="G8151" s="4" t="str">
        <f>HYPERLINK("http://141.218.60.56/~jnz1568/getInfo.php?workbook=12_04.xlsx&amp;sheet=U0&amp;row=8151&amp;col=7&amp;number=0.0227&amp;sourceID=14","0.0227")</f>
        <v>0.0227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HYPERLINK("http://141.218.60.56/~jnz1568/getInfo.php?workbook=12_04.xlsx&amp;sheet=U0&amp;row=8152&amp;col=6&amp;number=3.8&amp;sourceID=14","3.8")</f>
        <v>3.8</v>
      </c>
      <c r="G8152" s="4" t="str">
        <f>HYPERLINK("http://141.218.60.56/~jnz1568/getInfo.php?workbook=12_04.xlsx&amp;sheet=U0&amp;row=8152&amp;col=7&amp;number=0.0225&amp;sourceID=14","0.0225")</f>
        <v>0.0225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HYPERLINK("http://141.218.60.56/~jnz1568/getInfo.php?workbook=12_04.xlsx&amp;sheet=U0&amp;row=8153&amp;col=6&amp;number=3.9&amp;sourceID=14","3.9")</f>
        <v>3.9</v>
      </c>
      <c r="G8153" s="4" t="str">
        <f>HYPERLINK("http://141.218.60.56/~jnz1568/getInfo.php?workbook=12_04.xlsx&amp;sheet=U0&amp;row=8153&amp;col=7&amp;number=0.0223&amp;sourceID=14","0.0223")</f>
        <v>0.0223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HYPERLINK("http://141.218.60.56/~jnz1568/getInfo.php?workbook=12_04.xlsx&amp;sheet=U0&amp;row=8154&amp;col=6&amp;number=4&amp;sourceID=14","4")</f>
        <v>4</v>
      </c>
      <c r="G8154" s="4" t="str">
        <f>HYPERLINK("http://141.218.60.56/~jnz1568/getInfo.php?workbook=12_04.xlsx&amp;sheet=U0&amp;row=8154&amp;col=7&amp;number=0.0221&amp;sourceID=14","0.0221")</f>
        <v>0.0221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HYPERLINK("http://141.218.60.56/~jnz1568/getInfo.php?workbook=12_04.xlsx&amp;sheet=U0&amp;row=8155&amp;col=6&amp;number=4.1&amp;sourceID=14","4.1")</f>
        <v>4.1</v>
      </c>
      <c r="G8155" s="4" t="str">
        <f>HYPERLINK("http://141.218.60.56/~jnz1568/getInfo.php?workbook=12_04.xlsx&amp;sheet=U0&amp;row=8155&amp;col=7&amp;number=0.0218&amp;sourceID=14","0.0218")</f>
        <v>0.0218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HYPERLINK("http://141.218.60.56/~jnz1568/getInfo.php?workbook=12_04.xlsx&amp;sheet=U0&amp;row=8156&amp;col=6&amp;number=4.2&amp;sourceID=14","4.2")</f>
        <v>4.2</v>
      </c>
      <c r="G8156" s="4" t="str">
        <f>HYPERLINK("http://141.218.60.56/~jnz1568/getInfo.php?workbook=12_04.xlsx&amp;sheet=U0&amp;row=8156&amp;col=7&amp;number=0.0214&amp;sourceID=14","0.0214")</f>
        <v>0.0214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HYPERLINK("http://141.218.60.56/~jnz1568/getInfo.php?workbook=12_04.xlsx&amp;sheet=U0&amp;row=8157&amp;col=6&amp;number=4.3&amp;sourceID=14","4.3")</f>
        <v>4.3</v>
      </c>
      <c r="G8157" s="4" t="str">
        <f>HYPERLINK("http://141.218.60.56/~jnz1568/getInfo.php?workbook=12_04.xlsx&amp;sheet=U0&amp;row=8157&amp;col=7&amp;number=0.0209&amp;sourceID=14","0.0209")</f>
        <v>0.0209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HYPERLINK("http://141.218.60.56/~jnz1568/getInfo.php?workbook=12_04.xlsx&amp;sheet=U0&amp;row=8158&amp;col=6&amp;number=4.4&amp;sourceID=14","4.4")</f>
        <v>4.4</v>
      </c>
      <c r="G8158" s="4" t="str">
        <f>HYPERLINK("http://141.218.60.56/~jnz1568/getInfo.php?workbook=12_04.xlsx&amp;sheet=U0&amp;row=8158&amp;col=7&amp;number=0.0203&amp;sourceID=14","0.0203")</f>
        <v>0.0203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HYPERLINK("http://141.218.60.56/~jnz1568/getInfo.php?workbook=12_04.xlsx&amp;sheet=U0&amp;row=8159&amp;col=6&amp;number=4.5&amp;sourceID=14","4.5")</f>
        <v>4.5</v>
      </c>
      <c r="G8159" s="4" t="str">
        <f>HYPERLINK("http://141.218.60.56/~jnz1568/getInfo.php?workbook=12_04.xlsx&amp;sheet=U0&amp;row=8159&amp;col=7&amp;number=0.0195&amp;sourceID=14","0.0195")</f>
        <v>0.0195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HYPERLINK("http://141.218.60.56/~jnz1568/getInfo.php?workbook=12_04.xlsx&amp;sheet=U0&amp;row=8160&amp;col=6&amp;number=4.6&amp;sourceID=14","4.6")</f>
        <v>4.6</v>
      </c>
      <c r="G8160" s="4" t="str">
        <f>HYPERLINK("http://141.218.60.56/~jnz1568/getInfo.php?workbook=12_04.xlsx&amp;sheet=U0&amp;row=8160&amp;col=7&amp;number=0.0185&amp;sourceID=14","0.0185")</f>
        <v>0.0185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HYPERLINK("http://141.218.60.56/~jnz1568/getInfo.php?workbook=12_04.xlsx&amp;sheet=U0&amp;row=8161&amp;col=6&amp;number=4.7&amp;sourceID=14","4.7")</f>
        <v>4.7</v>
      </c>
      <c r="G8161" s="4" t="str">
        <f>HYPERLINK("http://141.218.60.56/~jnz1568/getInfo.php?workbook=12_04.xlsx&amp;sheet=U0&amp;row=8161&amp;col=7&amp;number=0.0174&amp;sourceID=14","0.0174")</f>
        <v>0.0174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HYPERLINK("http://141.218.60.56/~jnz1568/getInfo.php?workbook=12_04.xlsx&amp;sheet=U0&amp;row=8162&amp;col=6&amp;number=4.8&amp;sourceID=14","4.8")</f>
        <v>4.8</v>
      </c>
      <c r="G8162" s="4" t="str">
        <f>HYPERLINK("http://141.218.60.56/~jnz1568/getInfo.php?workbook=12_04.xlsx&amp;sheet=U0&amp;row=8162&amp;col=7&amp;number=0.0159&amp;sourceID=14","0.0159")</f>
        <v>0.0159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HYPERLINK("http://141.218.60.56/~jnz1568/getInfo.php?workbook=12_04.xlsx&amp;sheet=U0&amp;row=8163&amp;col=6&amp;number=4.9&amp;sourceID=14","4.9")</f>
        <v>4.9</v>
      </c>
      <c r="G8163" s="4" t="str">
        <f>HYPERLINK("http://141.218.60.56/~jnz1568/getInfo.php?workbook=12_04.xlsx&amp;sheet=U0&amp;row=8163&amp;col=7&amp;number=0.0143&amp;sourceID=14","0.0143")</f>
        <v>0.0143</v>
      </c>
    </row>
    <row r="8164" spans="1:7">
      <c r="A8164" s="3">
        <v>12</v>
      </c>
      <c r="B8164" s="3">
        <v>4</v>
      </c>
      <c r="C8164" s="3">
        <v>5</v>
      </c>
      <c r="D8164" s="3">
        <v>32</v>
      </c>
      <c r="E8164" s="3">
        <v>1</v>
      </c>
      <c r="F8164" s="4" t="str">
        <f>HYPERLINK("http://141.218.60.56/~jnz1568/getInfo.php?workbook=12_04.xlsx&amp;sheet=U0&amp;row=8164&amp;col=6&amp;number=3&amp;sourceID=14","3")</f>
        <v>3</v>
      </c>
      <c r="G8164" s="4" t="str">
        <f>HYPERLINK("http://141.218.60.56/~jnz1568/getInfo.php?workbook=12_04.xlsx&amp;sheet=U0&amp;row=8164&amp;col=7&amp;number=0.0362&amp;sourceID=14","0.0362")</f>
        <v>0.0362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HYPERLINK("http://141.218.60.56/~jnz1568/getInfo.php?workbook=12_04.xlsx&amp;sheet=U0&amp;row=8165&amp;col=6&amp;number=3.1&amp;sourceID=14","3.1")</f>
        <v>3.1</v>
      </c>
      <c r="G8165" s="4" t="str">
        <f>HYPERLINK("http://141.218.60.56/~jnz1568/getInfo.php?workbook=12_04.xlsx&amp;sheet=U0&amp;row=8165&amp;col=7&amp;number=0.0362&amp;sourceID=14","0.0362")</f>
        <v>0.0362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HYPERLINK("http://141.218.60.56/~jnz1568/getInfo.php?workbook=12_04.xlsx&amp;sheet=U0&amp;row=8166&amp;col=6&amp;number=3.2&amp;sourceID=14","3.2")</f>
        <v>3.2</v>
      </c>
      <c r="G8166" s="4" t="str">
        <f>HYPERLINK("http://141.218.60.56/~jnz1568/getInfo.php?workbook=12_04.xlsx&amp;sheet=U0&amp;row=8166&amp;col=7&amp;number=0.0361&amp;sourceID=14","0.0361")</f>
        <v>0.0361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HYPERLINK("http://141.218.60.56/~jnz1568/getInfo.php?workbook=12_04.xlsx&amp;sheet=U0&amp;row=8167&amp;col=6&amp;number=3.3&amp;sourceID=14","3.3")</f>
        <v>3.3</v>
      </c>
      <c r="G8167" s="4" t="str">
        <f>HYPERLINK("http://141.218.60.56/~jnz1568/getInfo.php?workbook=12_04.xlsx&amp;sheet=U0&amp;row=8167&amp;col=7&amp;number=0.036&amp;sourceID=14","0.036")</f>
        <v>0.036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HYPERLINK("http://141.218.60.56/~jnz1568/getInfo.php?workbook=12_04.xlsx&amp;sheet=U0&amp;row=8168&amp;col=6&amp;number=3.4&amp;sourceID=14","3.4")</f>
        <v>3.4</v>
      </c>
      <c r="G8168" s="4" t="str">
        <f>HYPERLINK("http://141.218.60.56/~jnz1568/getInfo.php?workbook=12_04.xlsx&amp;sheet=U0&amp;row=8168&amp;col=7&amp;number=0.0359&amp;sourceID=14","0.0359")</f>
        <v>0.0359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HYPERLINK("http://141.218.60.56/~jnz1568/getInfo.php?workbook=12_04.xlsx&amp;sheet=U0&amp;row=8169&amp;col=6&amp;number=3.5&amp;sourceID=14","3.5")</f>
        <v>3.5</v>
      </c>
      <c r="G8169" s="4" t="str">
        <f>HYPERLINK("http://141.218.60.56/~jnz1568/getInfo.php?workbook=12_04.xlsx&amp;sheet=U0&amp;row=8169&amp;col=7&amp;number=0.0358&amp;sourceID=14","0.0358")</f>
        <v>0.0358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HYPERLINK("http://141.218.60.56/~jnz1568/getInfo.php?workbook=12_04.xlsx&amp;sheet=U0&amp;row=8170&amp;col=6&amp;number=3.6&amp;sourceID=14","3.6")</f>
        <v>3.6</v>
      </c>
      <c r="G8170" s="4" t="str">
        <f>HYPERLINK("http://141.218.60.56/~jnz1568/getInfo.php?workbook=12_04.xlsx&amp;sheet=U0&amp;row=8170&amp;col=7&amp;number=0.0356&amp;sourceID=14","0.0356")</f>
        <v>0.0356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HYPERLINK("http://141.218.60.56/~jnz1568/getInfo.php?workbook=12_04.xlsx&amp;sheet=U0&amp;row=8171&amp;col=6&amp;number=3.7&amp;sourceID=14","3.7")</f>
        <v>3.7</v>
      </c>
      <c r="G8171" s="4" t="str">
        <f>HYPERLINK("http://141.218.60.56/~jnz1568/getInfo.php?workbook=12_04.xlsx&amp;sheet=U0&amp;row=8171&amp;col=7&amp;number=0.0354&amp;sourceID=14","0.0354")</f>
        <v>0.0354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HYPERLINK("http://141.218.60.56/~jnz1568/getInfo.php?workbook=12_04.xlsx&amp;sheet=U0&amp;row=8172&amp;col=6&amp;number=3.8&amp;sourceID=14","3.8")</f>
        <v>3.8</v>
      </c>
      <c r="G8172" s="4" t="str">
        <f>HYPERLINK("http://141.218.60.56/~jnz1568/getInfo.php?workbook=12_04.xlsx&amp;sheet=U0&amp;row=8172&amp;col=7&amp;number=0.0352&amp;sourceID=14","0.0352")</f>
        <v>0.0352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HYPERLINK("http://141.218.60.56/~jnz1568/getInfo.php?workbook=12_04.xlsx&amp;sheet=U0&amp;row=8173&amp;col=6&amp;number=3.9&amp;sourceID=14","3.9")</f>
        <v>3.9</v>
      </c>
      <c r="G8173" s="4" t="str">
        <f>HYPERLINK("http://141.218.60.56/~jnz1568/getInfo.php?workbook=12_04.xlsx&amp;sheet=U0&amp;row=8173&amp;col=7&amp;number=0.0348&amp;sourceID=14","0.0348")</f>
        <v>0.0348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HYPERLINK("http://141.218.60.56/~jnz1568/getInfo.php?workbook=12_04.xlsx&amp;sheet=U0&amp;row=8174&amp;col=6&amp;number=4&amp;sourceID=14","4")</f>
        <v>4</v>
      </c>
      <c r="G8174" s="4" t="str">
        <f>HYPERLINK("http://141.218.60.56/~jnz1568/getInfo.php?workbook=12_04.xlsx&amp;sheet=U0&amp;row=8174&amp;col=7&amp;number=0.0344&amp;sourceID=14","0.0344")</f>
        <v>0.0344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HYPERLINK("http://141.218.60.56/~jnz1568/getInfo.php?workbook=12_04.xlsx&amp;sheet=U0&amp;row=8175&amp;col=6&amp;number=4.1&amp;sourceID=14","4.1")</f>
        <v>4.1</v>
      </c>
      <c r="G8175" s="4" t="str">
        <f>HYPERLINK("http://141.218.60.56/~jnz1568/getInfo.php?workbook=12_04.xlsx&amp;sheet=U0&amp;row=8175&amp;col=7&amp;number=0.0339&amp;sourceID=14","0.0339")</f>
        <v>0.0339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HYPERLINK("http://141.218.60.56/~jnz1568/getInfo.php?workbook=12_04.xlsx&amp;sheet=U0&amp;row=8176&amp;col=6&amp;number=4.2&amp;sourceID=14","4.2")</f>
        <v>4.2</v>
      </c>
      <c r="G8176" s="4" t="str">
        <f>HYPERLINK("http://141.218.60.56/~jnz1568/getInfo.php?workbook=12_04.xlsx&amp;sheet=U0&amp;row=8176&amp;col=7&amp;number=0.0332&amp;sourceID=14","0.0332")</f>
        <v>0.0332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HYPERLINK("http://141.218.60.56/~jnz1568/getInfo.php?workbook=12_04.xlsx&amp;sheet=U0&amp;row=8177&amp;col=6&amp;number=4.3&amp;sourceID=14","4.3")</f>
        <v>4.3</v>
      </c>
      <c r="G8177" s="4" t="str">
        <f>HYPERLINK("http://141.218.60.56/~jnz1568/getInfo.php?workbook=12_04.xlsx&amp;sheet=U0&amp;row=8177&amp;col=7&amp;number=0.0324&amp;sourceID=14","0.0324")</f>
        <v>0.0324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HYPERLINK("http://141.218.60.56/~jnz1568/getInfo.php?workbook=12_04.xlsx&amp;sheet=U0&amp;row=8178&amp;col=6&amp;number=4.4&amp;sourceID=14","4.4")</f>
        <v>4.4</v>
      </c>
      <c r="G8178" s="4" t="str">
        <f>HYPERLINK("http://141.218.60.56/~jnz1568/getInfo.php?workbook=12_04.xlsx&amp;sheet=U0&amp;row=8178&amp;col=7&amp;number=0.0314&amp;sourceID=14","0.0314")</f>
        <v>0.0314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HYPERLINK("http://141.218.60.56/~jnz1568/getInfo.php?workbook=12_04.xlsx&amp;sheet=U0&amp;row=8179&amp;col=6&amp;number=4.5&amp;sourceID=14","4.5")</f>
        <v>4.5</v>
      </c>
      <c r="G8179" s="4" t="str">
        <f>HYPERLINK("http://141.218.60.56/~jnz1568/getInfo.php?workbook=12_04.xlsx&amp;sheet=U0&amp;row=8179&amp;col=7&amp;number=0.0302&amp;sourceID=14","0.0302")</f>
        <v>0.0302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HYPERLINK("http://141.218.60.56/~jnz1568/getInfo.php?workbook=12_04.xlsx&amp;sheet=U0&amp;row=8180&amp;col=6&amp;number=4.6&amp;sourceID=14","4.6")</f>
        <v>4.6</v>
      </c>
      <c r="G8180" s="4" t="str">
        <f>HYPERLINK("http://141.218.60.56/~jnz1568/getInfo.php?workbook=12_04.xlsx&amp;sheet=U0&amp;row=8180&amp;col=7&amp;number=0.0286&amp;sourceID=14","0.0286")</f>
        <v>0.0286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HYPERLINK("http://141.218.60.56/~jnz1568/getInfo.php?workbook=12_04.xlsx&amp;sheet=U0&amp;row=8181&amp;col=6&amp;number=4.7&amp;sourceID=14","4.7")</f>
        <v>4.7</v>
      </c>
      <c r="G8181" s="4" t="str">
        <f>HYPERLINK("http://141.218.60.56/~jnz1568/getInfo.php?workbook=12_04.xlsx&amp;sheet=U0&amp;row=8181&amp;col=7&amp;number=0.0268&amp;sourceID=14","0.0268")</f>
        <v>0.0268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HYPERLINK("http://141.218.60.56/~jnz1568/getInfo.php?workbook=12_04.xlsx&amp;sheet=U0&amp;row=8182&amp;col=6&amp;number=4.8&amp;sourceID=14","4.8")</f>
        <v>4.8</v>
      </c>
      <c r="G8182" s="4" t="str">
        <f>HYPERLINK("http://141.218.60.56/~jnz1568/getInfo.php?workbook=12_04.xlsx&amp;sheet=U0&amp;row=8182&amp;col=7&amp;number=0.0246&amp;sourceID=14","0.0246")</f>
        <v>0.0246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HYPERLINK("http://141.218.60.56/~jnz1568/getInfo.php?workbook=12_04.xlsx&amp;sheet=U0&amp;row=8183&amp;col=6&amp;number=4.9&amp;sourceID=14","4.9")</f>
        <v>4.9</v>
      </c>
      <c r="G8183" s="4" t="str">
        <f>HYPERLINK("http://141.218.60.56/~jnz1568/getInfo.php?workbook=12_04.xlsx&amp;sheet=U0&amp;row=8183&amp;col=7&amp;number=0.022&amp;sourceID=14","0.022")</f>
        <v>0.022</v>
      </c>
    </row>
    <row r="8184" spans="1:7">
      <c r="A8184" s="3">
        <v>12</v>
      </c>
      <c r="B8184" s="3">
        <v>4</v>
      </c>
      <c r="C8184" s="3">
        <v>5</v>
      </c>
      <c r="D8184" s="3">
        <v>33</v>
      </c>
      <c r="E8184" s="3">
        <v>1</v>
      </c>
      <c r="F8184" s="4" t="str">
        <f>HYPERLINK("http://141.218.60.56/~jnz1568/getInfo.php?workbook=12_04.xlsx&amp;sheet=U0&amp;row=8184&amp;col=6&amp;number=3&amp;sourceID=14","3")</f>
        <v>3</v>
      </c>
      <c r="G8184" s="4" t="str">
        <f>HYPERLINK("http://141.218.60.56/~jnz1568/getInfo.php?workbook=12_04.xlsx&amp;sheet=U0&amp;row=8184&amp;col=7&amp;number=0.0388&amp;sourceID=14","0.0388")</f>
        <v>0.0388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HYPERLINK("http://141.218.60.56/~jnz1568/getInfo.php?workbook=12_04.xlsx&amp;sheet=U0&amp;row=8185&amp;col=6&amp;number=3.1&amp;sourceID=14","3.1")</f>
        <v>3.1</v>
      </c>
      <c r="G8185" s="4" t="str">
        <f>HYPERLINK("http://141.218.60.56/~jnz1568/getInfo.php?workbook=12_04.xlsx&amp;sheet=U0&amp;row=8185&amp;col=7&amp;number=0.0388&amp;sourceID=14","0.0388")</f>
        <v>0.0388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HYPERLINK("http://141.218.60.56/~jnz1568/getInfo.php?workbook=12_04.xlsx&amp;sheet=U0&amp;row=8186&amp;col=6&amp;number=3.2&amp;sourceID=14","3.2")</f>
        <v>3.2</v>
      </c>
      <c r="G8186" s="4" t="str">
        <f>HYPERLINK("http://141.218.60.56/~jnz1568/getInfo.php?workbook=12_04.xlsx&amp;sheet=U0&amp;row=8186&amp;col=7&amp;number=0.0387&amp;sourceID=14","0.0387")</f>
        <v>0.0387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HYPERLINK("http://141.218.60.56/~jnz1568/getInfo.php?workbook=12_04.xlsx&amp;sheet=U0&amp;row=8187&amp;col=6&amp;number=3.3&amp;sourceID=14","3.3")</f>
        <v>3.3</v>
      </c>
      <c r="G8187" s="4" t="str">
        <f>HYPERLINK("http://141.218.60.56/~jnz1568/getInfo.php?workbook=12_04.xlsx&amp;sheet=U0&amp;row=8187&amp;col=7&amp;number=0.0386&amp;sourceID=14","0.0386")</f>
        <v>0.0386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HYPERLINK("http://141.218.60.56/~jnz1568/getInfo.php?workbook=12_04.xlsx&amp;sheet=U0&amp;row=8188&amp;col=6&amp;number=3.4&amp;sourceID=14","3.4")</f>
        <v>3.4</v>
      </c>
      <c r="G8188" s="4" t="str">
        <f>HYPERLINK("http://141.218.60.56/~jnz1568/getInfo.php?workbook=12_04.xlsx&amp;sheet=U0&amp;row=8188&amp;col=7&amp;number=0.0385&amp;sourceID=14","0.0385")</f>
        <v>0.0385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HYPERLINK("http://141.218.60.56/~jnz1568/getInfo.php?workbook=12_04.xlsx&amp;sheet=U0&amp;row=8189&amp;col=6&amp;number=3.5&amp;sourceID=14","3.5")</f>
        <v>3.5</v>
      </c>
      <c r="G8189" s="4" t="str">
        <f>HYPERLINK("http://141.218.60.56/~jnz1568/getInfo.php?workbook=12_04.xlsx&amp;sheet=U0&amp;row=8189&amp;col=7&amp;number=0.0383&amp;sourceID=14","0.0383")</f>
        <v>0.0383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HYPERLINK("http://141.218.60.56/~jnz1568/getInfo.php?workbook=12_04.xlsx&amp;sheet=U0&amp;row=8190&amp;col=6&amp;number=3.6&amp;sourceID=14","3.6")</f>
        <v>3.6</v>
      </c>
      <c r="G8190" s="4" t="str">
        <f>HYPERLINK("http://141.218.60.56/~jnz1568/getInfo.php?workbook=12_04.xlsx&amp;sheet=U0&amp;row=8190&amp;col=7&amp;number=0.0381&amp;sourceID=14","0.0381")</f>
        <v>0.0381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HYPERLINK("http://141.218.60.56/~jnz1568/getInfo.php?workbook=12_04.xlsx&amp;sheet=U0&amp;row=8191&amp;col=6&amp;number=3.7&amp;sourceID=14","3.7")</f>
        <v>3.7</v>
      </c>
      <c r="G8191" s="4" t="str">
        <f>HYPERLINK("http://141.218.60.56/~jnz1568/getInfo.php?workbook=12_04.xlsx&amp;sheet=U0&amp;row=8191&amp;col=7&amp;number=0.0378&amp;sourceID=14","0.0378")</f>
        <v>0.0378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HYPERLINK("http://141.218.60.56/~jnz1568/getInfo.php?workbook=12_04.xlsx&amp;sheet=U0&amp;row=8192&amp;col=6&amp;number=3.8&amp;sourceID=14","3.8")</f>
        <v>3.8</v>
      </c>
      <c r="G8192" s="4" t="str">
        <f>HYPERLINK("http://141.218.60.56/~jnz1568/getInfo.php?workbook=12_04.xlsx&amp;sheet=U0&amp;row=8192&amp;col=7&amp;number=0.0375&amp;sourceID=14","0.0375")</f>
        <v>0.0375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HYPERLINK("http://141.218.60.56/~jnz1568/getInfo.php?workbook=12_04.xlsx&amp;sheet=U0&amp;row=8193&amp;col=6&amp;number=3.9&amp;sourceID=14","3.9")</f>
        <v>3.9</v>
      </c>
      <c r="G8193" s="4" t="str">
        <f>HYPERLINK("http://141.218.60.56/~jnz1568/getInfo.php?workbook=12_04.xlsx&amp;sheet=U0&amp;row=8193&amp;col=7&amp;number=0.0371&amp;sourceID=14","0.0371")</f>
        <v>0.0371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HYPERLINK("http://141.218.60.56/~jnz1568/getInfo.php?workbook=12_04.xlsx&amp;sheet=U0&amp;row=8194&amp;col=6&amp;number=4&amp;sourceID=14","4")</f>
        <v>4</v>
      </c>
      <c r="G8194" s="4" t="str">
        <f>HYPERLINK("http://141.218.60.56/~jnz1568/getInfo.php?workbook=12_04.xlsx&amp;sheet=U0&amp;row=8194&amp;col=7&amp;number=0.0366&amp;sourceID=14","0.0366")</f>
        <v>0.0366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HYPERLINK("http://141.218.60.56/~jnz1568/getInfo.php?workbook=12_04.xlsx&amp;sheet=U0&amp;row=8195&amp;col=6&amp;number=4.1&amp;sourceID=14","4.1")</f>
        <v>4.1</v>
      </c>
      <c r="G8195" s="4" t="str">
        <f>HYPERLINK("http://141.218.60.56/~jnz1568/getInfo.php?workbook=12_04.xlsx&amp;sheet=U0&amp;row=8195&amp;col=7&amp;number=0.036&amp;sourceID=14","0.036")</f>
        <v>0.036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HYPERLINK("http://141.218.60.56/~jnz1568/getInfo.php?workbook=12_04.xlsx&amp;sheet=U0&amp;row=8196&amp;col=6&amp;number=4.2&amp;sourceID=14","4.2")</f>
        <v>4.2</v>
      </c>
      <c r="G8196" s="4" t="str">
        <f>HYPERLINK("http://141.218.60.56/~jnz1568/getInfo.php?workbook=12_04.xlsx&amp;sheet=U0&amp;row=8196&amp;col=7&amp;number=0.0353&amp;sourceID=14","0.0353")</f>
        <v>0.0353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HYPERLINK("http://141.218.60.56/~jnz1568/getInfo.php?workbook=12_04.xlsx&amp;sheet=U0&amp;row=8197&amp;col=6&amp;number=4.3&amp;sourceID=14","4.3")</f>
        <v>4.3</v>
      </c>
      <c r="G8197" s="4" t="str">
        <f>HYPERLINK("http://141.218.60.56/~jnz1568/getInfo.php?workbook=12_04.xlsx&amp;sheet=U0&amp;row=8197&amp;col=7&amp;number=0.0343&amp;sourceID=14","0.0343")</f>
        <v>0.0343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HYPERLINK("http://141.218.60.56/~jnz1568/getInfo.php?workbook=12_04.xlsx&amp;sheet=U0&amp;row=8198&amp;col=6&amp;number=4.4&amp;sourceID=14","4.4")</f>
        <v>4.4</v>
      </c>
      <c r="G8198" s="4" t="str">
        <f>HYPERLINK("http://141.218.60.56/~jnz1568/getInfo.php?workbook=12_04.xlsx&amp;sheet=U0&amp;row=8198&amp;col=7&amp;number=0.0332&amp;sourceID=14","0.0332")</f>
        <v>0.0332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HYPERLINK("http://141.218.60.56/~jnz1568/getInfo.php?workbook=12_04.xlsx&amp;sheet=U0&amp;row=8199&amp;col=6&amp;number=4.5&amp;sourceID=14","4.5")</f>
        <v>4.5</v>
      </c>
      <c r="G8199" s="4" t="str">
        <f>HYPERLINK("http://141.218.60.56/~jnz1568/getInfo.php?workbook=12_04.xlsx&amp;sheet=U0&amp;row=8199&amp;col=7&amp;number=0.0318&amp;sourceID=14","0.0318")</f>
        <v>0.0318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HYPERLINK("http://141.218.60.56/~jnz1568/getInfo.php?workbook=12_04.xlsx&amp;sheet=U0&amp;row=8200&amp;col=6&amp;number=4.6&amp;sourceID=14","4.6")</f>
        <v>4.6</v>
      </c>
      <c r="G8200" s="4" t="str">
        <f>HYPERLINK("http://141.218.60.56/~jnz1568/getInfo.php?workbook=12_04.xlsx&amp;sheet=U0&amp;row=8200&amp;col=7&amp;number=0.0302&amp;sourceID=14","0.0302")</f>
        <v>0.0302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HYPERLINK("http://141.218.60.56/~jnz1568/getInfo.php?workbook=12_04.xlsx&amp;sheet=U0&amp;row=8201&amp;col=6&amp;number=4.7&amp;sourceID=14","4.7")</f>
        <v>4.7</v>
      </c>
      <c r="G8201" s="4" t="str">
        <f>HYPERLINK("http://141.218.60.56/~jnz1568/getInfo.php?workbook=12_04.xlsx&amp;sheet=U0&amp;row=8201&amp;col=7&amp;number=0.0284&amp;sourceID=14","0.0284")</f>
        <v>0.0284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HYPERLINK("http://141.218.60.56/~jnz1568/getInfo.php?workbook=12_04.xlsx&amp;sheet=U0&amp;row=8202&amp;col=6&amp;number=4.8&amp;sourceID=14","4.8")</f>
        <v>4.8</v>
      </c>
      <c r="G8202" s="4" t="str">
        <f>HYPERLINK("http://141.218.60.56/~jnz1568/getInfo.php?workbook=12_04.xlsx&amp;sheet=U0&amp;row=8202&amp;col=7&amp;number=0.0264&amp;sourceID=14","0.0264")</f>
        <v>0.0264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HYPERLINK("http://141.218.60.56/~jnz1568/getInfo.php?workbook=12_04.xlsx&amp;sheet=U0&amp;row=8203&amp;col=6&amp;number=4.9&amp;sourceID=14","4.9")</f>
        <v>4.9</v>
      </c>
      <c r="G8203" s="4" t="str">
        <f>HYPERLINK("http://141.218.60.56/~jnz1568/getInfo.php?workbook=12_04.xlsx&amp;sheet=U0&amp;row=8203&amp;col=7&amp;number=0.0245&amp;sourceID=14","0.0245")</f>
        <v>0.0245</v>
      </c>
    </row>
    <row r="8204" spans="1:7">
      <c r="A8204" s="3">
        <v>12</v>
      </c>
      <c r="B8204" s="3">
        <v>4</v>
      </c>
      <c r="C8204" s="3">
        <v>5</v>
      </c>
      <c r="D8204" s="3">
        <v>34</v>
      </c>
      <c r="E8204" s="3">
        <v>1</v>
      </c>
      <c r="F8204" s="4" t="str">
        <f>HYPERLINK("http://141.218.60.56/~jnz1568/getInfo.php?workbook=12_04.xlsx&amp;sheet=U0&amp;row=8204&amp;col=6&amp;number=3&amp;sourceID=14","3")</f>
        <v>3</v>
      </c>
      <c r="G8204" s="4" t="str">
        <f>HYPERLINK("http://141.218.60.56/~jnz1568/getInfo.php?workbook=12_04.xlsx&amp;sheet=U0&amp;row=8204&amp;col=7&amp;number=0.0379&amp;sourceID=14","0.0379")</f>
        <v>0.0379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HYPERLINK("http://141.218.60.56/~jnz1568/getInfo.php?workbook=12_04.xlsx&amp;sheet=U0&amp;row=8205&amp;col=6&amp;number=3.1&amp;sourceID=14","3.1")</f>
        <v>3.1</v>
      </c>
      <c r="G8205" s="4" t="str">
        <f>HYPERLINK("http://141.218.60.56/~jnz1568/getInfo.php?workbook=12_04.xlsx&amp;sheet=U0&amp;row=8205&amp;col=7&amp;number=0.0379&amp;sourceID=14","0.0379")</f>
        <v>0.0379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HYPERLINK("http://141.218.60.56/~jnz1568/getInfo.php?workbook=12_04.xlsx&amp;sheet=U0&amp;row=8206&amp;col=6&amp;number=3.2&amp;sourceID=14","3.2")</f>
        <v>3.2</v>
      </c>
      <c r="G8206" s="4" t="str">
        <f>HYPERLINK("http://141.218.60.56/~jnz1568/getInfo.php?workbook=12_04.xlsx&amp;sheet=U0&amp;row=8206&amp;col=7&amp;number=0.0378&amp;sourceID=14","0.0378")</f>
        <v>0.0378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HYPERLINK("http://141.218.60.56/~jnz1568/getInfo.php?workbook=12_04.xlsx&amp;sheet=U0&amp;row=8207&amp;col=6&amp;number=3.3&amp;sourceID=14","3.3")</f>
        <v>3.3</v>
      </c>
      <c r="G8207" s="4" t="str">
        <f>HYPERLINK("http://141.218.60.56/~jnz1568/getInfo.php?workbook=12_04.xlsx&amp;sheet=U0&amp;row=8207&amp;col=7&amp;number=0.0378&amp;sourceID=14","0.0378")</f>
        <v>0.0378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HYPERLINK("http://141.218.60.56/~jnz1568/getInfo.php?workbook=12_04.xlsx&amp;sheet=U0&amp;row=8208&amp;col=6&amp;number=3.4&amp;sourceID=14","3.4")</f>
        <v>3.4</v>
      </c>
      <c r="G8208" s="4" t="str">
        <f>HYPERLINK("http://141.218.60.56/~jnz1568/getInfo.php?workbook=12_04.xlsx&amp;sheet=U0&amp;row=8208&amp;col=7&amp;number=0.0377&amp;sourceID=14","0.0377")</f>
        <v>0.0377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HYPERLINK("http://141.218.60.56/~jnz1568/getInfo.php?workbook=12_04.xlsx&amp;sheet=U0&amp;row=8209&amp;col=6&amp;number=3.5&amp;sourceID=14","3.5")</f>
        <v>3.5</v>
      </c>
      <c r="G8209" s="4" t="str">
        <f>HYPERLINK("http://141.218.60.56/~jnz1568/getInfo.php?workbook=12_04.xlsx&amp;sheet=U0&amp;row=8209&amp;col=7&amp;number=0.0376&amp;sourceID=14","0.0376")</f>
        <v>0.0376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HYPERLINK("http://141.218.60.56/~jnz1568/getInfo.php?workbook=12_04.xlsx&amp;sheet=U0&amp;row=8210&amp;col=6&amp;number=3.6&amp;sourceID=14","3.6")</f>
        <v>3.6</v>
      </c>
      <c r="G8210" s="4" t="str">
        <f>HYPERLINK("http://141.218.60.56/~jnz1568/getInfo.php?workbook=12_04.xlsx&amp;sheet=U0&amp;row=8210&amp;col=7&amp;number=0.0375&amp;sourceID=14","0.0375")</f>
        <v>0.0375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HYPERLINK("http://141.218.60.56/~jnz1568/getInfo.php?workbook=12_04.xlsx&amp;sheet=U0&amp;row=8211&amp;col=6&amp;number=3.7&amp;sourceID=14","3.7")</f>
        <v>3.7</v>
      </c>
      <c r="G8211" s="4" t="str">
        <f>HYPERLINK("http://141.218.60.56/~jnz1568/getInfo.php?workbook=12_04.xlsx&amp;sheet=U0&amp;row=8211&amp;col=7&amp;number=0.0373&amp;sourceID=14","0.0373")</f>
        <v>0.0373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HYPERLINK("http://141.218.60.56/~jnz1568/getInfo.php?workbook=12_04.xlsx&amp;sheet=U0&amp;row=8212&amp;col=6&amp;number=3.8&amp;sourceID=14","3.8")</f>
        <v>3.8</v>
      </c>
      <c r="G8212" s="4" t="str">
        <f>HYPERLINK("http://141.218.60.56/~jnz1568/getInfo.php?workbook=12_04.xlsx&amp;sheet=U0&amp;row=8212&amp;col=7&amp;number=0.0371&amp;sourceID=14","0.0371")</f>
        <v>0.0371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HYPERLINK("http://141.218.60.56/~jnz1568/getInfo.php?workbook=12_04.xlsx&amp;sheet=U0&amp;row=8213&amp;col=6&amp;number=3.9&amp;sourceID=14","3.9")</f>
        <v>3.9</v>
      </c>
      <c r="G8213" s="4" t="str">
        <f>HYPERLINK("http://141.218.60.56/~jnz1568/getInfo.php?workbook=12_04.xlsx&amp;sheet=U0&amp;row=8213&amp;col=7&amp;number=0.0368&amp;sourceID=14","0.0368")</f>
        <v>0.0368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HYPERLINK("http://141.218.60.56/~jnz1568/getInfo.php?workbook=12_04.xlsx&amp;sheet=U0&amp;row=8214&amp;col=6&amp;number=4&amp;sourceID=14","4")</f>
        <v>4</v>
      </c>
      <c r="G8214" s="4" t="str">
        <f>HYPERLINK("http://141.218.60.56/~jnz1568/getInfo.php?workbook=12_04.xlsx&amp;sheet=U0&amp;row=8214&amp;col=7&amp;number=0.0365&amp;sourceID=14","0.0365")</f>
        <v>0.0365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HYPERLINK("http://141.218.60.56/~jnz1568/getInfo.php?workbook=12_04.xlsx&amp;sheet=U0&amp;row=8215&amp;col=6&amp;number=4.1&amp;sourceID=14","4.1")</f>
        <v>4.1</v>
      </c>
      <c r="G8215" s="4" t="str">
        <f>HYPERLINK("http://141.218.60.56/~jnz1568/getInfo.php?workbook=12_04.xlsx&amp;sheet=U0&amp;row=8215&amp;col=7&amp;number=0.0361&amp;sourceID=14","0.0361")</f>
        <v>0.0361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HYPERLINK("http://141.218.60.56/~jnz1568/getInfo.php?workbook=12_04.xlsx&amp;sheet=U0&amp;row=8216&amp;col=6&amp;number=4.2&amp;sourceID=14","4.2")</f>
        <v>4.2</v>
      </c>
      <c r="G8216" s="4" t="str">
        <f>HYPERLINK("http://141.218.60.56/~jnz1568/getInfo.php?workbook=12_04.xlsx&amp;sheet=U0&amp;row=8216&amp;col=7&amp;number=0.0355&amp;sourceID=14","0.0355")</f>
        <v>0.0355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HYPERLINK("http://141.218.60.56/~jnz1568/getInfo.php?workbook=12_04.xlsx&amp;sheet=U0&amp;row=8217&amp;col=6&amp;number=4.3&amp;sourceID=14","4.3")</f>
        <v>4.3</v>
      </c>
      <c r="G8217" s="4" t="str">
        <f>HYPERLINK("http://141.218.60.56/~jnz1568/getInfo.php?workbook=12_04.xlsx&amp;sheet=U0&amp;row=8217&amp;col=7&amp;number=0.0349&amp;sourceID=14","0.0349")</f>
        <v>0.0349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HYPERLINK("http://141.218.60.56/~jnz1568/getInfo.php?workbook=12_04.xlsx&amp;sheet=U0&amp;row=8218&amp;col=6&amp;number=4.4&amp;sourceID=14","4.4")</f>
        <v>4.4</v>
      </c>
      <c r="G8218" s="4" t="str">
        <f>HYPERLINK("http://141.218.60.56/~jnz1568/getInfo.php?workbook=12_04.xlsx&amp;sheet=U0&amp;row=8218&amp;col=7&amp;number=0.0341&amp;sourceID=14","0.0341")</f>
        <v>0.0341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HYPERLINK("http://141.218.60.56/~jnz1568/getInfo.php?workbook=12_04.xlsx&amp;sheet=U0&amp;row=8219&amp;col=6&amp;number=4.5&amp;sourceID=14","4.5")</f>
        <v>4.5</v>
      </c>
      <c r="G8219" s="4" t="str">
        <f>HYPERLINK("http://141.218.60.56/~jnz1568/getInfo.php?workbook=12_04.xlsx&amp;sheet=U0&amp;row=8219&amp;col=7&amp;number=0.0331&amp;sourceID=14","0.0331")</f>
        <v>0.0331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HYPERLINK("http://141.218.60.56/~jnz1568/getInfo.php?workbook=12_04.xlsx&amp;sheet=U0&amp;row=8220&amp;col=6&amp;number=4.6&amp;sourceID=14","4.6")</f>
        <v>4.6</v>
      </c>
      <c r="G8220" s="4" t="str">
        <f>HYPERLINK("http://141.218.60.56/~jnz1568/getInfo.php?workbook=12_04.xlsx&amp;sheet=U0&amp;row=8220&amp;col=7&amp;number=0.0318&amp;sourceID=14","0.0318")</f>
        <v>0.0318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HYPERLINK("http://141.218.60.56/~jnz1568/getInfo.php?workbook=12_04.xlsx&amp;sheet=U0&amp;row=8221&amp;col=6&amp;number=4.7&amp;sourceID=14","4.7")</f>
        <v>4.7</v>
      </c>
      <c r="G8221" s="4" t="str">
        <f>HYPERLINK("http://141.218.60.56/~jnz1568/getInfo.php?workbook=12_04.xlsx&amp;sheet=U0&amp;row=8221&amp;col=7&amp;number=0.0304&amp;sourceID=14","0.0304")</f>
        <v>0.0304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HYPERLINK("http://141.218.60.56/~jnz1568/getInfo.php?workbook=12_04.xlsx&amp;sheet=U0&amp;row=8222&amp;col=6&amp;number=4.8&amp;sourceID=14","4.8")</f>
        <v>4.8</v>
      </c>
      <c r="G8222" s="4" t="str">
        <f>HYPERLINK("http://141.218.60.56/~jnz1568/getInfo.php?workbook=12_04.xlsx&amp;sheet=U0&amp;row=8222&amp;col=7&amp;number=0.0286&amp;sourceID=14","0.0286")</f>
        <v>0.0286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HYPERLINK("http://141.218.60.56/~jnz1568/getInfo.php?workbook=12_04.xlsx&amp;sheet=U0&amp;row=8223&amp;col=6&amp;number=4.9&amp;sourceID=14","4.9")</f>
        <v>4.9</v>
      </c>
      <c r="G8223" s="4" t="str">
        <f>HYPERLINK("http://141.218.60.56/~jnz1568/getInfo.php?workbook=12_04.xlsx&amp;sheet=U0&amp;row=8223&amp;col=7&amp;number=0.0265&amp;sourceID=14","0.0265")</f>
        <v>0.0265</v>
      </c>
    </row>
    <row r="8224" spans="1:7">
      <c r="A8224" s="3">
        <v>12</v>
      </c>
      <c r="B8224" s="3">
        <v>4</v>
      </c>
      <c r="C8224" s="3">
        <v>5</v>
      </c>
      <c r="D8224" s="3">
        <v>35</v>
      </c>
      <c r="E8224" s="3">
        <v>1</v>
      </c>
      <c r="F8224" s="4" t="str">
        <f>HYPERLINK("http://141.218.60.56/~jnz1568/getInfo.php?workbook=12_04.xlsx&amp;sheet=U0&amp;row=8224&amp;col=6&amp;number=3&amp;sourceID=14","3")</f>
        <v>3</v>
      </c>
      <c r="G8224" s="4" t="str">
        <f>HYPERLINK("http://141.218.60.56/~jnz1568/getInfo.php?workbook=12_04.xlsx&amp;sheet=U0&amp;row=8224&amp;col=7&amp;number=0.0577&amp;sourceID=14","0.0577")</f>
        <v>0.0577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HYPERLINK("http://141.218.60.56/~jnz1568/getInfo.php?workbook=12_04.xlsx&amp;sheet=U0&amp;row=8225&amp;col=6&amp;number=3.1&amp;sourceID=14","3.1")</f>
        <v>3.1</v>
      </c>
      <c r="G8225" s="4" t="str">
        <f>HYPERLINK("http://141.218.60.56/~jnz1568/getInfo.php?workbook=12_04.xlsx&amp;sheet=U0&amp;row=8225&amp;col=7&amp;number=0.0576&amp;sourceID=14","0.0576")</f>
        <v>0.0576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HYPERLINK("http://141.218.60.56/~jnz1568/getInfo.php?workbook=12_04.xlsx&amp;sheet=U0&amp;row=8226&amp;col=6&amp;number=3.2&amp;sourceID=14","3.2")</f>
        <v>3.2</v>
      </c>
      <c r="G8226" s="4" t="str">
        <f>HYPERLINK("http://141.218.60.56/~jnz1568/getInfo.php?workbook=12_04.xlsx&amp;sheet=U0&amp;row=8226&amp;col=7&amp;number=0.0576&amp;sourceID=14","0.0576")</f>
        <v>0.0576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HYPERLINK("http://141.218.60.56/~jnz1568/getInfo.php?workbook=12_04.xlsx&amp;sheet=U0&amp;row=8227&amp;col=6&amp;number=3.3&amp;sourceID=14","3.3")</f>
        <v>3.3</v>
      </c>
      <c r="G8227" s="4" t="str">
        <f>HYPERLINK("http://141.218.60.56/~jnz1568/getInfo.php?workbook=12_04.xlsx&amp;sheet=U0&amp;row=8227&amp;col=7&amp;number=0.0576&amp;sourceID=14","0.0576")</f>
        <v>0.0576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HYPERLINK("http://141.218.60.56/~jnz1568/getInfo.php?workbook=12_04.xlsx&amp;sheet=U0&amp;row=8228&amp;col=6&amp;number=3.4&amp;sourceID=14","3.4")</f>
        <v>3.4</v>
      </c>
      <c r="G8228" s="4" t="str">
        <f>HYPERLINK("http://141.218.60.56/~jnz1568/getInfo.php?workbook=12_04.xlsx&amp;sheet=U0&amp;row=8228&amp;col=7&amp;number=0.0575&amp;sourceID=14","0.0575")</f>
        <v>0.0575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HYPERLINK("http://141.218.60.56/~jnz1568/getInfo.php?workbook=12_04.xlsx&amp;sheet=U0&amp;row=8229&amp;col=6&amp;number=3.5&amp;sourceID=14","3.5")</f>
        <v>3.5</v>
      </c>
      <c r="G8229" s="4" t="str">
        <f>HYPERLINK("http://141.218.60.56/~jnz1568/getInfo.php?workbook=12_04.xlsx&amp;sheet=U0&amp;row=8229&amp;col=7&amp;number=0.0574&amp;sourceID=14","0.0574")</f>
        <v>0.0574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HYPERLINK("http://141.218.60.56/~jnz1568/getInfo.php?workbook=12_04.xlsx&amp;sheet=U0&amp;row=8230&amp;col=6&amp;number=3.6&amp;sourceID=14","3.6")</f>
        <v>3.6</v>
      </c>
      <c r="G8230" s="4" t="str">
        <f>HYPERLINK("http://141.218.60.56/~jnz1568/getInfo.php?workbook=12_04.xlsx&amp;sheet=U0&amp;row=8230&amp;col=7&amp;number=0.0574&amp;sourceID=14","0.0574")</f>
        <v>0.0574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HYPERLINK("http://141.218.60.56/~jnz1568/getInfo.php?workbook=12_04.xlsx&amp;sheet=U0&amp;row=8231&amp;col=6&amp;number=3.7&amp;sourceID=14","3.7")</f>
        <v>3.7</v>
      </c>
      <c r="G8231" s="4" t="str">
        <f>HYPERLINK("http://141.218.60.56/~jnz1568/getInfo.php?workbook=12_04.xlsx&amp;sheet=U0&amp;row=8231&amp;col=7&amp;number=0.0573&amp;sourceID=14","0.0573")</f>
        <v>0.0573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HYPERLINK("http://141.218.60.56/~jnz1568/getInfo.php?workbook=12_04.xlsx&amp;sheet=U0&amp;row=8232&amp;col=6&amp;number=3.8&amp;sourceID=14","3.8")</f>
        <v>3.8</v>
      </c>
      <c r="G8232" s="4" t="str">
        <f>HYPERLINK("http://141.218.60.56/~jnz1568/getInfo.php?workbook=12_04.xlsx&amp;sheet=U0&amp;row=8232&amp;col=7&amp;number=0.0571&amp;sourceID=14","0.0571")</f>
        <v>0.0571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HYPERLINK("http://141.218.60.56/~jnz1568/getInfo.php?workbook=12_04.xlsx&amp;sheet=U0&amp;row=8233&amp;col=6&amp;number=3.9&amp;sourceID=14","3.9")</f>
        <v>3.9</v>
      </c>
      <c r="G8233" s="4" t="str">
        <f>HYPERLINK("http://141.218.60.56/~jnz1568/getInfo.php?workbook=12_04.xlsx&amp;sheet=U0&amp;row=8233&amp;col=7&amp;number=0.057&amp;sourceID=14","0.057")</f>
        <v>0.057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HYPERLINK("http://141.218.60.56/~jnz1568/getInfo.php?workbook=12_04.xlsx&amp;sheet=U0&amp;row=8234&amp;col=6&amp;number=4&amp;sourceID=14","4")</f>
        <v>4</v>
      </c>
      <c r="G8234" s="4" t="str">
        <f>HYPERLINK("http://141.218.60.56/~jnz1568/getInfo.php?workbook=12_04.xlsx&amp;sheet=U0&amp;row=8234&amp;col=7&amp;number=0.0568&amp;sourceID=14","0.0568")</f>
        <v>0.0568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HYPERLINK("http://141.218.60.56/~jnz1568/getInfo.php?workbook=12_04.xlsx&amp;sheet=U0&amp;row=8235&amp;col=6&amp;number=4.1&amp;sourceID=14","4.1")</f>
        <v>4.1</v>
      </c>
      <c r="G8235" s="4" t="str">
        <f>HYPERLINK("http://141.218.60.56/~jnz1568/getInfo.php?workbook=12_04.xlsx&amp;sheet=U0&amp;row=8235&amp;col=7&amp;number=0.0565&amp;sourceID=14","0.0565")</f>
        <v>0.0565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HYPERLINK("http://141.218.60.56/~jnz1568/getInfo.php?workbook=12_04.xlsx&amp;sheet=U0&amp;row=8236&amp;col=6&amp;number=4.2&amp;sourceID=14","4.2")</f>
        <v>4.2</v>
      </c>
      <c r="G8236" s="4" t="str">
        <f>HYPERLINK("http://141.218.60.56/~jnz1568/getInfo.php?workbook=12_04.xlsx&amp;sheet=U0&amp;row=8236&amp;col=7&amp;number=0.0562&amp;sourceID=14","0.0562")</f>
        <v>0.0562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HYPERLINK("http://141.218.60.56/~jnz1568/getInfo.php?workbook=12_04.xlsx&amp;sheet=U0&amp;row=8237&amp;col=6&amp;number=4.3&amp;sourceID=14","4.3")</f>
        <v>4.3</v>
      </c>
      <c r="G8237" s="4" t="str">
        <f>HYPERLINK("http://141.218.60.56/~jnz1568/getInfo.php?workbook=12_04.xlsx&amp;sheet=U0&amp;row=8237&amp;col=7&amp;number=0.0558&amp;sourceID=14","0.0558")</f>
        <v>0.0558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HYPERLINK("http://141.218.60.56/~jnz1568/getInfo.php?workbook=12_04.xlsx&amp;sheet=U0&amp;row=8238&amp;col=6&amp;number=4.4&amp;sourceID=14","4.4")</f>
        <v>4.4</v>
      </c>
      <c r="G8238" s="4" t="str">
        <f>HYPERLINK("http://141.218.60.56/~jnz1568/getInfo.php?workbook=12_04.xlsx&amp;sheet=U0&amp;row=8238&amp;col=7&amp;number=0.0553&amp;sourceID=14","0.0553")</f>
        <v>0.0553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HYPERLINK("http://141.218.60.56/~jnz1568/getInfo.php?workbook=12_04.xlsx&amp;sheet=U0&amp;row=8239&amp;col=6&amp;number=4.5&amp;sourceID=14","4.5")</f>
        <v>4.5</v>
      </c>
      <c r="G8239" s="4" t="str">
        <f>HYPERLINK("http://141.218.60.56/~jnz1568/getInfo.php?workbook=12_04.xlsx&amp;sheet=U0&amp;row=8239&amp;col=7&amp;number=0.0547&amp;sourceID=14","0.0547")</f>
        <v>0.0547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HYPERLINK("http://141.218.60.56/~jnz1568/getInfo.php?workbook=12_04.xlsx&amp;sheet=U0&amp;row=8240&amp;col=6&amp;number=4.6&amp;sourceID=14","4.6")</f>
        <v>4.6</v>
      </c>
      <c r="G8240" s="4" t="str">
        <f>HYPERLINK("http://141.218.60.56/~jnz1568/getInfo.php?workbook=12_04.xlsx&amp;sheet=U0&amp;row=8240&amp;col=7&amp;number=0.0539&amp;sourceID=14","0.0539")</f>
        <v>0.0539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HYPERLINK("http://141.218.60.56/~jnz1568/getInfo.php?workbook=12_04.xlsx&amp;sheet=U0&amp;row=8241&amp;col=6&amp;number=4.7&amp;sourceID=14","4.7")</f>
        <v>4.7</v>
      </c>
      <c r="G8241" s="4" t="str">
        <f>HYPERLINK("http://141.218.60.56/~jnz1568/getInfo.php?workbook=12_04.xlsx&amp;sheet=U0&amp;row=8241&amp;col=7&amp;number=0.053&amp;sourceID=14","0.053")</f>
        <v>0.053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HYPERLINK("http://141.218.60.56/~jnz1568/getInfo.php?workbook=12_04.xlsx&amp;sheet=U0&amp;row=8242&amp;col=6&amp;number=4.8&amp;sourceID=14","4.8")</f>
        <v>4.8</v>
      </c>
      <c r="G8242" s="4" t="str">
        <f>HYPERLINK("http://141.218.60.56/~jnz1568/getInfo.php?workbook=12_04.xlsx&amp;sheet=U0&amp;row=8242&amp;col=7&amp;number=0.052&amp;sourceID=14","0.052")</f>
        <v>0.052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HYPERLINK("http://141.218.60.56/~jnz1568/getInfo.php?workbook=12_04.xlsx&amp;sheet=U0&amp;row=8243&amp;col=6&amp;number=4.9&amp;sourceID=14","4.9")</f>
        <v>4.9</v>
      </c>
      <c r="G8243" s="4" t="str">
        <f>HYPERLINK("http://141.218.60.56/~jnz1568/getInfo.php?workbook=12_04.xlsx&amp;sheet=U0&amp;row=8243&amp;col=7&amp;number=0.0507&amp;sourceID=14","0.0507")</f>
        <v>0.0507</v>
      </c>
    </row>
    <row r="8244" spans="1:7">
      <c r="A8244" s="3">
        <v>12</v>
      </c>
      <c r="B8244" s="3">
        <v>4</v>
      </c>
      <c r="C8244" s="3">
        <v>5</v>
      </c>
      <c r="D8244" s="3">
        <v>36</v>
      </c>
      <c r="E8244" s="3">
        <v>1</v>
      </c>
      <c r="F8244" s="4" t="str">
        <f>HYPERLINK("http://141.218.60.56/~jnz1568/getInfo.php?workbook=12_04.xlsx&amp;sheet=U0&amp;row=8244&amp;col=6&amp;number=3&amp;sourceID=14","3")</f>
        <v>3</v>
      </c>
      <c r="G8244" s="4" t="str">
        <f>HYPERLINK("http://141.218.60.56/~jnz1568/getInfo.php?workbook=12_04.xlsx&amp;sheet=U0&amp;row=8244&amp;col=7&amp;number=0.0474&amp;sourceID=14","0.0474")</f>
        <v>0.0474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HYPERLINK("http://141.218.60.56/~jnz1568/getInfo.php?workbook=12_04.xlsx&amp;sheet=U0&amp;row=8245&amp;col=6&amp;number=3.1&amp;sourceID=14","3.1")</f>
        <v>3.1</v>
      </c>
      <c r="G8245" s="4" t="str">
        <f>HYPERLINK("http://141.218.60.56/~jnz1568/getInfo.php?workbook=12_04.xlsx&amp;sheet=U0&amp;row=8245&amp;col=7&amp;number=0.0473&amp;sourceID=14","0.0473")</f>
        <v>0.0473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HYPERLINK("http://141.218.60.56/~jnz1568/getInfo.php?workbook=12_04.xlsx&amp;sheet=U0&amp;row=8246&amp;col=6&amp;number=3.2&amp;sourceID=14","3.2")</f>
        <v>3.2</v>
      </c>
      <c r="G8246" s="4" t="str">
        <f>HYPERLINK("http://141.218.60.56/~jnz1568/getInfo.php?workbook=12_04.xlsx&amp;sheet=U0&amp;row=8246&amp;col=7&amp;number=0.0472&amp;sourceID=14","0.0472")</f>
        <v>0.0472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HYPERLINK("http://141.218.60.56/~jnz1568/getInfo.php?workbook=12_04.xlsx&amp;sheet=U0&amp;row=8247&amp;col=6&amp;number=3.3&amp;sourceID=14","3.3")</f>
        <v>3.3</v>
      </c>
      <c r="G8247" s="4" t="str">
        <f>HYPERLINK("http://141.218.60.56/~jnz1568/getInfo.php?workbook=12_04.xlsx&amp;sheet=U0&amp;row=8247&amp;col=7&amp;number=0.0472&amp;sourceID=14","0.0472")</f>
        <v>0.0472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HYPERLINK("http://141.218.60.56/~jnz1568/getInfo.php?workbook=12_04.xlsx&amp;sheet=U0&amp;row=8248&amp;col=6&amp;number=3.4&amp;sourceID=14","3.4")</f>
        <v>3.4</v>
      </c>
      <c r="G8248" s="4" t="str">
        <f>HYPERLINK("http://141.218.60.56/~jnz1568/getInfo.php?workbook=12_04.xlsx&amp;sheet=U0&amp;row=8248&amp;col=7&amp;number=0.0471&amp;sourceID=14","0.0471")</f>
        <v>0.0471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HYPERLINK("http://141.218.60.56/~jnz1568/getInfo.php?workbook=12_04.xlsx&amp;sheet=U0&amp;row=8249&amp;col=6&amp;number=3.5&amp;sourceID=14","3.5")</f>
        <v>3.5</v>
      </c>
      <c r="G8249" s="4" t="str">
        <f>HYPERLINK("http://141.218.60.56/~jnz1568/getInfo.php?workbook=12_04.xlsx&amp;sheet=U0&amp;row=8249&amp;col=7&amp;number=0.0469&amp;sourceID=14","0.0469")</f>
        <v>0.0469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HYPERLINK("http://141.218.60.56/~jnz1568/getInfo.php?workbook=12_04.xlsx&amp;sheet=U0&amp;row=8250&amp;col=6&amp;number=3.6&amp;sourceID=14","3.6")</f>
        <v>3.6</v>
      </c>
      <c r="G8250" s="4" t="str">
        <f>HYPERLINK("http://141.218.60.56/~jnz1568/getInfo.php?workbook=12_04.xlsx&amp;sheet=U0&amp;row=8250&amp;col=7&amp;number=0.0467&amp;sourceID=14","0.0467")</f>
        <v>0.0467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HYPERLINK("http://141.218.60.56/~jnz1568/getInfo.php?workbook=12_04.xlsx&amp;sheet=U0&amp;row=8251&amp;col=6&amp;number=3.7&amp;sourceID=14","3.7")</f>
        <v>3.7</v>
      </c>
      <c r="G8251" s="4" t="str">
        <f>HYPERLINK("http://141.218.60.56/~jnz1568/getInfo.php?workbook=12_04.xlsx&amp;sheet=U0&amp;row=8251&amp;col=7&amp;number=0.0465&amp;sourceID=14","0.0465")</f>
        <v>0.0465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HYPERLINK("http://141.218.60.56/~jnz1568/getInfo.php?workbook=12_04.xlsx&amp;sheet=U0&amp;row=8252&amp;col=6&amp;number=3.8&amp;sourceID=14","3.8")</f>
        <v>3.8</v>
      </c>
      <c r="G8252" s="4" t="str">
        <f>HYPERLINK("http://141.218.60.56/~jnz1568/getInfo.php?workbook=12_04.xlsx&amp;sheet=U0&amp;row=8252&amp;col=7&amp;number=0.0463&amp;sourceID=14","0.0463")</f>
        <v>0.0463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HYPERLINK("http://141.218.60.56/~jnz1568/getInfo.php?workbook=12_04.xlsx&amp;sheet=U0&amp;row=8253&amp;col=6&amp;number=3.9&amp;sourceID=14","3.9")</f>
        <v>3.9</v>
      </c>
      <c r="G8253" s="4" t="str">
        <f>HYPERLINK("http://141.218.60.56/~jnz1568/getInfo.php?workbook=12_04.xlsx&amp;sheet=U0&amp;row=8253&amp;col=7&amp;number=0.0459&amp;sourceID=14","0.0459")</f>
        <v>0.0459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HYPERLINK("http://141.218.60.56/~jnz1568/getInfo.php?workbook=12_04.xlsx&amp;sheet=U0&amp;row=8254&amp;col=6&amp;number=4&amp;sourceID=14","4")</f>
        <v>4</v>
      </c>
      <c r="G8254" s="4" t="str">
        <f>HYPERLINK("http://141.218.60.56/~jnz1568/getInfo.php?workbook=12_04.xlsx&amp;sheet=U0&amp;row=8254&amp;col=7&amp;number=0.0455&amp;sourceID=14","0.0455")</f>
        <v>0.0455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HYPERLINK("http://141.218.60.56/~jnz1568/getInfo.php?workbook=12_04.xlsx&amp;sheet=U0&amp;row=8255&amp;col=6&amp;number=4.1&amp;sourceID=14","4.1")</f>
        <v>4.1</v>
      </c>
      <c r="G8255" s="4" t="str">
        <f>HYPERLINK("http://141.218.60.56/~jnz1568/getInfo.php?workbook=12_04.xlsx&amp;sheet=U0&amp;row=8255&amp;col=7&amp;number=0.045&amp;sourceID=14","0.045")</f>
        <v>0.045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HYPERLINK("http://141.218.60.56/~jnz1568/getInfo.php?workbook=12_04.xlsx&amp;sheet=U0&amp;row=8256&amp;col=6&amp;number=4.2&amp;sourceID=14","4.2")</f>
        <v>4.2</v>
      </c>
      <c r="G8256" s="4" t="str">
        <f>HYPERLINK("http://141.218.60.56/~jnz1568/getInfo.php?workbook=12_04.xlsx&amp;sheet=U0&amp;row=8256&amp;col=7&amp;number=0.0443&amp;sourceID=14","0.0443")</f>
        <v>0.0443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HYPERLINK("http://141.218.60.56/~jnz1568/getInfo.php?workbook=12_04.xlsx&amp;sheet=U0&amp;row=8257&amp;col=6&amp;number=4.3&amp;sourceID=14","4.3")</f>
        <v>4.3</v>
      </c>
      <c r="G8257" s="4" t="str">
        <f>HYPERLINK("http://141.218.60.56/~jnz1568/getInfo.php?workbook=12_04.xlsx&amp;sheet=U0&amp;row=8257&amp;col=7&amp;number=0.0435&amp;sourceID=14","0.0435")</f>
        <v>0.0435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HYPERLINK("http://141.218.60.56/~jnz1568/getInfo.php?workbook=12_04.xlsx&amp;sheet=U0&amp;row=8258&amp;col=6&amp;number=4.4&amp;sourceID=14","4.4")</f>
        <v>4.4</v>
      </c>
      <c r="G8258" s="4" t="str">
        <f>HYPERLINK("http://141.218.60.56/~jnz1568/getInfo.php?workbook=12_04.xlsx&amp;sheet=U0&amp;row=8258&amp;col=7&amp;number=0.0425&amp;sourceID=14","0.0425")</f>
        <v>0.0425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HYPERLINK("http://141.218.60.56/~jnz1568/getInfo.php?workbook=12_04.xlsx&amp;sheet=U0&amp;row=8259&amp;col=6&amp;number=4.5&amp;sourceID=14","4.5")</f>
        <v>4.5</v>
      </c>
      <c r="G8259" s="4" t="str">
        <f>HYPERLINK("http://141.218.60.56/~jnz1568/getInfo.php?workbook=12_04.xlsx&amp;sheet=U0&amp;row=8259&amp;col=7&amp;number=0.0413&amp;sourceID=14","0.0413")</f>
        <v>0.0413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HYPERLINK("http://141.218.60.56/~jnz1568/getInfo.php?workbook=12_04.xlsx&amp;sheet=U0&amp;row=8260&amp;col=6&amp;number=4.6&amp;sourceID=14","4.6")</f>
        <v>4.6</v>
      </c>
      <c r="G8260" s="4" t="str">
        <f>HYPERLINK("http://141.218.60.56/~jnz1568/getInfo.php?workbook=12_04.xlsx&amp;sheet=U0&amp;row=8260&amp;col=7&amp;number=0.0397&amp;sourceID=14","0.0397")</f>
        <v>0.0397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HYPERLINK("http://141.218.60.56/~jnz1568/getInfo.php?workbook=12_04.xlsx&amp;sheet=U0&amp;row=8261&amp;col=6&amp;number=4.7&amp;sourceID=14","4.7")</f>
        <v>4.7</v>
      </c>
      <c r="G8261" s="4" t="str">
        <f>HYPERLINK("http://141.218.60.56/~jnz1568/getInfo.php?workbook=12_04.xlsx&amp;sheet=U0&amp;row=8261&amp;col=7&amp;number=0.0378&amp;sourceID=14","0.0378")</f>
        <v>0.0378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HYPERLINK("http://141.218.60.56/~jnz1568/getInfo.php?workbook=12_04.xlsx&amp;sheet=U0&amp;row=8262&amp;col=6&amp;number=4.8&amp;sourceID=14","4.8")</f>
        <v>4.8</v>
      </c>
      <c r="G8262" s="4" t="str">
        <f>HYPERLINK("http://141.218.60.56/~jnz1568/getInfo.php?workbook=12_04.xlsx&amp;sheet=U0&amp;row=8262&amp;col=7&amp;number=0.0356&amp;sourceID=14","0.0356")</f>
        <v>0.0356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HYPERLINK("http://141.218.60.56/~jnz1568/getInfo.php?workbook=12_04.xlsx&amp;sheet=U0&amp;row=8263&amp;col=6&amp;number=4.9&amp;sourceID=14","4.9")</f>
        <v>4.9</v>
      </c>
      <c r="G8263" s="4" t="str">
        <f>HYPERLINK("http://141.218.60.56/~jnz1568/getInfo.php?workbook=12_04.xlsx&amp;sheet=U0&amp;row=8263&amp;col=7&amp;number=0.033&amp;sourceID=14","0.033")</f>
        <v>0.033</v>
      </c>
    </row>
    <row r="8264" spans="1:7">
      <c r="A8264" s="3">
        <v>12</v>
      </c>
      <c r="B8264" s="3">
        <v>4</v>
      </c>
      <c r="C8264" s="3">
        <v>5</v>
      </c>
      <c r="D8264" s="3">
        <v>37</v>
      </c>
      <c r="E8264" s="3">
        <v>1</v>
      </c>
      <c r="F8264" s="4" t="str">
        <f>HYPERLINK("http://141.218.60.56/~jnz1568/getInfo.php?workbook=12_04.xlsx&amp;sheet=U0&amp;row=8264&amp;col=6&amp;number=3&amp;sourceID=14","3")</f>
        <v>3</v>
      </c>
      <c r="G8264" s="4" t="str">
        <f>HYPERLINK("http://141.218.60.56/~jnz1568/getInfo.php?workbook=12_04.xlsx&amp;sheet=U0&amp;row=8264&amp;col=7&amp;number=0.0745&amp;sourceID=14","0.0745")</f>
        <v>0.0745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HYPERLINK("http://141.218.60.56/~jnz1568/getInfo.php?workbook=12_04.xlsx&amp;sheet=U0&amp;row=8265&amp;col=6&amp;number=3.1&amp;sourceID=14","3.1")</f>
        <v>3.1</v>
      </c>
      <c r="G8265" s="4" t="str">
        <f>HYPERLINK("http://141.218.60.56/~jnz1568/getInfo.php?workbook=12_04.xlsx&amp;sheet=U0&amp;row=8265&amp;col=7&amp;number=0.0745&amp;sourceID=14","0.0745")</f>
        <v>0.0745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HYPERLINK("http://141.218.60.56/~jnz1568/getInfo.php?workbook=12_04.xlsx&amp;sheet=U0&amp;row=8266&amp;col=6&amp;number=3.2&amp;sourceID=14","3.2")</f>
        <v>3.2</v>
      </c>
      <c r="G8266" s="4" t="str">
        <f>HYPERLINK("http://141.218.60.56/~jnz1568/getInfo.php?workbook=12_04.xlsx&amp;sheet=U0&amp;row=8266&amp;col=7&amp;number=0.0744&amp;sourceID=14","0.0744")</f>
        <v>0.0744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HYPERLINK("http://141.218.60.56/~jnz1568/getInfo.php?workbook=12_04.xlsx&amp;sheet=U0&amp;row=8267&amp;col=6&amp;number=3.3&amp;sourceID=14","3.3")</f>
        <v>3.3</v>
      </c>
      <c r="G8267" s="4" t="str">
        <f>HYPERLINK("http://141.218.60.56/~jnz1568/getInfo.php?workbook=12_04.xlsx&amp;sheet=U0&amp;row=8267&amp;col=7&amp;number=0.0744&amp;sourceID=14","0.0744")</f>
        <v>0.0744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HYPERLINK("http://141.218.60.56/~jnz1568/getInfo.php?workbook=12_04.xlsx&amp;sheet=U0&amp;row=8268&amp;col=6&amp;number=3.4&amp;sourceID=14","3.4")</f>
        <v>3.4</v>
      </c>
      <c r="G8268" s="4" t="str">
        <f>HYPERLINK("http://141.218.60.56/~jnz1568/getInfo.php?workbook=12_04.xlsx&amp;sheet=U0&amp;row=8268&amp;col=7&amp;number=0.0743&amp;sourceID=14","0.0743")</f>
        <v>0.0743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HYPERLINK("http://141.218.60.56/~jnz1568/getInfo.php?workbook=12_04.xlsx&amp;sheet=U0&amp;row=8269&amp;col=6&amp;number=3.5&amp;sourceID=14","3.5")</f>
        <v>3.5</v>
      </c>
      <c r="G8269" s="4" t="str">
        <f>HYPERLINK("http://141.218.60.56/~jnz1568/getInfo.php?workbook=12_04.xlsx&amp;sheet=U0&amp;row=8269&amp;col=7&amp;number=0.0742&amp;sourceID=14","0.0742")</f>
        <v>0.0742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HYPERLINK("http://141.218.60.56/~jnz1568/getInfo.php?workbook=12_04.xlsx&amp;sheet=U0&amp;row=8270&amp;col=6&amp;number=3.6&amp;sourceID=14","3.6")</f>
        <v>3.6</v>
      </c>
      <c r="G8270" s="4" t="str">
        <f>HYPERLINK("http://141.218.60.56/~jnz1568/getInfo.php?workbook=12_04.xlsx&amp;sheet=U0&amp;row=8270&amp;col=7&amp;number=0.0741&amp;sourceID=14","0.0741")</f>
        <v>0.0741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HYPERLINK("http://141.218.60.56/~jnz1568/getInfo.php?workbook=12_04.xlsx&amp;sheet=U0&amp;row=8271&amp;col=6&amp;number=3.7&amp;sourceID=14","3.7")</f>
        <v>3.7</v>
      </c>
      <c r="G8271" s="4" t="str">
        <f>HYPERLINK("http://141.218.60.56/~jnz1568/getInfo.php?workbook=12_04.xlsx&amp;sheet=U0&amp;row=8271&amp;col=7&amp;number=0.074&amp;sourceID=14","0.074")</f>
        <v>0.074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HYPERLINK("http://141.218.60.56/~jnz1568/getInfo.php?workbook=12_04.xlsx&amp;sheet=U0&amp;row=8272&amp;col=6&amp;number=3.8&amp;sourceID=14","3.8")</f>
        <v>3.8</v>
      </c>
      <c r="G8272" s="4" t="str">
        <f>HYPERLINK("http://141.218.60.56/~jnz1568/getInfo.php?workbook=12_04.xlsx&amp;sheet=U0&amp;row=8272&amp;col=7&amp;number=0.0738&amp;sourceID=14","0.0738")</f>
        <v>0.0738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HYPERLINK("http://141.218.60.56/~jnz1568/getInfo.php?workbook=12_04.xlsx&amp;sheet=U0&amp;row=8273&amp;col=6&amp;number=3.9&amp;sourceID=14","3.9")</f>
        <v>3.9</v>
      </c>
      <c r="G8273" s="4" t="str">
        <f>HYPERLINK("http://141.218.60.56/~jnz1568/getInfo.php?workbook=12_04.xlsx&amp;sheet=U0&amp;row=8273&amp;col=7&amp;number=0.0736&amp;sourceID=14","0.0736")</f>
        <v>0.0736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HYPERLINK("http://141.218.60.56/~jnz1568/getInfo.php?workbook=12_04.xlsx&amp;sheet=U0&amp;row=8274&amp;col=6&amp;number=4&amp;sourceID=14","4")</f>
        <v>4</v>
      </c>
      <c r="G8274" s="4" t="str">
        <f>HYPERLINK("http://141.218.60.56/~jnz1568/getInfo.php?workbook=12_04.xlsx&amp;sheet=U0&amp;row=8274&amp;col=7&amp;number=0.0734&amp;sourceID=14","0.0734")</f>
        <v>0.0734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HYPERLINK("http://141.218.60.56/~jnz1568/getInfo.php?workbook=12_04.xlsx&amp;sheet=U0&amp;row=8275&amp;col=6&amp;number=4.1&amp;sourceID=14","4.1")</f>
        <v>4.1</v>
      </c>
      <c r="G8275" s="4" t="str">
        <f>HYPERLINK("http://141.218.60.56/~jnz1568/getInfo.php?workbook=12_04.xlsx&amp;sheet=U0&amp;row=8275&amp;col=7&amp;number=0.0731&amp;sourceID=14","0.0731")</f>
        <v>0.0731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HYPERLINK("http://141.218.60.56/~jnz1568/getInfo.php?workbook=12_04.xlsx&amp;sheet=U0&amp;row=8276&amp;col=6&amp;number=4.2&amp;sourceID=14","4.2")</f>
        <v>4.2</v>
      </c>
      <c r="G8276" s="4" t="str">
        <f>HYPERLINK("http://141.218.60.56/~jnz1568/getInfo.php?workbook=12_04.xlsx&amp;sheet=U0&amp;row=8276&amp;col=7&amp;number=0.0727&amp;sourceID=14","0.0727")</f>
        <v>0.0727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HYPERLINK("http://141.218.60.56/~jnz1568/getInfo.php?workbook=12_04.xlsx&amp;sheet=U0&amp;row=8277&amp;col=6&amp;number=4.3&amp;sourceID=14","4.3")</f>
        <v>4.3</v>
      </c>
      <c r="G8277" s="4" t="str">
        <f>HYPERLINK("http://141.218.60.56/~jnz1568/getInfo.php?workbook=12_04.xlsx&amp;sheet=U0&amp;row=8277&amp;col=7&amp;number=0.0722&amp;sourceID=14","0.0722")</f>
        <v>0.0722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HYPERLINK("http://141.218.60.56/~jnz1568/getInfo.php?workbook=12_04.xlsx&amp;sheet=U0&amp;row=8278&amp;col=6&amp;number=4.4&amp;sourceID=14","4.4")</f>
        <v>4.4</v>
      </c>
      <c r="G8278" s="4" t="str">
        <f>HYPERLINK("http://141.218.60.56/~jnz1568/getInfo.php?workbook=12_04.xlsx&amp;sheet=U0&amp;row=8278&amp;col=7&amp;number=0.0716&amp;sourceID=14","0.0716")</f>
        <v>0.0716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HYPERLINK("http://141.218.60.56/~jnz1568/getInfo.php?workbook=12_04.xlsx&amp;sheet=U0&amp;row=8279&amp;col=6&amp;number=4.5&amp;sourceID=14","4.5")</f>
        <v>4.5</v>
      </c>
      <c r="G8279" s="4" t="str">
        <f>HYPERLINK("http://141.218.60.56/~jnz1568/getInfo.php?workbook=12_04.xlsx&amp;sheet=U0&amp;row=8279&amp;col=7&amp;number=0.0709&amp;sourceID=14","0.0709")</f>
        <v>0.0709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HYPERLINK("http://141.218.60.56/~jnz1568/getInfo.php?workbook=12_04.xlsx&amp;sheet=U0&amp;row=8280&amp;col=6&amp;number=4.6&amp;sourceID=14","4.6")</f>
        <v>4.6</v>
      </c>
      <c r="G8280" s="4" t="str">
        <f>HYPERLINK("http://141.218.60.56/~jnz1568/getInfo.php?workbook=12_04.xlsx&amp;sheet=U0&amp;row=8280&amp;col=7&amp;number=0.07&amp;sourceID=14","0.07")</f>
        <v>0.07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HYPERLINK("http://141.218.60.56/~jnz1568/getInfo.php?workbook=12_04.xlsx&amp;sheet=U0&amp;row=8281&amp;col=6&amp;number=4.7&amp;sourceID=14","4.7")</f>
        <v>4.7</v>
      </c>
      <c r="G8281" s="4" t="str">
        <f>HYPERLINK("http://141.218.60.56/~jnz1568/getInfo.php?workbook=12_04.xlsx&amp;sheet=U0&amp;row=8281&amp;col=7&amp;number=0.0689&amp;sourceID=14","0.0689")</f>
        <v>0.0689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HYPERLINK("http://141.218.60.56/~jnz1568/getInfo.php?workbook=12_04.xlsx&amp;sheet=U0&amp;row=8282&amp;col=6&amp;number=4.8&amp;sourceID=14","4.8")</f>
        <v>4.8</v>
      </c>
      <c r="G8282" s="4" t="str">
        <f>HYPERLINK("http://141.218.60.56/~jnz1568/getInfo.php?workbook=12_04.xlsx&amp;sheet=U0&amp;row=8282&amp;col=7&amp;number=0.0676&amp;sourceID=14","0.0676")</f>
        <v>0.0676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HYPERLINK("http://141.218.60.56/~jnz1568/getInfo.php?workbook=12_04.xlsx&amp;sheet=U0&amp;row=8283&amp;col=6&amp;number=4.9&amp;sourceID=14","4.9")</f>
        <v>4.9</v>
      </c>
      <c r="G8283" s="4" t="str">
        <f>HYPERLINK("http://141.218.60.56/~jnz1568/getInfo.php?workbook=12_04.xlsx&amp;sheet=U0&amp;row=8283&amp;col=7&amp;number=0.0661&amp;sourceID=14","0.0661")</f>
        <v>0.0661</v>
      </c>
    </row>
    <row r="8284" spans="1:7">
      <c r="A8284" s="3">
        <v>12</v>
      </c>
      <c r="B8284" s="3">
        <v>4</v>
      </c>
      <c r="C8284" s="3">
        <v>5</v>
      </c>
      <c r="D8284" s="3">
        <v>38</v>
      </c>
      <c r="E8284" s="3">
        <v>1</v>
      </c>
      <c r="F8284" s="4" t="str">
        <f>HYPERLINK("http://141.218.60.56/~jnz1568/getInfo.php?workbook=12_04.xlsx&amp;sheet=U0&amp;row=8284&amp;col=6&amp;number=3&amp;sourceID=14","3")</f>
        <v>3</v>
      </c>
      <c r="G8284" s="4" t="str">
        <f>HYPERLINK("http://141.218.60.56/~jnz1568/getInfo.php?workbook=12_04.xlsx&amp;sheet=U0&amp;row=8284&amp;col=7&amp;number=0.00812&amp;sourceID=14","0.00812")</f>
        <v>0.00812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HYPERLINK("http://141.218.60.56/~jnz1568/getInfo.php?workbook=12_04.xlsx&amp;sheet=U0&amp;row=8285&amp;col=6&amp;number=3.1&amp;sourceID=14","3.1")</f>
        <v>3.1</v>
      </c>
      <c r="G8285" s="4" t="str">
        <f>HYPERLINK("http://141.218.60.56/~jnz1568/getInfo.php?workbook=12_04.xlsx&amp;sheet=U0&amp;row=8285&amp;col=7&amp;number=0.00812&amp;sourceID=14","0.00812")</f>
        <v>0.00812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HYPERLINK("http://141.218.60.56/~jnz1568/getInfo.php?workbook=12_04.xlsx&amp;sheet=U0&amp;row=8286&amp;col=6&amp;number=3.2&amp;sourceID=14","3.2")</f>
        <v>3.2</v>
      </c>
      <c r="G8286" s="4" t="str">
        <f>HYPERLINK("http://141.218.60.56/~jnz1568/getInfo.php?workbook=12_04.xlsx&amp;sheet=U0&amp;row=8286&amp;col=7&amp;number=0.00812&amp;sourceID=14","0.00812")</f>
        <v>0.00812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HYPERLINK("http://141.218.60.56/~jnz1568/getInfo.php?workbook=12_04.xlsx&amp;sheet=U0&amp;row=8287&amp;col=6&amp;number=3.3&amp;sourceID=14","3.3")</f>
        <v>3.3</v>
      </c>
      <c r="G8287" s="4" t="str">
        <f>HYPERLINK("http://141.218.60.56/~jnz1568/getInfo.php?workbook=12_04.xlsx&amp;sheet=U0&amp;row=8287&amp;col=7&amp;number=0.00811&amp;sourceID=14","0.00811")</f>
        <v>0.00811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HYPERLINK("http://141.218.60.56/~jnz1568/getInfo.php?workbook=12_04.xlsx&amp;sheet=U0&amp;row=8288&amp;col=6&amp;number=3.4&amp;sourceID=14","3.4")</f>
        <v>3.4</v>
      </c>
      <c r="G8288" s="4" t="str">
        <f>HYPERLINK("http://141.218.60.56/~jnz1568/getInfo.php?workbook=12_04.xlsx&amp;sheet=U0&amp;row=8288&amp;col=7&amp;number=0.00811&amp;sourceID=14","0.00811")</f>
        <v>0.00811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HYPERLINK("http://141.218.60.56/~jnz1568/getInfo.php?workbook=12_04.xlsx&amp;sheet=U0&amp;row=8289&amp;col=6&amp;number=3.5&amp;sourceID=14","3.5")</f>
        <v>3.5</v>
      </c>
      <c r="G8289" s="4" t="str">
        <f>HYPERLINK("http://141.218.60.56/~jnz1568/getInfo.php?workbook=12_04.xlsx&amp;sheet=U0&amp;row=8289&amp;col=7&amp;number=0.0081&amp;sourceID=14","0.0081")</f>
        <v>0.0081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HYPERLINK("http://141.218.60.56/~jnz1568/getInfo.php?workbook=12_04.xlsx&amp;sheet=U0&amp;row=8290&amp;col=6&amp;number=3.6&amp;sourceID=14","3.6")</f>
        <v>3.6</v>
      </c>
      <c r="G8290" s="4" t="str">
        <f>HYPERLINK("http://141.218.60.56/~jnz1568/getInfo.php?workbook=12_04.xlsx&amp;sheet=U0&amp;row=8290&amp;col=7&amp;number=0.00809&amp;sourceID=14","0.00809")</f>
        <v>0.00809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HYPERLINK("http://141.218.60.56/~jnz1568/getInfo.php?workbook=12_04.xlsx&amp;sheet=U0&amp;row=8291&amp;col=6&amp;number=3.7&amp;sourceID=14","3.7")</f>
        <v>3.7</v>
      </c>
      <c r="G8291" s="4" t="str">
        <f>HYPERLINK("http://141.218.60.56/~jnz1568/getInfo.php?workbook=12_04.xlsx&amp;sheet=U0&amp;row=8291&amp;col=7&amp;number=0.00808&amp;sourceID=14","0.00808")</f>
        <v>0.00808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HYPERLINK("http://141.218.60.56/~jnz1568/getInfo.php?workbook=12_04.xlsx&amp;sheet=U0&amp;row=8292&amp;col=6&amp;number=3.8&amp;sourceID=14","3.8")</f>
        <v>3.8</v>
      </c>
      <c r="G8292" s="4" t="str">
        <f>HYPERLINK("http://141.218.60.56/~jnz1568/getInfo.php?workbook=12_04.xlsx&amp;sheet=U0&amp;row=8292&amp;col=7&amp;number=0.00806&amp;sourceID=14","0.00806")</f>
        <v>0.00806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HYPERLINK("http://141.218.60.56/~jnz1568/getInfo.php?workbook=12_04.xlsx&amp;sheet=U0&amp;row=8293&amp;col=6&amp;number=3.9&amp;sourceID=14","3.9")</f>
        <v>3.9</v>
      </c>
      <c r="G8293" s="4" t="str">
        <f>HYPERLINK("http://141.218.60.56/~jnz1568/getInfo.php?workbook=12_04.xlsx&amp;sheet=U0&amp;row=8293&amp;col=7&amp;number=0.00804&amp;sourceID=14","0.00804")</f>
        <v>0.00804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HYPERLINK("http://141.218.60.56/~jnz1568/getInfo.php?workbook=12_04.xlsx&amp;sheet=U0&amp;row=8294&amp;col=6&amp;number=4&amp;sourceID=14","4")</f>
        <v>4</v>
      </c>
      <c r="G8294" s="4" t="str">
        <f>HYPERLINK("http://141.218.60.56/~jnz1568/getInfo.php?workbook=12_04.xlsx&amp;sheet=U0&amp;row=8294&amp;col=7&amp;number=0.00802&amp;sourceID=14","0.00802")</f>
        <v>0.00802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HYPERLINK("http://141.218.60.56/~jnz1568/getInfo.php?workbook=12_04.xlsx&amp;sheet=U0&amp;row=8295&amp;col=6&amp;number=4.1&amp;sourceID=14","4.1")</f>
        <v>4.1</v>
      </c>
      <c r="G8295" s="4" t="str">
        <f>HYPERLINK("http://141.218.60.56/~jnz1568/getInfo.php?workbook=12_04.xlsx&amp;sheet=U0&amp;row=8295&amp;col=7&amp;number=0.00799&amp;sourceID=14","0.00799")</f>
        <v>0.00799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HYPERLINK("http://141.218.60.56/~jnz1568/getInfo.php?workbook=12_04.xlsx&amp;sheet=U0&amp;row=8296&amp;col=6&amp;number=4.2&amp;sourceID=14","4.2")</f>
        <v>4.2</v>
      </c>
      <c r="G8296" s="4" t="str">
        <f>HYPERLINK("http://141.218.60.56/~jnz1568/getInfo.php?workbook=12_04.xlsx&amp;sheet=U0&amp;row=8296&amp;col=7&amp;number=0.00795&amp;sourceID=14","0.00795")</f>
        <v>0.00795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HYPERLINK("http://141.218.60.56/~jnz1568/getInfo.php?workbook=12_04.xlsx&amp;sheet=U0&amp;row=8297&amp;col=6&amp;number=4.3&amp;sourceID=14","4.3")</f>
        <v>4.3</v>
      </c>
      <c r="G8297" s="4" t="str">
        <f>HYPERLINK("http://141.218.60.56/~jnz1568/getInfo.php?workbook=12_04.xlsx&amp;sheet=U0&amp;row=8297&amp;col=7&amp;number=0.0079&amp;sourceID=14","0.0079")</f>
        <v>0.0079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HYPERLINK("http://141.218.60.56/~jnz1568/getInfo.php?workbook=12_04.xlsx&amp;sheet=U0&amp;row=8298&amp;col=6&amp;number=4.4&amp;sourceID=14","4.4")</f>
        <v>4.4</v>
      </c>
      <c r="G8298" s="4" t="str">
        <f>HYPERLINK("http://141.218.60.56/~jnz1568/getInfo.php?workbook=12_04.xlsx&amp;sheet=U0&amp;row=8298&amp;col=7&amp;number=0.00784&amp;sourceID=14","0.00784")</f>
        <v>0.00784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HYPERLINK("http://141.218.60.56/~jnz1568/getInfo.php?workbook=12_04.xlsx&amp;sheet=U0&amp;row=8299&amp;col=6&amp;number=4.5&amp;sourceID=14","4.5")</f>
        <v>4.5</v>
      </c>
      <c r="G8299" s="4" t="str">
        <f>HYPERLINK("http://141.218.60.56/~jnz1568/getInfo.php?workbook=12_04.xlsx&amp;sheet=U0&amp;row=8299&amp;col=7&amp;number=0.00777&amp;sourceID=14","0.00777")</f>
        <v>0.00777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HYPERLINK("http://141.218.60.56/~jnz1568/getInfo.php?workbook=12_04.xlsx&amp;sheet=U0&amp;row=8300&amp;col=6&amp;number=4.6&amp;sourceID=14","4.6")</f>
        <v>4.6</v>
      </c>
      <c r="G8300" s="4" t="str">
        <f>HYPERLINK("http://141.218.60.56/~jnz1568/getInfo.php?workbook=12_04.xlsx&amp;sheet=U0&amp;row=8300&amp;col=7&amp;number=0.00768&amp;sourceID=14","0.00768")</f>
        <v>0.00768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HYPERLINK("http://141.218.60.56/~jnz1568/getInfo.php?workbook=12_04.xlsx&amp;sheet=U0&amp;row=8301&amp;col=6&amp;number=4.7&amp;sourceID=14","4.7")</f>
        <v>4.7</v>
      </c>
      <c r="G8301" s="4" t="str">
        <f>HYPERLINK("http://141.218.60.56/~jnz1568/getInfo.php?workbook=12_04.xlsx&amp;sheet=U0&amp;row=8301&amp;col=7&amp;number=0.00757&amp;sourceID=14","0.00757")</f>
        <v>0.00757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HYPERLINK("http://141.218.60.56/~jnz1568/getInfo.php?workbook=12_04.xlsx&amp;sheet=U0&amp;row=8302&amp;col=6&amp;number=4.8&amp;sourceID=14","4.8")</f>
        <v>4.8</v>
      </c>
      <c r="G8302" s="4" t="str">
        <f>HYPERLINK("http://141.218.60.56/~jnz1568/getInfo.php?workbook=12_04.xlsx&amp;sheet=U0&amp;row=8302&amp;col=7&amp;number=0.00744&amp;sourceID=14","0.00744")</f>
        <v>0.00744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HYPERLINK("http://141.218.60.56/~jnz1568/getInfo.php?workbook=12_04.xlsx&amp;sheet=U0&amp;row=8303&amp;col=6&amp;number=4.9&amp;sourceID=14","4.9")</f>
        <v>4.9</v>
      </c>
      <c r="G8303" s="4" t="str">
        <f>HYPERLINK("http://141.218.60.56/~jnz1568/getInfo.php?workbook=12_04.xlsx&amp;sheet=U0&amp;row=8303&amp;col=7&amp;number=0.00729&amp;sourceID=14","0.00729")</f>
        <v>0.00729</v>
      </c>
    </row>
    <row r="8304" spans="1:7">
      <c r="A8304" s="3">
        <v>12</v>
      </c>
      <c r="B8304" s="3">
        <v>4</v>
      </c>
      <c r="C8304" s="3">
        <v>5</v>
      </c>
      <c r="D8304" s="3">
        <v>39</v>
      </c>
      <c r="E8304" s="3">
        <v>1</v>
      </c>
      <c r="F8304" s="4" t="str">
        <f>HYPERLINK("http://141.218.60.56/~jnz1568/getInfo.php?workbook=12_04.xlsx&amp;sheet=U0&amp;row=8304&amp;col=6&amp;number=3&amp;sourceID=14","3")</f>
        <v>3</v>
      </c>
      <c r="G8304" s="4" t="str">
        <f>HYPERLINK("http://141.218.60.56/~jnz1568/getInfo.php?workbook=12_04.xlsx&amp;sheet=U0&amp;row=8304&amp;col=7&amp;number=0.0141&amp;sourceID=14","0.0141")</f>
        <v>0.0141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HYPERLINK("http://141.218.60.56/~jnz1568/getInfo.php?workbook=12_04.xlsx&amp;sheet=U0&amp;row=8305&amp;col=6&amp;number=3.1&amp;sourceID=14","3.1")</f>
        <v>3.1</v>
      </c>
      <c r="G8305" s="4" t="str">
        <f>HYPERLINK("http://141.218.60.56/~jnz1568/getInfo.php?workbook=12_04.xlsx&amp;sheet=U0&amp;row=8305&amp;col=7&amp;number=0.0141&amp;sourceID=14","0.0141")</f>
        <v>0.0141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HYPERLINK("http://141.218.60.56/~jnz1568/getInfo.php?workbook=12_04.xlsx&amp;sheet=U0&amp;row=8306&amp;col=6&amp;number=3.2&amp;sourceID=14","3.2")</f>
        <v>3.2</v>
      </c>
      <c r="G8306" s="4" t="str">
        <f>HYPERLINK("http://141.218.60.56/~jnz1568/getInfo.php?workbook=12_04.xlsx&amp;sheet=U0&amp;row=8306&amp;col=7&amp;number=0.0141&amp;sourceID=14","0.0141")</f>
        <v>0.0141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HYPERLINK("http://141.218.60.56/~jnz1568/getInfo.php?workbook=12_04.xlsx&amp;sheet=U0&amp;row=8307&amp;col=6&amp;number=3.3&amp;sourceID=14","3.3")</f>
        <v>3.3</v>
      </c>
      <c r="G8307" s="4" t="str">
        <f>HYPERLINK("http://141.218.60.56/~jnz1568/getInfo.php?workbook=12_04.xlsx&amp;sheet=U0&amp;row=8307&amp;col=7&amp;number=0.014&amp;sourceID=14","0.014")</f>
        <v>0.014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HYPERLINK("http://141.218.60.56/~jnz1568/getInfo.php?workbook=12_04.xlsx&amp;sheet=U0&amp;row=8308&amp;col=6&amp;number=3.4&amp;sourceID=14","3.4")</f>
        <v>3.4</v>
      </c>
      <c r="G8308" s="4" t="str">
        <f>HYPERLINK("http://141.218.60.56/~jnz1568/getInfo.php?workbook=12_04.xlsx&amp;sheet=U0&amp;row=8308&amp;col=7&amp;number=0.014&amp;sourceID=14","0.014")</f>
        <v>0.014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HYPERLINK("http://141.218.60.56/~jnz1568/getInfo.php?workbook=12_04.xlsx&amp;sheet=U0&amp;row=8309&amp;col=6&amp;number=3.5&amp;sourceID=14","3.5")</f>
        <v>3.5</v>
      </c>
      <c r="G8309" s="4" t="str">
        <f>HYPERLINK("http://141.218.60.56/~jnz1568/getInfo.php?workbook=12_04.xlsx&amp;sheet=U0&amp;row=8309&amp;col=7&amp;number=0.014&amp;sourceID=14","0.014")</f>
        <v>0.014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HYPERLINK("http://141.218.60.56/~jnz1568/getInfo.php?workbook=12_04.xlsx&amp;sheet=U0&amp;row=8310&amp;col=6&amp;number=3.6&amp;sourceID=14","3.6")</f>
        <v>3.6</v>
      </c>
      <c r="G8310" s="4" t="str">
        <f>HYPERLINK("http://141.218.60.56/~jnz1568/getInfo.php?workbook=12_04.xlsx&amp;sheet=U0&amp;row=8310&amp;col=7&amp;number=0.014&amp;sourceID=14","0.014")</f>
        <v>0.014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HYPERLINK("http://141.218.60.56/~jnz1568/getInfo.php?workbook=12_04.xlsx&amp;sheet=U0&amp;row=8311&amp;col=6&amp;number=3.7&amp;sourceID=14","3.7")</f>
        <v>3.7</v>
      </c>
      <c r="G8311" s="4" t="str">
        <f>HYPERLINK("http://141.218.60.56/~jnz1568/getInfo.php?workbook=12_04.xlsx&amp;sheet=U0&amp;row=8311&amp;col=7&amp;number=0.014&amp;sourceID=14","0.014")</f>
        <v>0.014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HYPERLINK("http://141.218.60.56/~jnz1568/getInfo.php?workbook=12_04.xlsx&amp;sheet=U0&amp;row=8312&amp;col=6&amp;number=3.8&amp;sourceID=14","3.8")</f>
        <v>3.8</v>
      </c>
      <c r="G8312" s="4" t="str">
        <f>HYPERLINK("http://141.218.60.56/~jnz1568/getInfo.php?workbook=12_04.xlsx&amp;sheet=U0&amp;row=8312&amp;col=7&amp;number=0.0139&amp;sourceID=14","0.0139")</f>
        <v>0.0139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HYPERLINK("http://141.218.60.56/~jnz1568/getInfo.php?workbook=12_04.xlsx&amp;sheet=U0&amp;row=8313&amp;col=6&amp;number=3.9&amp;sourceID=14","3.9")</f>
        <v>3.9</v>
      </c>
      <c r="G8313" s="4" t="str">
        <f>HYPERLINK("http://141.218.60.56/~jnz1568/getInfo.php?workbook=12_04.xlsx&amp;sheet=U0&amp;row=8313&amp;col=7&amp;number=0.0139&amp;sourceID=14","0.0139")</f>
        <v>0.0139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HYPERLINK("http://141.218.60.56/~jnz1568/getInfo.php?workbook=12_04.xlsx&amp;sheet=U0&amp;row=8314&amp;col=6&amp;number=4&amp;sourceID=14","4")</f>
        <v>4</v>
      </c>
      <c r="G8314" s="4" t="str">
        <f>HYPERLINK("http://141.218.60.56/~jnz1568/getInfo.php?workbook=12_04.xlsx&amp;sheet=U0&amp;row=8314&amp;col=7&amp;number=0.0139&amp;sourceID=14","0.0139")</f>
        <v>0.0139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HYPERLINK("http://141.218.60.56/~jnz1568/getInfo.php?workbook=12_04.xlsx&amp;sheet=U0&amp;row=8315&amp;col=6&amp;number=4.1&amp;sourceID=14","4.1")</f>
        <v>4.1</v>
      </c>
      <c r="G8315" s="4" t="str">
        <f>HYPERLINK("http://141.218.60.56/~jnz1568/getInfo.php?workbook=12_04.xlsx&amp;sheet=U0&amp;row=8315&amp;col=7&amp;number=0.0138&amp;sourceID=14","0.0138")</f>
        <v>0.0138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HYPERLINK("http://141.218.60.56/~jnz1568/getInfo.php?workbook=12_04.xlsx&amp;sheet=U0&amp;row=8316&amp;col=6&amp;number=4.2&amp;sourceID=14","4.2")</f>
        <v>4.2</v>
      </c>
      <c r="G8316" s="4" t="str">
        <f>HYPERLINK("http://141.218.60.56/~jnz1568/getInfo.php?workbook=12_04.xlsx&amp;sheet=U0&amp;row=8316&amp;col=7&amp;number=0.0137&amp;sourceID=14","0.0137")</f>
        <v>0.0137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HYPERLINK("http://141.218.60.56/~jnz1568/getInfo.php?workbook=12_04.xlsx&amp;sheet=U0&amp;row=8317&amp;col=6&amp;number=4.3&amp;sourceID=14","4.3")</f>
        <v>4.3</v>
      </c>
      <c r="G8317" s="4" t="str">
        <f>HYPERLINK("http://141.218.60.56/~jnz1568/getInfo.php?workbook=12_04.xlsx&amp;sheet=U0&amp;row=8317&amp;col=7&amp;number=0.0136&amp;sourceID=14","0.0136")</f>
        <v>0.0136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HYPERLINK("http://141.218.60.56/~jnz1568/getInfo.php?workbook=12_04.xlsx&amp;sheet=U0&amp;row=8318&amp;col=6&amp;number=4.4&amp;sourceID=14","4.4")</f>
        <v>4.4</v>
      </c>
      <c r="G8318" s="4" t="str">
        <f>HYPERLINK("http://141.218.60.56/~jnz1568/getInfo.php?workbook=12_04.xlsx&amp;sheet=U0&amp;row=8318&amp;col=7&amp;number=0.0135&amp;sourceID=14","0.0135")</f>
        <v>0.0135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HYPERLINK("http://141.218.60.56/~jnz1568/getInfo.php?workbook=12_04.xlsx&amp;sheet=U0&amp;row=8319&amp;col=6&amp;number=4.5&amp;sourceID=14","4.5")</f>
        <v>4.5</v>
      </c>
      <c r="G8319" s="4" t="str">
        <f>HYPERLINK("http://141.218.60.56/~jnz1568/getInfo.php?workbook=12_04.xlsx&amp;sheet=U0&amp;row=8319&amp;col=7&amp;number=0.0134&amp;sourceID=14","0.0134")</f>
        <v>0.0134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HYPERLINK("http://141.218.60.56/~jnz1568/getInfo.php?workbook=12_04.xlsx&amp;sheet=U0&amp;row=8320&amp;col=6&amp;number=4.6&amp;sourceID=14","4.6")</f>
        <v>4.6</v>
      </c>
      <c r="G8320" s="4" t="str">
        <f>HYPERLINK("http://141.218.60.56/~jnz1568/getInfo.php?workbook=12_04.xlsx&amp;sheet=U0&amp;row=8320&amp;col=7&amp;number=0.0132&amp;sourceID=14","0.0132")</f>
        <v>0.0132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HYPERLINK("http://141.218.60.56/~jnz1568/getInfo.php?workbook=12_04.xlsx&amp;sheet=U0&amp;row=8321&amp;col=6&amp;number=4.7&amp;sourceID=14","4.7")</f>
        <v>4.7</v>
      </c>
      <c r="G8321" s="4" t="str">
        <f>HYPERLINK("http://141.218.60.56/~jnz1568/getInfo.php?workbook=12_04.xlsx&amp;sheet=U0&amp;row=8321&amp;col=7&amp;number=0.013&amp;sourceID=14","0.013")</f>
        <v>0.013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HYPERLINK("http://141.218.60.56/~jnz1568/getInfo.php?workbook=12_04.xlsx&amp;sheet=U0&amp;row=8322&amp;col=6&amp;number=4.8&amp;sourceID=14","4.8")</f>
        <v>4.8</v>
      </c>
      <c r="G8322" s="4" t="str">
        <f>HYPERLINK("http://141.218.60.56/~jnz1568/getInfo.php?workbook=12_04.xlsx&amp;sheet=U0&amp;row=8322&amp;col=7&amp;number=0.0127&amp;sourceID=14","0.0127")</f>
        <v>0.0127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HYPERLINK("http://141.218.60.56/~jnz1568/getInfo.php?workbook=12_04.xlsx&amp;sheet=U0&amp;row=8323&amp;col=6&amp;number=4.9&amp;sourceID=14","4.9")</f>
        <v>4.9</v>
      </c>
      <c r="G8323" s="4" t="str">
        <f>HYPERLINK("http://141.218.60.56/~jnz1568/getInfo.php?workbook=12_04.xlsx&amp;sheet=U0&amp;row=8323&amp;col=7&amp;number=0.0124&amp;sourceID=14","0.0124")</f>
        <v>0.0124</v>
      </c>
    </row>
    <row r="8324" spans="1:7">
      <c r="A8324" s="3">
        <v>12</v>
      </c>
      <c r="B8324" s="3">
        <v>4</v>
      </c>
      <c r="C8324" s="3">
        <v>5</v>
      </c>
      <c r="D8324" s="3">
        <v>40</v>
      </c>
      <c r="E8324" s="3">
        <v>1</v>
      </c>
      <c r="F8324" s="4" t="str">
        <f>HYPERLINK("http://141.218.60.56/~jnz1568/getInfo.php?workbook=12_04.xlsx&amp;sheet=U0&amp;row=8324&amp;col=6&amp;number=3&amp;sourceID=14","3")</f>
        <v>3</v>
      </c>
      <c r="G8324" s="4" t="str">
        <f>HYPERLINK("http://141.218.60.56/~jnz1568/getInfo.php?workbook=12_04.xlsx&amp;sheet=U0&amp;row=8324&amp;col=7&amp;number=0.0186&amp;sourceID=14","0.0186")</f>
        <v>0.0186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HYPERLINK("http://141.218.60.56/~jnz1568/getInfo.php?workbook=12_04.xlsx&amp;sheet=U0&amp;row=8325&amp;col=6&amp;number=3.1&amp;sourceID=14","3.1")</f>
        <v>3.1</v>
      </c>
      <c r="G8325" s="4" t="str">
        <f>HYPERLINK("http://141.218.60.56/~jnz1568/getInfo.php?workbook=12_04.xlsx&amp;sheet=U0&amp;row=8325&amp;col=7&amp;number=0.0186&amp;sourceID=14","0.0186")</f>
        <v>0.0186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HYPERLINK("http://141.218.60.56/~jnz1568/getInfo.php?workbook=12_04.xlsx&amp;sheet=U0&amp;row=8326&amp;col=6&amp;number=3.2&amp;sourceID=14","3.2")</f>
        <v>3.2</v>
      </c>
      <c r="G8326" s="4" t="str">
        <f>HYPERLINK("http://141.218.60.56/~jnz1568/getInfo.php?workbook=12_04.xlsx&amp;sheet=U0&amp;row=8326&amp;col=7&amp;number=0.0185&amp;sourceID=14","0.0185")</f>
        <v>0.0185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HYPERLINK("http://141.218.60.56/~jnz1568/getInfo.php?workbook=12_04.xlsx&amp;sheet=U0&amp;row=8327&amp;col=6&amp;number=3.3&amp;sourceID=14","3.3")</f>
        <v>3.3</v>
      </c>
      <c r="G8327" s="4" t="str">
        <f>HYPERLINK("http://141.218.60.56/~jnz1568/getInfo.php?workbook=12_04.xlsx&amp;sheet=U0&amp;row=8327&amp;col=7&amp;number=0.0185&amp;sourceID=14","0.0185")</f>
        <v>0.0185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HYPERLINK("http://141.218.60.56/~jnz1568/getInfo.php?workbook=12_04.xlsx&amp;sheet=U0&amp;row=8328&amp;col=6&amp;number=3.4&amp;sourceID=14","3.4")</f>
        <v>3.4</v>
      </c>
      <c r="G8328" s="4" t="str">
        <f>HYPERLINK("http://141.218.60.56/~jnz1568/getInfo.php?workbook=12_04.xlsx&amp;sheet=U0&amp;row=8328&amp;col=7&amp;number=0.0185&amp;sourceID=14","0.0185")</f>
        <v>0.0185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HYPERLINK("http://141.218.60.56/~jnz1568/getInfo.php?workbook=12_04.xlsx&amp;sheet=U0&amp;row=8329&amp;col=6&amp;number=3.5&amp;sourceID=14","3.5")</f>
        <v>3.5</v>
      </c>
      <c r="G8329" s="4" t="str">
        <f>HYPERLINK("http://141.218.60.56/~jnz1568/getInfo.php?workbook=12_04.xlsx&amp;sheet=U0&amp;row=8329&amp;col=7&amp;number=0.0185&amp;sourceID=14","0.0185")</f>
        <v>0.0185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HYPERLINK("http://141.218.60.56/~jnz1568/getInfo.php?workbook=12_04.xlsx&amp;sheet=U0&amp;row=8330&amp;col=6&amp;number=3.6&amp;sourceID=14","3.6")</f>
        <v>3.6</v>
      </c>
      <c r="G8330" s="4" t="str">
        <f>HYPERLINK("http://141.218.60.56/~jnz1568/getInfo.php?workbook=12_04.xlsx&amp;sheet=U0&amp;row=8330&amp;col=7&amp;number=0.0185&amp;sourceID=14","0.0185")</f>
        <v>0.0185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HYPERLINK("http://141.218.60.56/~jnz1568/getInfo.php?workbook=12_04.xlsx&amp;sheet=U0&amp;row=8331&amp;col=6&amp;number=3.7&amp;sourceID=14","3.7")</f>
        <v>3.7</v>
      </c>
      <c r="G8331" s="4" t="str">
        <f>HYPERLINK("http://141.218.60.56/~jnz1568/getInfo.php?workbook=12_04.xlsx&amp;sheet=U0&amp;row=8331&amp;col=7&amp;number=0.0184&amp;sourceID=14","0.0184")</f>
        <v>0.0184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HYPERLINK("http://141.218.60.56/~jnz1568/getInfo.php?workbook=12_04.xlsx&amp;sheet=U0&amp;row=8332&amp;col=6&amp;number=3.8&amp;sourceID=14","3.8")</f>
        <v>3.8</v>
      </c>
      <c r="G8332" s="4" t="str">
        <f>HYPERLINK("http://141.218.60.56/~jnz1568/getInfo.php?workbook=12_04.xlsx&amp;sheet=U0&amp;row=8332&amp;col=7&amp;number=0.0184&amp;sourceID=14","0.0184")</f>
        <v>0.0184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HYPERLINK("http://141.218.60.56/~jnz1568/getInfo.php?workbook=12_04.xlsx&amp;sheet=U0&amp;row=8333&amp;col=6&amp;number=3.9&amp;sourceID=14","3.9")</f>
        <v>3.9</v>
      </c>
      <c r="G8333" s="4" t="str">
        <f>HYPERLINK("http://141.218.60.56/~jnz1568/getInfo.php?workbook=12_04.xlsx&amp;sheet=U0&amp;row=8333&amp;col=7&amp;number=0.0184&amp;sourceID=14","0.0184")</f>
        <v>0.0184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HYPERLINK("http://141.218.60.56/~jnz1568/getInfo.php?workbook=12_04.xlsx&amp;sheet=U0&amp;row=8334&amp;col=6&amp;number=4&amp;sourceID=14","4")</f>
        <v>4</v>
      </c>
      <c r="G8334" s="4" t="str">
        <f>HYPERLINK("http://141.218.60.56/~jnz1568/getInfo.php?workbook=12_04.xlsx&amp;sheet=U0&amp;row=8334&amp;col=7&amp;number=0.0183&amp;sourceID=14","0.0183")</f>
        <v>0.0183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HYPERLINK("http://141.218.60.56/~jnz1568/getInfo.php?workbook=12_04.xlsx&amp;sheet=U0&amp;row=8335&amp;col=6&amp;number=4.1&amp;sourceID=14","4.1")</f>
        <v>4.1</v>
      </c>
      <c r="G8335" s="4" t="str">
        <f>HYPERLINK("http://141.218.60.56/~jnz1568/getInfo.php?workbook=12_04.xlsx&amp;sheet=U0&amp;row=8335&amp;col=7&amp;number=0.0182&amp;sourceID=14","0.0182")</f>
        <v>0.0182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HYPERLINK("http://141.218.60.56/~jnz1568/getInfo.php?workbook=12_04.xlsx&amp;sheet=U0&amp;row=8336&amp;col=6&amp;number=4.2&amp;sourceID=14","4.2")</f>
        <v>4.2</v>
      </c>
      <c r="G8336" s="4" t="str">
        <f>HYPERLINK("http://141.218.60.56/~jnz1568/getInfo.php?workbook=12_04.xlsx&amp;sheet=U0&amp;row=8336&amp;col=7&amp;number=0.0181&amp;sourceID=14","0.0181")</f>
        <v>0.0181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HYPERLINK("http://141.218.60.56/~jnz1568/getInfo.php?workbook=12_04.xlsx&amp;sheet=U0&amp;row=8337&amp;col=6&amp;number=4.3&amp;sourceID=14","4.3")</f>
        <v>4.3</v>
      </c>
      <c r="G8337" s="4" t="str">
        <f>HYPERLINK("http://141.218.60.56/~jnz1568/getInfo.php?workbook=12_04.xlsx&amp;sheet=U0&amp;row=8337&amp;col=7&amp;number=0.018&amp;sourceID=14","0.018")</f>
        <v>0.018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HYPERLINK("http://141.218.60.56/~jnz1568/getInfo.php?workbook=12_04.xlsx&amp;sheet=U0&amp;row=8338&amp;col=6&amp;number=4.4&amp;sourceID=14","4.4")</f>
        <v>4.4</v>
      </c>
      <c r="G8338" s="4" t="str">
        <f>HYPERLINK("http://141.218.60.56/~jnz1568/getInfo.php?workbook=12_04.xlsx&amp;sheet=U0&amp;row=8338&amp;col=7&amp;number=0.0179&amp;sourceID=14","0.0179")</f>
        <v>0.0179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HYPERLINK("http://141.218.60.56/~jnz1568/getInfo.php?workbook=12_04.xlsx&amp;sheet=U0&amp;row=8339&amp;col=6&amp;number=4.5&amp;sourceID=14","4.5")</f>
        <v>4.5</v>
      </c>
      <c r="G8339" s="4" t="str">
        <f>HYPERLINK("http://141.218.60.56/~jnz1568/getInfo.php?workbook=12_04.xlsx&amp;sheet=U0&amp;row=8339&amp;col=7&amp;number=0.0177&amp;sourceID=14","0.0177")</f>
        <v>0.0177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HYPERLINK("http://141.218.60.56/~jnz1568/getInfo.php?workbook=12_04.xlsx&amp;sheet=U0&amp;row=8340&amp;col=6&amp;number=4.6&amp;sourceID=14","4.6")</f>
        <v>4.6</v>
      </c>
      <c r="G8340" s="4" t="str">
        <f>HYPERLINK("http://141.218.60.56/~jnz1568/getInfo.php?workbook=12_04.xlsx&amp;sheet=U0&amp;row=8340&amp;col=7&amp;number=0.0175&amp;sourceID=14","0.0175")</f>
        <v>0.0175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HYPERLINK("http://141.218.60.56/~jnz1568/getInfo.php?workbook=12_04.xlsx&amp;sheet=U0&amp;row=8341&amp;col=6&amp;number=4.7&amp;sourceID=14","4.7")</f>
        <v>4.7</v>
      </c>
      <c r="G8341" s="4" t="str">
        <f>HYPERLINK("http://141.218.60.56/~jnz1568/getInfo.php?workbook=12_04.xlsx&amp;sheet=U0&amp;row=8341&amp;col=7&amp;number=0.0173&amp;sourceID=14","0.0173")</f>
        <v>0.0173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HYPERLINK("http://141.218.60.56/~jnz1568/getInfo.php?workbook=12_04.xlsx&amp;sheet=U0&amp;row=8342&amp;col=6&amp;number=4.8&amp;sourceID=14","4.8")</f>
        <v>4.8</v>
      </c>
      <c r="G8342" s="4" t="str">
        <f>HYPERLINK("http://141.218.60.56/~jnz1568/getInfo.php?workbook=12_04.xlsx&amp;sheet=U0&amp;row=8342&amp;col=7&amp;number=0.0169&amp;sourceID=14","0.0169")</f>
        <v>0.0169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HYPERLINK("http://141.218.60.56/~jnz1568/getInfo.php?workbook=12_04.xlsx&amp;sheet=U0&amp;row=8343&amp;col=6&amp;number=4.9&amp;sourceID=14","4.9")</f>
        <v>4.9</v>
      </c>
      <c r="G8343" s="4" t="str">
        <f>HYPERLINK("http://141.218.60.56/~jnz1568/getInfo.php?workbook=12_04.xlsx&amp;sheet=U0&amp;row=8343&amp;col=7&amp;number=0.0166&amp;sourceID=14","0.0166")</f>
        <v>0.0166</v>
      </c>
    </row>
    <row r="8344" spans="1:7">
      <c r="A8344" s="3">
        <v>12</v>
      </c>
      <c r="B8344" s="3">
        <v>4</v>
      </c>
      <c r="C8344" s="3">
        <v>5</v>
      </c>
      <c r="D8344" s="3">
        <v>41</v>
      </c>
      <c r="E8344" s="3">
        <v>1</v>
      </c>
      <c r="F8344" s="4" t="str">
        <f>HYPERLINK("http://141.218.60.56/~jnz1568/getInfo.php?workbook=12_04.xlsx&amp;sheet=U0&amp;row=8344&amp;col=6&amp;number=3&amp;sourceID=14","3")</f>
        <v>3</v>
      </c>
      <c r="G8344" s="4" t="str">
        <f>HYPERLINK("http://141.218.60.56/~jnz1568/getInfo.php?workbook=12_04.xlsx&amp;sheet=U0&amp;row=8344&amp;col=7&amp;number=0.0126&amp;sourceID=14","0.0126")</f>
        <v>0.0126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HYPERLINK("http://141.218.60.56/~jnz1568/getInfo.php?workbook=12_04.xlsx&amp;sheet=U0&amp;row=8345&amp;col=6&amp;number=3.1&amp;sourceID=14","3.1")</f>
        <v>3.1</v>
      </c>
      <c r="G8345" s="4" t="str">
        <f>HYPERLINK("http://141.218.60.56/~jnz1568/getInfo.php?workbook=12_04.xlsx&amp;sheet=U0&amp;row=8345&amp;col=7&amp;number=0.0126&amp;sourceID=14","0.0126")</f>
        <v>0.0126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HYPERLINK("http://141.218.60.56/~jnz1568/getInfo.php?workbook=12_04.xlsx&amp;sheet=U0&amp;row=8346&amp;col=6&amp;number=3.2&amp;sourceID=14","3.2")</f>
        <v>3.2</v>
      </c>
      <c r="G8346" s="4" t="str">
        <f>HYPERLINK("http://141.218.60.56/~jnz1568/getInfo.php?workbook=12_04.xlsx&amp;sheet=U0&amp;row=8346&amp;col=7&amp;number=0.0126&amp;sourceID=14","0.0126")</f>
        <v>0.0126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HYPERLINK("http://141.218.60.56/~jnz1568/getInfo.php?workbook=12_04.xlsx&amp;sheet=U0&amp;row=8347&amp;col=6&amp;number=3.3&amp;sourceID=14","3.3")</f>
        <v>3.3</v>
      </c>
      <c r="G8347" s="4" t="str">
        <f>HYPERLINK("http://141.218.60.56/~jnz1568/getInfo.php?workbook=12_04.xlsx&amp;sheet=U0&amp;row=8347&amp;col=7&amp;number=0.0126&amp;sourceID=14","0.0126")</f>
        <v>0.0126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HYPERLINK("http://141.218.60.56/~jnz1568/getInfo.php?workbook=12_04.xlsx&amp;sheet=U0&amp;row=8348&amp;col=6&amp;number=3.4&amp;sourceID=14","3.4")</f>
        <v>3.4</v>
      </c>
      <c r="G8348" s="4" t="str">
        <f>HYPERLINK("http://141.218.60.56/~jnz1568/getInfo.php?workbook=12_04.xlsx&amp;sheet=U0&amp;row=8348&amp;col=7&amp;number=0.0126&amp;sourceID=14","0.0126")</f>
        <v>0.0126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HYPERLINK("http://141.218.60.56/~jnz1568/getInfo.php?workbook=12_04.xlsx&amp;sheet=U0&amp;row=8349&amp;col=6&amp;number=3.5&amp;sourceID=14","3.5")</f>
        <v>3.5</v>
      </c>
      <c r="G8349" s="4" t="str">
        <f>HYPERLINK("http://141.218.60.56/~jnz1568/getInfo.php?workbook=12_04.xlsx&amp;sheet=U0&amp;row=8349&amp;col=7&amp;number=0.0126&amp;sourceID=14","0.0126")</f>
        <v>0.0126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HYPERLINK("http://141.218.60.56/~jnz1568/getInfo.php?workbook=12_04.xlsx&amp;sheet=U0&amp;row=8350&amp;col=6&amp;number=3.6&amp;sourceID=14","3.6")</f>
        <v>3.6</v>
      </c>
      <c r="G8350" s="4" t="str">
        <f>HYPERLINK("http://141.218.60.56/~jnz1568/getInfo.php?workbook=12_04.xlsx&amp;sheet=U0&amp;row=8350&amp;col=7&amp;number=0.0126&amp;sourceID=14","0.0126")</f>
        <v>0.0126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HYPERLINK("http://141.218.60.56/~jnz1568/getInfo.php?workbook=12_04.xlsx&amp;sheet=U0&amp;row=8351&amp;col=6&amp;number=3.7&amp;sourceID=14","3.7")</f>
        <v>3.7</v>
      </c>
      <c r="G8351" s="4" t="str">
        <f>HYPERLINK("http://141.218.60.56/~jnz1568/getInfo.php?workbook=12_04.xlsx&amp;sheet=U0&amp;row=8351&amp;col=7&amp;number=0.0126&amp;sourceID=14","0.0126")</f>
        <v>0.0126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HYPERLINK("http://141.218.60.56/~jnz1568/getInfo.php?workbook=12_04.xlsx&amp;sheet=U0&amp;row=8352&amp;col=6&amp;number=3.8&amp;sourceID=14","3.8")</f>
        <v>3.8</v>
      </c>
      <c r="G8352" s="4" t="str">
        <f>HYPERLINK("http://141.218.60.56/~jnz1568/getInfo.php?workbook=12_04.xlsx&amp;sheet=U0&amp;row=8352&amp;col=7&amp;number=0.0125&amp;sourceID=14","0.0125")</f>
        <v>0.0125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HYPERLINK("http://141.218.60.56/~jnz1568/getInfo.php?workbook=12_04.xlsx&amp;sheet=U0&amp;row=8353&amp;col=6&amp;number=3.9&amp;sourceID=14","3.9")</f>
        <v>3.9</v>
      </c>
      <c r="G8353" s="4" t="str">
        <f>HYPERLINK("http://141.218.60.56/~jnz1568/getInfo.php?workbook=12_04.xlsx&amp;sheet=U0&amp;row=8353&amp;col=7&amp;number=0.0125&amp;sourceID=14","0.0125")</f>
        <v>0.0125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HYPERLINK("http://141.218.60.56/~jnz1568/getInfo.php?workbook=12_04.xlsx&amp;sheet=U0&amp;row=8354&amp;col=6&amp;number=4&amp;sourceID=14","4")</f>
        <v>4</v>
      </c>
      <c r="G8354" s="4" t="str">
        <f>HYPERLINK("http://141.218.60.56/~jnz1568/getInfo.php?workbook=12_04.xlsx&amp;sheet=U0&amp;row=8354&amp;col=7&amp;number=0.0125&amp;sourceID=14","0.0125")</f>
        <v>0.0125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HYPERLINK("http://141.218.60.56/~jnz1568/getInfo.php?workbook=12_04.xlsx&amp;sheet=U0&amp;row=8355&amp;col=6&amp;number=4.1&amp;sourceID=14","4.1")</f>
        <v>4.1</v>
      </c>
      <c r="G8355" s="4" t="str">
        <f>HYPERLINK("http://141.218.60.56/~jnz1568/getInfo.php?workbook=12_04.xlsx&amp;sheet=U0&amp;row=8355&amp;col=7&amp;number=0.0125&amp;sourceID=14","0.0125")</f>
        <v>0.0125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HYPERLINK("http://141.218.60.56/~jnz1568/getInfo.php?workbook=12_04.xlsx&amp;sheet=U0&amp;row=8356&amp;col=6&amp;number=4.2&amp;sourceID=14","4.2")</f>
        <v>4.2</v>
      </c>
      <c r="G8356" s="4" t="str">
        <f>HYPERLINK("http://141.218.60.56/~jnz1568/getInfo.php?workbook=12_04.xlsx&amp;sheet=U0&amp;row=8356&amp;col=7&amp;number=0.0125&amp;sourceID=14","0.0125")</f>
        <v>0.0125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HYPERLINK("http://141.218.60.56/~jnz1568/getInfo.php?workbook=12_04.xlsx&amp;sheet=U0&amp;row=8357&amp;col=6&amp;number=4.3&amp;sourceID=14","4.3")</f>
        <v>4.3</v>
      </c>
      <c r="G8357" s="4" t="str">
        <f>HYPERLINK("http://141.218.60.56/~jnz1568/getInfo.php?workbook=12_04.xlsx&amp;sheet=U0&amp;row=8357&amp;col=7&amp;number=0.0124&amp;sourceID=14","0.0124")</f>
        <v>0.0124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HYPERLINK("http://141.218.60.56/~jnz1568/getInfo.php?workbook=12_04.xlsx&amp;sheet=U0&amp;row=8358&amp;col=6&amp;number=4.4&amp;sourceID=14","4.4")</f>
        <v>4.4</v>
      </c>
      <c r="G8358" s="4" t="str">
        <f>HYPERLINK("http://141.218.60.56/~jnz1568/getInfo.php?workbook=12_04.xlsx&amp;sheet=U0&amp;row=8358&amp;col=7&amp;number=0.0124&amp;sourceID=14","0.0124")</f>
        <v>0.0124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HYPERLINK("http://141.218.60.56/~jnz1568/getInfo.php?workbook=12_04.xlsx&amp;sheet=U0&amp;row=8359&amp;col=6&amp;number=4.5&amp;sourceID=14","4.5")</f>
        <v>4.5</v>
      </c>
      <c r="G8359" s="4" t="str">
        <f>HYPERLINK("http://141.218.60.56/~jnz1568/getInfo.php?workbook=12_04.xlsx&amp;sheet=U0&amp;row=8359&amp;col=7&amp;number=0.0123&amp;sourceID=14","0.0123")</f>
        <v>0.0123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HYPERLINK("http://141.218.60.56/~jnz1568/getInfo.php?workbook=12_04.xlsx&amp;sheet=U0&amp;row=8360&amp;col=6&amp;number=4.6&amp;sourceID=14","4.6")</f>
        <v>4.6</v>
      </c>
      <c r="G8360" s="4" t="str">
        <f>HYPERLINK("http://141.218.60.56/~jnz1568/getInfo.php?workbook=12_04.xlsx&amp;sheet=U0&amp;row=8360&amp;col=7&amp;number=0.0122&amp;sourceID=14","0.0122")</f>
        <v>0.0122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HYPERLINK("http://141.218.60.56/~jnz1568/getInfo.php?workbook=12_04.xlsx&amp;sheet=U0&amp;row=8361&amp;col=6&amp;number=4.7&amp;sourceID=14","4.7")</f>
        <v>4.7</v>
      </c>
      <c r="G8361" s="4" t="str">
        <f>HYPERLINK("http://141.218.60.56/~jnz1568/getInfo.php?workbook=12_04.xlsx&amp;sheet=U0&amp;row=8361&amp;col=7&amp;number=0.0122&amp;sourceID=14","0.0122")</f>
        <v>0.0122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HYPERLINK("http://141.218.60.56/~jnz1568/getInfo.php?workbook=12_04.xlsx&amp;sheet=U0&amp;row=8362&amp;col=6&amp;number=4.8&amp;sourceID=14","4.8")</f>
        <v>4.8</v>
      </c>
      <c r="G8362" s="4" t="str">
        <f>HYPERLINK("http://141.218.60.56/~jnz1568/getInfo.php?workbook=12_04.xlsx&amp;sheet=U0&amp;row=8362&amp;col=7&amp;number=0.0121&amp;sourceID=14","0.0121")</f>
        <v>0.0121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HYPERLINK("http://141.218.60.56/~jnz1568/getInfo.php?workbook=12_04.xlsx&amp;sheet=U0&amp;row=8363&amp;col=6&amp;number=4.9&amp;sourceID=14","4.9")</f>
        <v>4.9</v>
      </c>
      <c r="G8363" s="4" t="str">
        <f>HYPERLINK("http://141.218.60.56/~jnz1568/getInfo.php?workbook=12_04.xlsx&amp;sheet=U0&amp;row=8363&amp;col=7&amp;number=0.0119&amp;sourceID=14","0.0119")</f>
        <v>0.0119</v>
      </c>
    </row>
    <row r="8364" spans="1:7">
      <c r="A8364" s="3">
        <v>12</v>
      </c>
      <c r="B8364" s="3">
        <v>4</v>
      </c>
      <c r="C8364" s="3">
        <v>5</v>
      </c>
      <c r="D8364" s="3">
        <v>42</v>
      </c>
      <c r="E8364" s="3">
        <v>1</v>
      </c>
      <c r="F8364" s="4" t="str">
        <f>HYPERLINK("http://141.218.60.56/~jnz1568/getInfo.php?workbook=12_04.xlsx&amp;sheet=U0&amp;row=8364&amp;col=6&amp;number=3&amp;sourceID=14","3")</f>
        <v>3</v>
      </c>
      <c r="G8364" s="4" t="str">
        <f>HYPERLINK("http://141.218.60.56/~jnz1568/getInfo.php?workbook=12_04.xlsx&amp;sheet=U0&amp;row=8364&amp;col=7&amp;number=0.00766&amp;sourceID=14","0.00766")</f>
        <v>0.00766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HYPERLINK("http://141.218.60.56/~jnz1568/getInfo.php?workbook=12_04.xlsx&amp;sheet=U0&amp;row=8365&amp;col=6&amp;number=3.1&amp;sourceID=14","3.1")</f>
        <v>3.1</v>
      </c>
      <c r="G8365" s="4" t="str">
        <f>HYPERLINK("http://141.218.60.56/~jnz1568/getInfo.php?workbook=12_04.xlsx&amp;sheet=U0&amp;row=8365&amp;col=7&amp;number=0.00766&amp;sourceID=14","0.00766")</f>
        <v>0.00766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HYPERLINK("http://141.218.60.56/~jnz1568/getInfo.php?workbook=12_04.xlsx&amp;sheet=U0&amp;row=8366&amp;col=6&amp;number=3.2&amp;sourceID=14","3.2")</f>
        <v>3.2</v>
      </c>
      <c r="G8366" s="4" t="str">
        <f>HYPERLINK("http://141.218.60.56/~jnz1568/getInfo.php?workbook=12_04.xlsx&amp;sheet=U0&amp;row=8366&amp;col=7&amp;number=0.00766&amp;sourceID=14","0.00766")</f>
        <v>0.00766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HYPERLINK("http://141.218.60.56/~jnz1568/getInfo.php?workbook=12_04.xlsx&amp;sheet=U0&amp;row=8367&amp;col=6&amp;number=3.3&amp;sourceID=14","3.3")</f>
        <v>3.3</v>
      </c>
      <c r="G8367" s="4" t="str">
        <f>HYPERLINK("http://141.218.60.56/~jnz1568/getInfo.php?workbook=12_04.xlsx&amp;sheet=U0&amp;row=8367&amp;col=7&amp;number=0.00765&amp;sourceID=14","0.00765")</f>
        <v>0.00765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HYPERLINK("http://141.218.60.56/~jnz1568/getInfo.php?workbook=12_04.xlsx&amp;sheet=U0&amp;row=8368&amp;col=6&amp;number=3.4&amp;sourceID=14","3.4")</f>
        <v>3.4</v>
      </c>
      <c r="G8368" s="4" t="str">
        <f>HYPERLINK("http://141.218.60.56/~jnz1568/getInfo.php?workbook=12_04.xlsx&amp;sheet=U0&amp;row=8368&amp;col=7&amp;number=0.00765&amp;sourceID=14","0.00765")</f>
        <v>0.00765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HYPERLINK("http://141.218.60.56/~jnz1568/getInfo.php?workbook=12_04.xlsx&amp;sheet=U0&amp;row=8369&amp;col=6&amp;number=3.5&amp;sourceID=14","3.5")</f>
        <v>3.5</v>
      </c>
      <c r="G8369" s="4" t="str">
        <f>HYPERLINK("http://141.218.60.56/~jnz1568/getInfo.php?workbook=12_04.xlsx&amp;sheet=U0&amp;row=8369&amp;col=7&amp;number=0.00765&amp;sourceID=14","0.00765")</f>
        <v>0.00765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HYPERLINK("http://141.218.60.56/~jnz1568/getInfo.php?workbook=12_04.xlsx&amp;sheet=U0&amp;row=8370&amp;col=6&amp;number=3.6&amp;sourceID=14","3.6")</f>
        <v>3.6</v>
      </c>
      <c r="G8370" s="4" t="str">
        <f>HYPERLINK("http://141.218.60.56/~jnz1568/getInfo.php?workbook=12_04.xlsx&amp;sheet=U0&amp;row=8370&amp;col=7&amp;number=0.00764&amp;sourceID=14","0.00764")</f>
        <v>0.00764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HYPERLINK("http://141.218.60.56/~jnz1568/getInfo.php?workbook=12_04.xlsx&amp;sheet=U0&amp;row=8371&amp;col=6&amp;number=3.7&amp;sourceID=14","3.7")</f>
        <v>3.7</v>
      </c>
      <c r="G8371" s="4" t="str">
        <f>HYPERLINK("http://141.218.60.56/~jnz1568/getInfo.php?workbook=12_04.xlsx&amp;sheet=U0&amp;row=8371&amp;col=7&amp;number=0.00763&amp;sourceID=14","0.00763")</f>
        <v>0.00763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HYPERLINK("http://141.218.60.56/~jnz1568/getInfo.php?workbook=12_04.xlsx&amp;sheet=U0&amp;row=8372&amp;col=6&amp;number=3.8&amp;sourceID=14","3.8")</f>
        <v>3.8</v>
      </c>
      <c r="G8372" s="4" t="str">
        <f>HYPERLINK("http://141.218.60.56/~jnz1568/getInfo.php?workbook=12_04.xlsx&amp;sheet=U0&amp;row=8372&amp;col=7&amp;number=0.00762&amp;sourceID=14","0.00762")</f>
        <v>0.00762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HYPERLINK("http://141.218.60.56/~jnz1568/getInfo.php?workbook=12_04.xlsx&amp;sheet=U0&amp;row=8373&amp;col=6&amp;number=3.9&amp;sourceID=14","3.9")</f>
        <v>3.9</v>
      </c>
      <c r="G8373" s="4" t="str">
        <f>HYPERLINK("http://141.218.60.56/~jnz1568/getInfo.php?workbook=12_04.xlsx&amp;sheet=U0&amp;row=8373&amp;col=7&amp;number=0.00761&amp;sourceID=14","0.00761")</f>
        <v>0.00761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HYPERLINK("http://141.218.60.56/~jnz1568/getInfo.php?workbook=12_04.xlsx&amp;sheet=U0&amp;row=8374&amp;col=6&amp;number=4&amp;sourceID=14","4")</f>
        <v>4</v>
      </c>
      <c r="G8374" s="4" t="str">
        <f>HYPERLINK("http://141.218.60.56/~jnz1568/getInfo.php?workbook=12_04.xlsx&amp;sheet=U0&amp;row=8374&amp;col=7&amp;number=0.0076&amp;sourceID=14","0.0076")</f>
        <v>0.0076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HYPERLINK("http://141.218.60.56/~jnz1568/getInfo.php?workbook=12_04.xlsx&amp;sheet=U0&amp;row=8375&amp;col=6&amp;number=4.1&amp;sourceID=14","4.1")</f>
        <v>4.1</v>
      </c>
      <c r="G8375" s="4" t="str">
        <f>HYPERLINK("http://141.218.60.56/~jnz1568/getInfo.php?workbook=12_04.xlsx&amp;sheet=U0&amp;row=8375&amp;col=7&amp;number=0.00758&amp;sourceID=14","0.00758")</f>
        <v>0.00758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HYPERLINK("http://141.218.60.56/~jnz1568/getInfo.php?workbook=12_04.xlsx&amp;sheet=U0&amp;row=8376&amp;col=6&amp;number=4.2&amp;sourceID=14","4.2")</f>
        <v>4.2</v>
      </c>
      <c r="G8376" s="4" t="str">
        <f>HYPERLINK("http://141.218.60.56/~jnz1568/getInfo.php?workbook=12_04.xlsx&amp;sheet=U0&amp;row=8376&amp;col=7&amp;number=0.00756&amp;sourceID=14","0.00756")</f>
        <v>0.00756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HYPERLINK("http://141.218.60.56/~jnz1568/getInfo.php?workbook=12_04.xlsx&amp;sheet=U0&amp;row=8377&amp;col=6&amp;number=4.3&amp;sourceID=14","4.3")</f>
        <v>4.3</v>
      </c>
      <c r="G8377" s="4" t="str">
        <f>HYPERLINK("http://141.218.60.56/~jnz1568/getInfo.php?workbook=12_04.xlsx&amp;sheet=U0&amp;row=8377&amp;col=7&amp;number=0.00754&amp;sourceID=14","0.00754")</f>
        <v>0.00754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HYPERLINK("http://141.218.60.56/~jnz1568/getInfo.php?workbook=12_04.xlsx&amp;sheet=U0&amp;row=8378&amp;col=6&amp;number=4.4&amp;sourceID=14","4.4")</f>
        <v>4.4</v>
      </c>
      <c r="G8378" s="4" t="str">
        <f>HYPERLINK("http://141.218.60.56/~jnz1568/getInfo.php?workbook=12_04.xlsx&amp;sheet=U0&amp;row=8378&amp;col=7&amp;number=0.0075&amp;sourceID=14","0.0075")</f>
        <v>0.0075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HYPERLINK("http://141.218.60.56/~jnz1568/getInfo.php?workbook=12_04.xlsx&amp;sheet=U0&amp;row=8379&amp;col=6&amp;number=4.5&amp;sourceID=14","4.5")</f>
        <v>4.5</v>
      </c>
      <c r="G8379" s="4" t="str">
        <f>HYPERLINK("http://141.218.60.56/~jnz1568/getInfo.php?workbook=12_04.xlsx&amp;sheet=U0&amp;row=8379&amp;col=7&amp;number=0.00746&amp;sourceID=14","0.00746")</f>
        <v>0.00746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HYPERLINK("http://141.218.60.56/~jnz1568/getInfo.php?workbook=12_04.xlsx&amp;sheet=U0&amp;row=8380&amp;col=6&amp;number=4.6&amp;sourceID=14","4.6")</f>
        <v>4.6</v>
      </c>
      <c r="G8380" s="4" t="str">
        <f>HYPERLINK("http://141.218.60.56/~jnz1568/getInfo.php?workbook=12_04.xlsx&amp;sheet=U0&amp;row=8380&amp;col=7&amp;number=0.00741&amp;sourceID=14","0.00741")</f>
        <v>0.00741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HYPERLINK("http://141.218.60.56/~jnz1568/getInfo.php?workbook=12_04.xlsx&amp;sheet=U0&amp;row=8381&amp;col=6&amp;number=4.7&amp;sourceID=14","4.7")</f>
        <v>4.7</v>
      </c>
      <c r="G8381" s="4" t="str">
        <f>HYPERLINK("http://141.218.60.56/~jnz1568/getInfo.php?workbook=12_04.xlsx&amp;sheet=U0&amp;row=8381&amp;col=7&amp;number=0.00735&amp;sourceID=14","0.00735")</f>
        <v>0.00735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HYPERLINK("http://141.218.60.56/~jnz1568/getInfo.php?workbook=12_04.xlsx&amp;sheet=U0&amp;row=8382&amp;col=6&amp;number=4.8&amp;sourceID=14","4.8")</f>
        <v>4.8</v>
      </c>
      <c r="G8382" s="4" t="str">
        <f>HYPERLINK("http://141.218.60.56/~jnz1568/getInfo.php?workbook=12_04.xlsx&amp;sheet=U0&amp;row=8382&amp;col=7&amp;number=0.00728&amp;sourceID=14","0.00728")</f>
        <v>0.00728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HYPERLINK("http://141.218.60.56/~jnz1568/getInfo.php?workbook=12_04.xlsx&amp;sheet=U0&amp;row=8383&amp;col=6&amp;number=4.9&amp;sourceID=14","4.9")</f>
        <v>4.9</v>
      </c>
      <c r="G8383" s="4" t="str">
        <f>HYPERLINK("http://141.218.60.56/~jnz1568/getInfo.php?workbook=12_04.xlsx&amp;sheet=U0&amp;row=8383&amp;col=7&amp;number=0.00719&amp;sourceID=14","0.00719")</f>
        <v>0.00719</v>
      </c>
    </row>
    <row r="8384" spans="1:7">
      <c r="A8384" s="3">
        <v>12</v>
      </c>
      <c r="B8384" s="3">
        <v>4</v>
      </c>
      <c r="C8384" s="3">
        <v>5</v>
      </c>
      <c r="D8384" s="3">
        <v>43</v>
      </c>
      <c r="E8384" s="3">
        <v>1</v>
      </c>
      <c r="F8384" s="4" t="str">
        <f>HYPERLINK("http://141.218.60.56/~jnz1568/getInfo.php?workbook=12_04.xlsx&amp;sheet=U0&amp;row=8384&amp;col=6&amp;number=3&amp;sourceID=14","3")</f>
        <v>3</v>
      </c>
      <c r="G8384" s="4" t="str">
        <f>HYPERLINK("http://141.218.60.56/~jnz1568/getInfo.php?workbook=12_04.xlsx&amp;sheet=U0&amp;row=8384&amp;col=7&amp;number=0.00253&amp;sourceID=14","0.00253")</f>
        <v>0.00253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HYPERLINK("http://141.218.60.56/~jnz1568/getInfo.php?workbook=12_04.xlsx&amp;sheet=U0&amp;row=8385&amp;col=6&amp;number=3.1&amp;sourceID=14","3.1")</f>
        <v>3.1</v>
      </c>
      <c r="G8385" s="4" t="str">
        <f>HYPERLINK("http://141.218.60.56/~jnz1568/getInfo.php?workbook=12_04.xlsx&amp;sheet=U0&amp;row=8385&amp;col=7&amp;number=0.00253&amp;sourceID=14","0.00253")</f>
        <v>0.00253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HYPERLINK("http://141.218.60.56/~jnz1568/getInfo.php?workbook=12_04.xlsx&amp;sheet=U0&amp;row=8386&amp;col=6&amp;number=3.2&amp;sourceID=14","3.2")</f>
        <v>3.2</v>
      </c>
      <c r="G8386" s="4" t="str">
        <f>HYPERLINK("http://141.218.60.56/~jnz1568/getInfo.php?workbook=12_04.xlsx&amp;sheet=U0&amp;row=8386&amp;col=7&amp;number=0.00253&amp;sourceID=14","0.00253")</f>
        <v>0.00253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HYPERLINK("http://141.218.60.56/~jnz1568/getInfo.php?workbook=12_04.xlsx&amp;sheet=U0&amp;row=8387&amp;col=6&amp;number=3.3&amp;sourceID=14","3.3")</f>
        <v>3.3</v>
      </c>
      <c r="G8387" s="4" t="str">
        <f>HYPERLINK("http://141.218.60.56/~jnz1568/getInfo.php?workbook=12_04.xlsx&amp;sheet=U0&amp;row=8387&amp;col=7&amp;number=0.00253&amp;sourceID=14","0.00253")</f>
        <v>0.00253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HYPERLINK("http://141.218.60.56/~jnz1568/getInfo.php?workbook=12_04.xlsx&amp;sheet=U0&amp;row=8388&amp;col=6&amp;number=3.4&amp;sourceID=14","3.4")</f>
        <v>3.4</v>
      </c>
      <c r="G8388" s="4" t="str">
        <f>HYPERLINK("http://141.218.60.56/~jnz1568/getInfo.php?workbook=12_04.xlsx&amp;sheet=U0&amp;row=8388&amp;col=7&amp;number=0.00253&amp;sourceID=14","0.00253")</f>
        <v>0.00253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HYPERLINK("http://141.218.60.56/~jnz1568/getInfo.php?workbook=12_04.xlsx&amp;sheet=U0&amp;row=8389&amp;col=6&amp;number=3.5&amp;sourceID=14","3.5")</f>
        <v>3.5</v>
      </c>
      <c r="G8389" s="4" t="str">
        <f>HYPERLINK("http://141.218.60.56/~jnz1568/getInfo.php?workbook=12_04.xlsx&amp;sheet=U0&amp;row=8389&amp;col=7&amp;number=0.00253&amp;sourceID=14","0.00253")</f>
        <v>0.00253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HYPERLINK("http://141.218.60.56/~jnz1568/getInfo.php?workbook=12_04.xlsx&amp;sheet=U0&amp;row=8390&amp;col=6&amp;number=3.6&amp;sourceID=14","3.6")</f>
        <v>3.6</v>
      </c>
      <c r="G8390" s="4" t="str">
        <f>HYPERLINK("http://141.218.60.56/~jnz1568/getInfo.php?workbook=12_04.xlsx&amp;sheet=U0&amp;row=8390&amp;col=7&amp;number=0.00252&amp;sourceID=14","0.00252")</f>
        <v>0.00252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HYPERLINK("http://141.218.60.56/~jnz1568/getInfo.php?workbook=12_04.xlsx&amp;sheet=U0&amp;row=8391&amp;col=6&amp;number=3.7&amp;sourceID=14","3.7")</f>
        <v>3.7</v>
      </c>
      <c r="G8391" s="4" t="str">
        <f>HYPERLINK("http://141.218.60.56/~jnz1568/getInfo.php?workbook=12_04.xlsx&amp;sheet=U0&amp;row=8391&amp;col=7&amp;number=0.00252&amp;sourceID=14","0.00252")</f>
        <v>0.00252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HYPERLINK("http://141.218.60.56/~jnz1568/getInfo.php?workbook=12_04.xlsx&amp;sheet=U0&amp;row=8392&amp;col=6&amp;number=3.8&amp;sourceID=14","3.8")</f>
        <v>3.8</v>
      </c>
      <c r="G8392" s="4" t="str">
        <f>HYPERLINK("http://141.218.60.56/~jnz1568/getInfo.php?workbook=12_04.xlsx&amp;sheet=U0&amp;row=8392&amp;col=7&amp;number=0.00252&amp;sourceID=14","0.00252")</f>
        <v>0.00252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HYPERLINK("http://141.218.60.56/~jnz1568/getInfo.php?workbook=12_04.xlsx&amp;sheet=U0&amp;row=8393&amp;col=6&amp;number=3.9&amp;sourceID=14","3.9")</f>
        <v>3.9</v>
      </c>
      <c r="G8393" s="4" t="str">
        <f>HYPERLINK("http://141.218.60.56/~jnz1568/getInfo.php?workbook=12_04.xlsx&amp;sheet=U0&amp;row=8393&amp;col=7&amp;number=0.00251&amp;sourceID=14","0.00251")</f>
        <v>0.00251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HYPERLINK("http://141.218.60.56/~jnz1568/getInfo.php?workbook=12_04.xlsx&amp;sheet=U0&amp;row=8394&amp;col=6&amp;number=4&amp;sourceID=14","4")</f>
        <v>4</v>
      </c>
      <c r="G8394" s="4" t="str">
        <f>HYPERLINK("http://141.218.60.56/~jnz1568/getInfo.php?workbook=12_04.xlsx&amp;sheet=U0&amp;row=8394&amp;col=7&amp;number=0.00251&amp;sourceID=14","0.00251")</f>
        <v>0.00251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HYPERLINK("http://141.218.60.56/~jnz1568/getInfo.php?workbook=12_04.xlsx&amp;sheet=U0&amp;row=8395&amp;col=6&amp;number=4.1&amp;sourceID=14","4.1")</f>
        <v>4.1</v>
      </c>
      <c r="G8395" s="4" t="str">
        <f>HYPERLINK("http://141.218.60.56/~jnz1568/getInfo.php?workbook=12_04.xlsx&amp;sheet=U0&amp;row=8395&amp;col=7&amp;number=0.0025&amp;sourceID=14","0.0025")</f>
        <v>0.0025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HYPERLINK("http://141.218.60.56/~jnz1568/getInfo.php?workbook=12_04.xlsx&amp;sheet=U0&amp;row=8396&amp;col=6&amp;number=4.2&amp;sourceID=14","4.2")</f>
        <v>4.2</v>
      </c>
      <c r="G8396" s="4" t="str">
        <f>HYPERLINK("http://141.218.60.56/~jnz1568/getInfo.php?workbook=12_04.xlsx&amp;sheet=U0&amp;row=8396&amp;col=7&amp;number=0.00249&amp;sourceID=14","0.00249")</f>
        <v>0.00249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HYPERLINK("http://141.218.60.56/~jnz1568/getInfo.php?workbook=12_04.xlsx&amp;sheet=U0&amp;row=8397&amp;col=6&amp;number=4.3&amp;sourceID=14","4.3")</f>
        <v>4.3</v>
      </c>
      <c r="G8397" s="4" t="str">
        <f>HYPERLINK("http://141.218.60.56/~jnz1568/getInfo.php?workbook=12_04.xlsx&amp;sheet=U0&amp;row=8397&amp;col=7&amp;number=0.00248&amp;sourceID=14","0.00248")</f>
        <v>0.00248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HYPERLINK("http://141.218.60.56/~jnz1568/getInfo.php?workbook=12_04.xlsx&amp;sheet=U0&amp;row=8398&amp;col=6&amp;number=4.4&amp;sourceID=14","4.4")</f>
        <v>4.4</v>
      </c>
      <c r="G8398" s="4" t="str">
        <f>HYPERLINK("http://141.218.60.56/~jnz1568/getInfo.php?workbook=12_04.xlsx&amp;sheet=U0&amp;row=8398&amp;col=7&amp;number=0.00247&amp;sourceID=14","0.00247")</f>
        <v>0.00247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HYPERLINK("http://141.218.60.56/~jnz1568/getInfo.php?workbook=12_04.xlsx&amp;sheet=U0&amp;row=8399&amp;col=6&amp;number=4.5&amp;sourceID=14","4.5")</f>
        <v>4.5</v>
      </c>
      <c r="G8399" s="4" t="str">
        <f>HYPERLINK("http://141.218.60.56/~jnz1568/getInfo.php?workbook=12_04.xlsx&amp;sheet=U0&amp;row=8399&amp;col=7&amp;number=0.00246&amp;sourceID=14","0.00246")</f>
        <v>0.00246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HYPERLINK("http://141.218.60.56/~jnz1568/getInfo.php?workbook=12_04.xlsx&amp;sheet=U0&amp;row=8400&amp;col=6&amp;number=4.6&amp;sourceID=14","4.6")</f>
        <v>4.6</v>
      </c>
      <c r="G8400" s="4" t="str">
        <f>HYPERLINK("http://141.218.60.56/~jnz1568/getInfo.php?workbook=12_04.xlsx&amp;sheet=U0&amp;row=8400&amp;col=7&amp;number=0.00244&amp;sourceID=14","0.00244")</f>
        <v>0.00244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HYPERLINK("http://141.218.60.56/~jnz1568/getInfo.php?workbook=12_04.xlsx&amp;sheet=U0&amp;row=8401&amp;col=6&amp;number=4.7&amp;sourceID=14","4.7")</f>
        <v>4.7</v>
      </c>
      <c r="G8401" s="4" t="str">
        <f>HYPERLINK("http://141.218.60.56/~jnz1568/getInfo.php?workbook=12_04.xlsx&amp;sheet=U0&amp;row=8401&amp;col=7&amp;number=0.00241&amp;sourceID=14","0.00241")</f>
        <v>0.00241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HYPERLINK("http://141.218.60.56/~jnz1568/getInfo.php?workbook=12_04.xlsx&amp;sheet=U0&amp;row=8402&amp;col=6&amp;number=4.8&amp;sourceID=14","4.8")</f>
        <v>4.8</v>
      </c>
      <c r="G8402" s="4" t="str">
        <f>HYPERLINK("http://141.218.60.56/~jnz1568/getInfo.php?workbook=12_04.xlsx&amp;sheet=U0&amp;row=8402&amp;col=7&amp;number=0.00239&amp;sourceID=14","0.00239")</f>
        <v>0.00239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HYPERLINK("http://141.218.60.56/~jnz1568/getInfo.php?workbook=12_04.xlsx&amp;sheet=U0&amp;row=8403&amp;col=6&amp;number=4.9&amp;sourceID=14","4.9")</f>
        <v>4.9</v>
      </c>
      <c r="G8403" s="4" t="str">
        <f>HYPERLINK("http://141.218.60.56/~jnz1568/getInfo.php?workbook=12_04.xlsx&amp;sheet=U0&amp;row=8403&amp;col=7&amp;number=0.00235&amp;sourceID=14","0.00235")</f>
        <v>0.00235</v>
      </c>
    </row>
    <row r="8404" spans="1:7">
      <c r="A8404" s="3">
        <v>12</v>
      </c>
      <c r="B8404" s="3">
        <v>4</v>
      </c>
      <c r="C8404" s="3">
        <v>5</v>
      </c>
      <c r="D8404" s="3">
        <v>44</v>
      </c>
      <c r="E8404" s="3">
        <v>1</v>
      </c>
      <c r="F8404" s="4" t="str">
        <f>HYPERLINK("http://141.218.60.56/~jnz1568/getInfo.php?workbook=12_04.xlsx&amp;sheet=U0&amp;row=8404&amp;col=6&amp;number=3&amp;sourceID=14","3")</f>
        <v>3</v>
      </c>
      <c r="G8404" s="4" t="str">
        <f>HYPERLINK("http://141.218.60.56/~jnz1568/getInfo.php?workbook=12_04.xlsx&amp;sheet=U0&amp;row=8404&amp;col=7&amp;number=0.00793&amp;sourceID=14","0.00793")</f>
        <v>0.00793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HYPERLINK("http://141.218.60.56/~jnz1568/getInfo.php?workbook=12_04.xlsx&amp;sheet=U0&amp;row=8405&amp;col=6&amp;number=3.1&amp;sourceID=14","3.1")</f>
        <v>3.1</v>
      </c>
      <c r="G8405" s="4" t="str">
        <f>HYPERLINK("http://141.218.60.56/~jnz1568/getInfo.php?workbook=12_04.xlsx&amp;sheet=U0&amp;row=8405&amp;col=7&amp;number=0.00792&amp;sourceID=14","0.00792")</f>
        <v>0.00792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HYPERLINK("http://141.218.60.56/~jnz1568/getInfo.php?workbook=12_04.xlsx&amp;sheet=U0&amp;row=8406&amp;col=6&amp;number=3.2&amp;sourceID=14","3.2")</f>
        <v>3.2</v>
      </c>
      <c r="G8406" s="4" t="str">
        <f>HYPERLINK("http://141.218.60.56/~jnz1568/getInfo.php?workbook=12_04.xlsx&amp;sheet=U0&amp;row=8406&amp;col=7&amp;number=0.00792&amp;sourceID=14","0.00792")</f>
        <v>0.00792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HYPERLINK("http://141.218.60.56/~jnz1568/getInfo.php?workbook=12_04.xlsx&amp;sheet=U0&amp;row=8407&amp;col=6&amp;number=3.3&amp;sourceID=14","3.3")</f>
        <v>3.3</v>
      </c>
      <c r="G8407" s="4" t="str">
        <f>HYPERLINK("http://141.218.60.56/~jnz1568/getInfo.php?workbook=12_04.xlsx&amp;sheet=U0&amp;row=8407&amp;col=7&amp;number=0.00791&amp;sourceID=14","0.00791")</f>
        <v>0.00791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HYPERLINK("http://141.218.60.56/~jnz1568/getInfo.php?workbook=12_04.xlsx&amp;sheet=U0&amp;row=8408&amp;col=6&amp;number=3.4&amp;sourceID=14","3.4")</f>
        <v>3.4</v>
      </c>
      <c r="G8408" s="4" t="str">
        <f>HYPERLINK("http://141.218.60.56/~jnz1568/getInfo.php?workbook=12_04.xlsx&amp;sheet=U0&amp;row=8408&amp;col=7&amp;number=0.0079&amp;sourceID=14","0.0079")</f>
        <v>0.0079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HYPERLINK("http://141.218.60.56/~jnz1568/getInfo.php?workbook=12_04.xlsx&amp;sheet=U0&amp;row=8409&amp;col=6&amp;number=3.5&amp;sourceID=14","3.5")</f>
        <v>3.5</v>
      </c>
      <c r="G8409" s="4" t="str">
        <f>HYPERLINK("http://141.218.60.56/~jnz1568/getInfo.php?workbook=12_04.xlsx&amp;sheet=U0&amp;row=8409&amp;col=7&amp;number=0.00789&amp;sourceID=14","0.00789")</f>
        <v>0.00789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HYPERLINK("http://141.218.60.56/~jnz1568/getInfo.php?workbook=12_04.xlsx&amp;sheet=U0&amp;row=8410&amp;col=6&amp;number=3.6&amp;sourceID=14","3.6")</f>
        <v>3.6</v>
      </c>
      <c r="G8410" s="4" t="str">
        <f>HYPERLINK("http://141.218.60.56/~jnz1568/getInfo.php?workbook=12_04.xlsx&amp;sheet=U0&amp;row=8410&amp;col=7&amp;number=0.00787&amp;sourceID=14","0.00787")</f>
        <v>0.00787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HYPERLINK("http://141.218.60.56/~jnz1568/getInfo.php?workbook=12_04.xlsx&amp;sheet=U0&amp;row=8411&amp;col=6&amp;number=3.7&amp;sourceID=14","3.7")</f>
        <v>3.7</v>
      </c>
      <c r="G8411" s="4" t="str">
        <f>HYPERLINK("http://141.218.60.56/~jnz1568/getInfo.php?workbook=12_04.xlsx&amp;sheet=U0&amp;row=8411&amp;col=7&amp;number=0.00785&amp;sourceID=14","0.00785")</f>
        <v>0.00785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HYPERLINK("http://141.218.60.56/~jnz1568/getInfo.php?workbook=12_04.xlsx&amp;sheet=U0&amp;row=8412&amp;col=6&amp;number=3.8&amp;sourceID=14","3.8")</f>
        <v>3.8</v>
      </c>
      <c r="G8412" s="4" t="str">
        <f>HYPERLINK("http://141.218.60.56/~jnz1568/getInfo.php?workbook=12_04.xlsx&amp;sheet=U0&amp;row=8412&amp;col=7&amp;number=0.00783&amp;sourceID=14","0.00783")</f>
        <v>0.00783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HYPERLINK("http://141.218.60.56/~jnz1568/getInfo.php?workbook=12_04.xlsx&amp;sheet=U0&amp;row=8413&amp;col=6&amp;number=3.9&amp;sourceID=14","3.9")</f>
        <v>3.9</v>
      </c>
      <c r="G8413" s="4" t="str">
        <f>HYPERLINK("http://141.218.60.56/~jnz1568/getInfo.php?workbook=12_04.xlsx&amp;sheet=U0&amp;row=8413&amp;col=7&amp;number=0.0078&amp;sourceID=14","0.0078")</f>
        <v>0.0078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HYPERLINK("http://141.218.60.56/~jnz1568/getInfo.php?workbook=12_04.xlsx&amp;sheet=U0&amp;row=8414&amp;col=6&amp;number=4&amp;sourceID=14","4")</f>
        <v>4</v>
      </c>
      <c r="G8414" s="4" t="str">
        <f>HYPERLINK("http://141.218.60.56/~jnz1568/getInfo.php?workbook=12_04.xlsx&amp;sheet=U0&amp;row=8414&amp;col=7&amp;number=0.00776&amp;sourceID=14","0.00776")</f>
        <v>0.00776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HYPERLINK("http://141.218.60.56/~jnz1568/getInfo.php?workbook=12_04.xlsx&amp;sheet=U0&amp;row=8415&amp;col=6&amp;number=4.1&amp;sourceID=14","4.1")</f>
        <v>4.1</v>
      </c>
      <c r="G8415" s="4" t="str">
        <f>HYPERLINK("http://141.218.60.56/~jnz1568/getInfo.php?workbook=12_04.xlsx&amp;sheet=U0&amp;row=8415&amp;col=7&amp;number=0.00771&amp;sourceID=14","0.00771")</f>
        <v>0.00771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HYPERLINK("http://141.218.60.56/~jnz1568/getInfo.php?workbook=12_04.xlsx&amp;sheet=U0&amp;row=8416&amp;col=6&amp;number=4.2&amp;sourceID=14","4.2")</f>
        <v>4.2</v>
      </c>
      <c r="G8416" s="4" t="str">
        <f>HYPERLINK("http://141.218.60.56/~jnz1568/getInfo.php?workbook=12_04.xlsx&amp;sheet=U0&amp;row=8416&amp;col=7&amp;number=0.00765&amp;sourceID=14","0.00765")</f>
        <v>0.00765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HYPERLINK("http://141.218.60.56/~jnz1568/getInfo.php?workbook=12_04.xlsx&amp;sheet=U0&amp;row=8417&amp;col=6&amp;number=4.3&amp;sourceID=14","4.3")</f>
        <v>4.3</v>
      </c>
      <c r="G8417" s="4" t="str">
        <f>HYPERLINK("http://141.218.60.56/~jnz1568/getInfo.php?workbook=12_04.xlsx&amp;sheet=U0&amp;row=8417&amp;col=7&amp;number=0.00757&amp;sourceID=14","0.00757")</f>
        <v>0.00757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HYPERLINK("http://141.218.60.56/~jnz1568/getInfo.php?workbook=12_04.xlsx&amp;sheet=U0&amp;row=8418&amp;col=6&amp;number=4.4&amp;sourceID=14","4.4")</f>
        <v>4.4</v>
      </c>
      <c r="G8418" s="4" t="str">
        <f>HYPERLINK("http://141.218.60.56/~jnz1568/getInfo.php?workbook=12_04.xlsx&amp;sheet=U0&amp;row=8418&amp;col=7&amp;number=0.00748&amp;sourceID=14","0.00748")</f>
        <v>0.00748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HYPERLINK("http://141.218.60.56/~jnz1568/getInfo.php?workbook=12_04.xlsx&amp;sheet=U0&amp;row=8419&amp;col=6&amp;number=4.5&amp;sourceID=14","4.5")</f>
        <v>4.5</v>
      </c>
      <c r="G8419" s="4" t="str">
        <f>HYPERLINK("http://141.218.60.56/~jnz1568/getInfo.php?workbook=12_04.xlsx&amp;sheet=U0&amp;row=8419&amp;col=7&amp;number=0.00736&amp;sourceID=14","0.00736")</f>
        <v>0.00736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HYPERLINK("http://141.218.60.56/~jnz1568/getInfo.php?workbook=12_04.xlsx&amp;sheet=U0&amp;row=8420&amp;col=6&amp;number=4.6&amp;sourceID=14","4.6")</f>
        <v>4.6</v>
      </c>
      <c r="G8420" s="4" t="str">
        <f>HYPERLINK("http://141.218.60.56/~jnz1568/getInfo.php?workbook=12_04.xlsx&amp;sheet=U0&amp;row=8420&amp;col=7&amp;number=0.00722&amp;sourceID=14","0.00722")</f>
        <v>0.00722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HYPERLINK("http://141.218.60.56/~jnz1568/getInfo.php?workbook=12_04.xlsx&amp;sheet=U0&amp;row=8421&amp;col=6&amp;number=4.7&amp;sourceID=14","4.7")</f>
        <v>4.7</v>
      </c>
      <c r="G8421" s="4" t="str">
        <f>HYPERLINK("http://141.218.60.56/~jnz1568/getInfo.php?workbook=12_04.xlsx&amp;sheet=U0&amp;row=8421&amp;col=7&amp;number=0.00705&amp;sourceID=14","0.00705")</f>
        <v>0.00705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HYPERLINK("http://141.218.60.56/~jnz1568/getInfo.php?workbook=12_04.xlsx&amp;sheet=U0&amp;row=8422&amp;col=6&amp;number=4.8&amp;sourceID=14","4.8")</f>
        <v>4.8</v>
      </c>
      <c r="G8422" s="4" t="str">
        <f>HYPERLINK("http://141.218.60.56/~jnz1568/getInfo.php?workbook=12_04.xlsx&amp;sheet=U0&amp;row=8422&amp;col=7&amp;number=0.00684&amp;sourceID=14","0.00684")</f>
        <v>0.00684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HYPERLINK("http://141.218.60.56/~jnz1568/getInfo.php?workbook=12_04.xlsx&amp;sheet=U0&amp;row=8423&amp;col=6&amp;number=4.9&amp;sourceID=14","4.9")</f>
        <v>4.9</v>
      </c>
      <c r="G8423" s="4" t="str">
        <f>HYPERLINK("http://141.218.60.56/~jnz1568/getInfo.php?workbook=12_04.xlsx&amp;sheet=U0&amp;row=8423&amp;col=7&amp;number=0.0066&amp;sourceID=14","0.0066")</f>
        <v>0.0066</v>
      </c>
    </row>
    <row r="8424" spans="1:7">
      <c r="A8424" s="3">
        <v>12</v>
      </c>
      <c r="B8424" s="3">
        <v>4</v>
      </c>
      <c r="C8424" s="3">
        <v>5</v>
      </c>
      <c r="D8424" s="3">
        <v>45</v>
      </c>
      <c r="E8424" s="3">
        <v>1</v>
      </c>
      <c r="F8424" s="4" t="str">
        <f>HYPERLINK("http://141.218.60.56/~jnz1568/getInfo.php?workbook=12_04.xlsx&amp;sheet=U0&amp;row=8424&amp;col=6&amp;number=3&amp;sourceID=14","3")</f>
        <v>3</v>
      </c>
      <c r="G8424" s="4" t="str">
        <f>HYPERLINK("http://141.218.60.56/~jnz1568/getInfo.php?workbook=12_04.xlsx&amp;sheet=U0&amp;row=8424&amp;col=7&amp;number=0.0425&amp;sourceID=14","0.0425")</f>
        <v>0.0425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HYPERLINK("http://141.218.60.56/~jnz1568/getInfo.php?workbook=12_04.xlsx&amp;sheet=U0&amp;row=8425&amp;col=6&amp;number=3.1&amp;sourceID=14","3.1")</f>
        <v>3.1</v>
      </c>
      <c r="G8425" s="4" t="str">
        <f>HYPERLINK("http://141.218.60.56/~jnz1568/getInfo.php?workbook=12_04.xlsx&amp;sheet=U0&amp;row=8425&amp;col=7&amp;number=0.0425&amp;sourceID=14","0.0425")</f>
        <v>0.0425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HYPERLINK("http://141.218.60.56/~jnz1568/getInfo.php?workbook=12_04.xlsx&amp;sheet=U0&amp;row=8426&amp;col=6&amp;number=3.2&amp;sourceID=14","3.2")</f>
        <v>3.2</v>
      </c>
      <c r="G8426" s="4" t="str">
        <f>HYPERLINK("http://141.218.60.56/~jnz1568/getInfo.php?workbook=12_04.xlsx&amp;sheet=U0&amp;row=8426&amp;col=7&amp;number=0.0425&amp;sourceID=14","0.0425")</f>
        <v>0.0425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HYPERLINK("http://141.218.60.56/~jnz1568/getInfo.php?workbook=12_04.xlsx&amp;sheet=U0&amp;row=8427&amp;col=6&amp;number=3.3&amp;sourceID=14","3.3")</f>
        <v>3.3</v>
      </c>
      <c r="G8427" s="4" t="str">
        <f>HYPERLINK("http://141.218.60.56/~jnz1568/getInfo.php?workbook=12_04.xlsx&amp;sheet=U0&amp;row=8427&amp;col=7&amp;number=0.0425&amp;sourceID=14","0.0425")</f>
        <v>0.0425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HYPERLINK("http://141.218.60.56/~jnz1568/getInfo.php?workbook=12_04.xlsx&amp;sheet=U0&amp;row=8428&amp;col=6&amp;number=3.4&amp;sourceID=14","3.4")</f>
        <v>3.4</v>
      </c>
      <c r="G8428" s="4" t="str">
        <f>HYPERLINK("http://141.218.60.56/~jnz1568/getInfo.php?workbook=12_04.xlsx&amp;sheet=U0&amp;row=8428&amp;col=7&amp;number=0.0426&amp;sourceID=14","0.0426")</f>
        <v>0.0426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HYPERLINK("http://141.218.60.56/~jnz1568/getInfo.php?workbook=12_04.xlsx&amp;sheet=U0&amp;row=8429&amp;col=6&amp;number=3.5&amp;sourceID=14","3.5")</f>
        <v>3.5</v>
      </c>
      <c r="G8429" s="4" t="str">
        <f>HYPERLINK("http://141.218.60.56/~jnz1568/getInfo.php?workbook=12_04.xlsx&amp;sheet=U0&amp;row=8429&amp;col=7&amp;number=0.0426&amp;sourceID=14","0.0426")</f>
        <v>0.0426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HYPERLINK("http://141.218.60.56/~jnz1568/getInfo.php?workbook=12_04.xlsx&amp;sheet=U0&amp;row=8430&amp;col=6&amp;number=3.6&amp;sourceID=14","3.6")</f>
        <v>3.6</v>
      </c>
      <c r="G8430" s="4" t="str">
        <f>HYPERLINK("http://141.218.60.56/~jnz1568/getInfo.php?workbook=12_04.xlsx&amp;sheet=U0&amp;row=8430&amp;col=7&amp;number=0.0427&amp;sourceID=14","0.0427")</f>
        <v>0.0427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HYPERLINK("http://141.218.60.56/~jnz1568/getInfo.php?workbook=12_04.xlsx&amp;sheet=U0&amp;row=8431&amp;col=6&amp;number=3.7&amp;sourceID=14","3.7")</f>
        <v>3.7</v>
      </c>
      <c r="G8431" s="4" t="str">
        <f>HYPERLINK("http://141.218.60.56/~jnz1568/getInfo.php?workbook=12_04.xlsx&amp;sheet=U0&amp;row=8431&amp;col=7&amp;number=0.0428&amp;sourceID=14","0.0428")</f>
        <v>0.0428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HYPERLINK("http://141.218.60.56/~jnz1568/getInfo.php?workbook=12_04.xlsx&amp;sheet=U0&amp;row=8432&amp;col=6&amp;number=3.8&amp;sourceID=14","3.8")</f>
        <v>3.8</v>
      </c>
      <c r="G8432" s="4" t="str">
        <f>HYPERLINK("http://141.218.60.56/~jnz1568/getInfo.php?workbook=12_04.xlsx&amp;sheet=U0&amp;row=8432&amp;col=7&amp;number=0.0429&amp;sourceID=14","0.0429")</f>
        <v>0.0429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HYPERLINK("http://141.218.60.56/~jnz1568/getInfo.php?workbook=12_04.xlsx&amp;sheet=U0&amp;row=8433&amp;col=6&amp;number=3.9&amp;sourceID=14","3.9")</f>
        <v>3.9</v>
      </c>
      <c r="G8433" s="4" t="str">
        <f>HYPERLINK("http://141.218.60.56/~jnz1568/getInfo.php?workbook=12_04.xlsx&amp;sheet=U0&amp;row=8433&amp;col=7&amp;number=0.043&amp;sourceID=14","0.043")</f>
        <v>0.043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HYPERLINK("http://141.218.60.56/~jnz1568/getInfo.php?workbook=12_04.xlsx&amp;sheet=U0&amp;row=8434&amp;col=6&amp;number=4&amp;sourceID=14","4")</f>
        <v>4</v>
      </c>
      <c r="G8434" s="4" t="str">
        <f>HYPERLINK("http://141.218.60.56/~jnz1568/getInfo.php?workbook=12_04.xlsx&amp;sheet=U0&amp;row=8434&amp;col=7&amp;number=0.0432&amp;sourceID=14","0.0432")</f>
        <v>0.0432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HYPERLINK("http://141.218.60.56/~jnz1568/getInfo.php?workbook=12_04.xlsx&amp;sheet=U0&amp;row=8435&amp;col=6&amp;number=4.1&amp;sourceID=14","4.1")</f>
        <v>4.1</v>
      </c>
      <c r="G8435" s="4" t="str">
        <f>HYPERLINK("http://141.218.60.56/~jnz1568/getInfo.php?workbook=12_04.xlsx&amp;sheet=U0&amp;row=8435&amp;col=7&amp;number=0.0434&amp;sourceID=14","0.0434")</f>
        <v>0.0434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HYPERLINK("http://141.218.60.56/~jnz1568/getInfo.php?workbook=12_04.xlsx&amp;sheet=U0&amp;row=8436&amp;col=6&amp;number=4.2&amp;sourceID=14","4.2")</f>
        <v>4.2</v>
      </c>
      <c r="G8436" s="4" t="str">
        <f>HYPERLINK("http://141.218.60.56/~jnz1568/getInfo.php?workbook=12_04.xlsx&amp;sheet=U0&amp;row=8436&amp;col=7&amp;number=0.0436&amp;sourceID=14","0.0436")</f>
        <v>0.0436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HYPERLINK("http://141.218.60.56/~jnz1568/getInfo.php?workbook=12_04.xlsx&amp;sheet=U0&amp;row=8437&amp;col=6&amp;number=4.3&amp;sourceID=14","4.3")</f>
        <v>4.3</v>
      </c>
      <c r="G8437" s="4" t="str">
        <f>HYPERLINK("http://141.218.60.56/~jnz1568/getInfo.php?workbook=12_04.xlsx&amp;sheet=U0&amp;row=8437&amp;col=7&amp;number=0.0439&amp;sourceID=14","0.0439")</f>
        <v>0.0439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HYPERLINK("http://141.218.60.56/~jnz1568/getInfo.php?workbook=12_04.xlsx&amp;sheet=U0&amp;row=8438&amp;col=6&amp;number=4.4&amp;sourceID=14","4.4")</f>
        <v>4.4</v>
      </c>
      <c r="G8438" s="4" t="str">
        <f>HYPERLINK("http://141.218.60.56/~jnz1568/getInfo.php?workbook=12_04.xlsx&amp;sheet=U0&amp;row=8438&amp;col=7&amp;number=0.0443&amp;sourceID=14","0.0443")</f>
        <v>0.0443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HYPERLINK("http://141.218.60.56/~jnz1568/getInfo.php?workbook=12_04.xlsx&amp;sheet=U0&amp;row=8439&amp;col=6&amp;number=4.5&amp;sourceID=14","4.5")</f>
        <v>4.5</v>
      </c>
      <c r="G8439" s="4" t="str">
        <f>HYPERLINK("http://141.218.60.56/~jnz1568/getInfo.php?workbook=12_04.xlsx&amp;sheet=U0&amp;row=8439&amp;col=7&amp;number=0.0448&amp;sourceID=14","0.0448")</f>
        <v>0.0448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HYPERLINK("http://141.218.60.56/~jnz1568/getInfo.php?workbook=12_04.xlsx&amp;sheet=U0&amp;row=8440&amp;col=6&amp;number=4.6&amp;sourceID=14","4.6")</f>
        <v>4.6</v>
      </c>
      <c r="G8440" s="4" t="str">
        <f>HYPERLINK("http://141.218.60.56/~jnz1568/getInfo.php?workbook=12_04.xlsx&amp;sheet=U0&amp;row=8440&amp;col=7&amp;number=0.0454&amp;sourceID=14","0.0454")</f>
        <v>0.0454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HYPERLINK("http://141.218.60.56/~jnz1568/getInfo.php?workbook=12_04.xlsx&amp;sheet=U0&amp;row=8441&amp;col=6&amp;number=4.7&amp;sourceID=14","4.7")</f>
        <v>4.7</v>
      </c>
      <c r="G8441" s="4" t="str">
        <f>HYPERLINK("http://141.218.60.56/~jnz1568/getInfo.php?workbook=12_04.xlsx&amp;sheet=U0&amp;row=8441&amp;col=7&amp;number=0.0461&amp;sourceID=14","0.0461")</f>
        <v>0.0461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HYPERLINK("http://141.218.60.56/~jnz1568/getInfo.php?workbook=12_04.xlsx&amp;sheet=U0&amp;row=8442&amp;col=6&amp;number=4.8&amp;sourceID=14","4.8")</f>
        <v>4.8</v>
      </c>
      <c r="G8442" s="4" t="str">
        <f>HYPERLINK("http://141.218.60.56/~jnz1568/getInfo.php?workbook=12_04.xlsx&amp;sheet=U0&amp;row=8442&amp;col=7&amp;number=0.047&amp;sourceID=14","0.047")</f>
        <v>0.047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HYPERLINK("http://141.218.60.56/~jnz1568/getInfo.php?workbook=12_04.xlsx&amp;sheet=U0&amp;row=8443&amp;col=6&amp;number=4.9&amp;sourceID=14","4.9")</f>
        <v>4.9</v>
      </c>
      <c r="G8443" s="4" t="str">
        <f>HYPERLINK("http://141.218.60.56/~jnz1568/getInfo.php?workbook=12_04.xlsx&amp;sheet=U0&amp;row=8443&amp;col=7&amp;number=0.048&amp;sourceID=14","0.048")</f>
        <v>0.048</v>
      </c>
    </row>
    <row r="8444" spans="1:7">
      <c r="A8444" s="3">
        <v>12</v>
      </c>
      <c r="B8444" s="3">
        <v>4</v>
      </c>
      <c r="C8444" s="3">
        <v>5</v>
      </c>
      <c r="D8444" s="3">
        <v>46</v>
      </c>
      <c r="E8444" s="3">
        <v>1</v>
      </c>
      <c r="F8444" s="4" t="str">
        <f>HYPERLINK("http://141.218.60.56/~jnz1568/getInfo.php?workbook=12_04.xlsx&amp;sheet=U0&amp;row=8444&amp;col=6&amp;number=3&amp;sourceID=14","3")</f>
        <v>3</v>
      </c>
      <c r="G8444" s="4" t="str">
        <f>HYPERLINK("http://141.218.60.56/~jnz1568/getInfo.php?workbook=12_04.xlsx&amp;sheet=U0&amp;row=8444&amp;col=7&amp;number=0.0244&amp;sourceID=14","0.0244")</f>
        <v>0.0244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HYPERLINK("http://141.218.60.56/~jnz1568/getInfo.php?workbook=12_04.xlsx&amp;sheet=U0&amp;row=8445&amp;col=6&amp;number=3.1&amp;sourceID=14","3.1")</f>
        <v>3.1</v>
      </c>
      <c r="G8445" s="4" t="str">
        <f>HYPERLINK("http://141.218.60.56/~jnz1568/getInfo.php?workbook=12_04.xlsx&amp;sheet=U0&amp;row=8445&amp;col=7&amp;number=0.0244&amp;sourceID=14","0.0244")</f>
        <v>0.0244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HYPERLINK("http://141.218.60.56/~jnz1568/getInfo.php?workbook=12_04.xlsx&amp;sheet=U0&amp;row=8446&amp;col=6&amp;number=3.2&amp;sourceID=14","3.2")</f>
        <v>3.2</v>
      </c>
      <c r="G8446" s="4" t="str">
        <f>HYPERLINK("http://141.218.60.56/~jnz1568/getInfo.php?workbook=12_04.xlsx&amp;sheet=U0&amp;row=8446&amp;col=7&amp;number=0.0245&amp;sourceID=14","0.0245")</f>
        <v>0.0245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HYPERLINK("http://141.218.60.56/~jnz1568/getInfo.php?workbook=12_04.xlsx&amp;sheet=U0&amp;row=8447&amp;col=6&amp;number=3.3&amp;sourceID=14","3.3")</f>
        <v>3.3</v>
      </c>
      <c r="G8447" s="4" t="str">
        <f>HYPERLINK("http://141.218.60.56/~jnz1568/getInfo.php?workbook=12_04.xlsx&amp;sheet=U0&amp;row=8447&amp;col=7&amp;number=0.0245&amp;sourceID=14","0.0245")</f>
        <v>0.0245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HYPERLINK("http://141.218.60.56/~jnz1568/getInfo.php?workbook=12_04.xlsx&amp;sheet=U0&amp;row=8448&amp;col=6&amp;number=3.4&amp;sourceID=14","3.4")</f>
        <v>3.4</v>
      </c>
      <c r="G8448" s="4" t="str">
        <f>HYPERLINK("http://141.218.60.56/~jnz1568/getInfo.php?workbook=12_04.xlsx&amp;sheet=U0&amp;row=8448&amp;col=7&amp;number=0.0245&amp;sourceID=14","0.0245")</f>
        <v>0.0245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HYPERLINK("http://141.218.60.56/~jnz1568/getInfo.php?workbook=12_04.xlsx&amp;sheet=U0&amp;row=8449&amp;col=6&amp;number=3.5&amp;sourceID=14","3.5")</f>
        <v>3.5</v>
      </c>
      <c r="G8449" s="4" t="str">
        <f>HYPERLINK("http://141.218.60.56/~jnz1568/getInfo.php?workbook=12_04.xlsx&amp;sheet=U0&amp;row=8449&amp;col=7&amp;number=0.0245&amp;sourceID=14","0.0245")</f>
        <v>0.0245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HYPERLINK("http://141.218.60.56/~jnz1568/getInfo.php?workbook=12_04.xlsx&amp;sheet=U0&amp;row=8450&amp;col=6&amp;number=3.6&amp;sourceID=14","3.6")</f>
        <v>3.6</v>
      </c>
      <c r="G8450" s="4" t="str">
        <f>HYPERLINK("http://141.218.60.56/~jnz1568/getInfo.php?workbook=12_04.xlsx&amp;sheet=U0&amp;row=8450&amp;col=7&amp;number=0.0245&amp;sourceID=14","0.0245")</f>
        <v>0.0245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HYPERLINK("http://141.218.60.56/~jnz1568/getInfo.php?workbook=12_04.xlsx&amp;sheet=U0&amp;row=8451&amp;col=6&amp;number=3.7&amp;sourceID=14","3.7")</f>
        <v>3.7</v>
      </c>
      <c r="G8451" s="4" t="str">
        <f>HYPERLINK("http://141.218.60.56/~jnz1568/getInfo.php?workbook=12_04.xlsx&amp;sheet=U0&amp;row=8451&amp;col=7&amp;number=0.0246&amp;sourceID=14","0.0246")</f>
        <v>0.0246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HYPERLINK("http://141.218.60.56/~jnz1568/getInfo.php?workbook=12_04.xlsx&amp;sheet=U0&amp;row=8452&amp;col=6&amp;number=3.8&amp;sourceID=14","3.8")</f>
        <v>3.8</v>
      </c>
      <c r="G8452" s="4" t="str">
        <f>HYPERLINK("http://141.218.60.56/~jnz1568/getInfo.php?workbook=12_04.xlsx&amp;sheet=U0&amp;row=8452&amp;col=7&amp;number=0.0246&amp;sourceID=14","0.0246")</f>
        <v>0.0246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HYPERLINK("http://141.218.60.56/~jnz1568/getInfo.php?workbook=12_04.xlsx&amp;sheet=U0&amp;row=8453&amp;col=6&amp;number=3.9&amp;sourceID=14","3.9")</f>
        <v>3.9</v>
      </c>
      <c r="G8453" s="4" t="str">
        <f>HYPERLINK("http://141.218.60.56/~jnz1568/getInfo.php?workbook=12_04.xlsx&amp;sheet=U0&amp;row=8453&amp;col=7&amp;number=0.0247&amp;sourceID=14","0.0247")</f>
        <v>0.0247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HYPERLINK("http://141.218.60.56/~jnz1568/getInfo.php?workbook=12_04.xlsx&amp;sheet=U0&amp;row=8454&amp;col=6&amp;number=4&amp;sourceID=14","4")</f>
        <v>4</v>
      </c>
      <c r="G8454" s="4" t="str">
        <f>HYPERLINK("http://141.218.60.56/~jnz1568/getInfo.php?workbook=12_04.xlsx&amp;sheet=U0&amp;row=8454&amp;col=7&amp;number=0.0247&amp;sourceID=14","0.0247")</f>
        <v>0.0247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HYPERLINK("http://141.218.60.56/~jnz1568/getInfo.php?workbook=12_04.xlsx&amp;sheet=U0&amp;row=8455&amp;col=6&amp;number=4.1&amp;sourceID=14","4.1")</f>
        <v>4.1</v>
      </c>
      <c r="G8455" s="4" t="str">
        <f>HYPERLINK("http://141.218.60.56/~jnz1568/getInfo.php?workbook=12_04.xlsx&amp;sheet=U0&amp;row=8455&amp;col=7&amp;number=0.0248&amp;sourceID=14","0.0248")</f>
        <v>0.0248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HYPERLINK("http://141.218.60.56/~jnz1568/getInfo.php?workbook=12_04.xlsx&amp;sheet=U0&amp;row=8456&amp;col=6&amp;number=4.2&amp;sourceID=14","4.2")</f>
        <v>4.2</v>
      </c>
      <c r="G8456" s="4" t="str">
        <f>HYPERLINK("http://141.218.60.56/~jnz1568/getInfo.php?workbook=12_04.xlsx&amp;sheet=U0&amp;row=8456&amp;col=7&amp;number=0.0249&amp;sourceID=14","0.0249")</f>
        <v>0.0249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HYPERLINK("http://141.218.60.56/~jnz1568/getInfo.php?workbook=12_04.xlsx&amp;sheet=U0&amp;row=8457&amp;col=6&amp;number=4.3&amp;sourceID=14","4.3")</f>
        <v>4.3</v>
      </c>
      <c r="G8457" s="4" t="str">
        <f>HYPERLINK("http://141.218.60.56/~jnz1568/getInfo.php?workbook=12_04.xlsx&amp;sheet=U0&amp;row=8457&amp;col=7&amp;number=0.025&amp;sourceID=14","0.025")</f>
        <v>0.025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HYPERLINK("http://141.218.60.56/~jnz1568/getInfo.php?workbook=12_04.xlsx&amp;sheet=U0&amp;row=8458&amp;col=6&amp;number=4.4&amp;sourceID=14","4.4")</f>
        <v>4.4</v>
      </c>
      <c r="G8458" s="4" t="str">
        <f>HYPERLINK("http://141.218.60.56/~jnz1568/getInfo.php?workbook=12_04.xlsx&amp;sheet=U0&amp;row=8458&amp;col=7&amp;number=0.0252&amp;sourceID=14","0.0252")</f>
        <v>0.0252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HYPERLINK("http://141.218.60.56/~jnz1568/getInfo.php?workbook=12_04.xlsx&amp;sheet=U0&amp;row=8459&amp;col=6&amp;number=4.5&amp;sourceID=14","4.5")</f>
        <v>4.5</v>
      </c>
      <c r="G8459" s="4" t="str">
        <f>HYPERLINK("http://141.218.60.56/~jnz1568/getInfo.php?workbook=12_04.xlsx&amp;sheet=U0&amp;row=8459&amp;col=7&amp;number=0.0254&amp;sourceID=14","0.0254")</f>
        <v>0.0254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HYPERLINK("http://141.218.60.56/~jnz1568/getInfo.php?workbook=12_04.xlsx&amp;sheet=U0&amp;row=8460&amp;col=6&amp;number=4.6&amp;sourceID=14","4.6")</f>
        <v>4.6</v>
      </c>
      <c r="G8460" s="4" t="str">
        <f>HYPERLINK("http://141.218.60.56/~jnz1568/getInfo.php?workbook=12_04.xlsx&amp;sheet=U0&amp;row=8460&amp;col=7&amp;number=0.0256&amp;sourceID=14","0.0256")</f>
        <v>0.0256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HYPERLINK("http://141.218.60.56/~jnz1568/getInfo.php?workbook=12_04.xlsx&amp;sheet=U0&amp;row=8461&amp;col=6&amp;number=4.7&amp;sourceID=14","4.7")</f>
        <v>4.7</v>
      </c>
      <c r="G8461" s="4" t="str">
        <f>HYPERLINK("http://141.218.60.56/~jnz1568/getInfo.php?workbook=12_04.xlsx&amp;sheet=U0&amp;row=8461&amp;col=7&amp;number=0.0259&amp;sourceID=14","0.0259")</f>
        <v>0.0259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HYPERLINK("http://141.218.60.56/~jnz1568/getInfo.php?workbook=12_04.xlsx&amp;sheet=U0&amp;row=8462&amp;col=6&amp;number=4.8&amp;sourceID=14","4.8")</f>
        <v>4.8</v>
      </c>
      <c r="G8462" s="4" t="str">
        <f>HYPERLINK("http://141.218.60.56/~jnz1568/getInfo.php?workbook=12_04.xlsx&amp;sheet=U0&amp;row=8462&amp;col=7&amp;number=0.0262&amp;sourceID=14","0.0262")</f>
        <v>0.0262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HYPERLINK("http://141.218.60.56/~jnz1568/getInfo.php?workbook=12_04.xlsx&amp;sheet=U0&amp;row=8463&amp;col=6&amp;number=4.9&amp;sourceID=14","4.9")</f>
        <v>4.9</v>
      </c>
      <c r="G8463" s="4" t="str">
        <f>HYPERLINK("http://141.218.60.56/~jnz1568/getInfo.php?workbook=12_04.xlsx&amp;sheet=U0&amp;row=8463&amp;col=7&amp;number=0.0267&amp;sourceID=14","0.0267")</f>
        <v>0.0267</v>
      </c>
    </row>
    <row r="8464" spans="1:7">
      <c r="A8464" s="3">
        <v>12</v>
      </c>
      <c r="B8464" s="3">
        <v>4</v>
      </c>
      <c r="C8464" s="3">
        <v>5</v>
      </c>
      <c r="D8464" s="3">
        <v>47</v>
      </c>
      <c r="E8464" s="3">
        <v>1</v>
      </c>
      <c r="F8464" s="4" t="str">
        <f>HYPERLINK("http://141.218.60.56/~jnz1568/getInfo.php?workbook=12_04.xlsx&amp;sheet=U0&amp;row=8464&amp;col=6&amp;number=3&amp;sourceID=14","3")</f>
        <v>3</v>
      </c>
      <c r="G8464" s="4" t="str">
        <f>HYPERLINK("http://141.218.60.56/~jnz1568/getInfo.php?workbook=12_04.xlsx&amp;sheet=U0&amp;row=8464&amp;col=7&amp;number=0.0403&amp;sourceID=14","0.0403")</f>
        <v>0.0403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HYPERLINK("http://141.218.60.56/~jnz1568/getInfo.php?workbook=12_04.xlsx&amp;sheet=U0&amp;row=8465&amp;col=6&amp;number=3.1&amp;sourceID=14","3.1")</f>
        <v>3.1</v>
      </c>
      <c r="G8465" s="4" t="str">
        <f>HYPERLINK("http://141.218.60.56/~jnz1568/getInfo.php?workbook=12_04.xlsx&amp;sheet=U0&amp;row=8465&amp;col=7&amp;number=0.0403&amp;sourceID=14","0.0403")</f>
        <v>0.0403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HYPERLINK("http://141.218.60.56/~jnz1568/getInfo.php?workbook=12_04.xlsx&amp;sheet=U0&amp;row=8466&amp;col=6&amp;number=3.2&amp;sourceID=14","3.2")</f>
        <v>3.2</v>
      </c>
      <c r="G8466" s="4" t="str">
        <f>HYPERLINK("http://141.218.60.56/~jnz1568/getInfo.php?workbook=12_04.xlsx&amp;sheet=U0&amp;row=8466&amp;col=7&amp;number=0.0402&amp;sourceID=14","0.0402")</f>
        <v>0.0402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HYPERLINK("http://141.218.60.56/~jnz1568/getInfo.php?workbook=12_04.xlsx&amp;sheet=U0&amp;row=8467&amp;col=6&amp;number=3.3&amp;sourceID=14","3.3")</f>
        <v>3.3</v>
      </c>
      <c r="G8467" s="4" t="str">
        <f>HYPERLINK("http://141.218.60.56/~jnz1568/getInfo.php?workbook=12_04.xlsx&amp;sheet=U0&amp;row=8467&amp;col=7&amp;number=0.0402&amp;sourceID=14","0.0402")</f>
        <v>0.0402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HYPERLINK("http://141.218.60.56/~jnz1568/getInfo.php?workbook=12_04.xlsx&amp;sheet=U0&amp;row=8468&amp;col=6&amp;number=3.4&amp;sourceID=14","3.4")</f>
        <v>3.4</v>
      </c>
      <c r="G8468" s="4" t="str">
        <f>HYPERLINK("http://141.218.60.56/~jnz1568/getInfo.php?workbook=12_04.xlsx&amp;sheet=U0&amp;row=8468&amp;col=7&amp;number=0.0401&amp;sourceID=14","0.0401")</f>
        <v>0.0401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HYPERLINK("http://141.218.60.56/~jnz1568/getInfo.php?workbook=12_04.xlsx&amp;sheet=U0&amp;row=8469&amp;col=6&amp;number=3.5&amp;sourceID=14","3.5")</f>
        <v>3.5</v>
      </c>
      <c r="G8469" s="4" t="str">
        <f>HYPERLINK("http://141.218.60.56/~jnz1568/getInfo.php?workbook=12_04.xlsx&amp;sheet=U0&amp;row=8469&amp;col=7&amp;number=0.0399&amp;sourceID=14","0.0399")</f>
        <v>0.0399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HYPERLINK("http://141.218.60.56/~jnz1568/getInfo.php?workbook=12_04.xlsx&amp;sheet=U0&amp;row=8470&amp;col=6&amp;number=3.6&amp;sourceID=14","3.6")</f>
        <v>3.6</v>
      </c>
      <c r="G8470" s="4" t="str">
        <f>HYPERLINK("http://141.218.60.56/~jnz1568/getInfo.php?workbook=12_04.xlsx&amp;sheet=U0&amp;row=8470&amp;col=7&amp;number=0.0398&amp;sourceID=14","0.0398")</f>
        <v>0.0398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HYPERLINK("http://141.218.60.56/~jnz1568/getInfo.php?workbook=12_04.xlsx&amp;sheet=U0&amp;row=8471&amp;col=6&amp;number=3.7&amp;sourceID=14","3.7")</f>
        <v>3.7</v>
      </c>
      <c r="G8471" s="4" t="str">
        <f>HYPERLINK("http://141.218.60.56/~jnz1568/getInfo.php?workbook=12_04.xlsx&amp;sheet=U0&amp;row=8471&amp;col=7&amp;number=0.0396&amp;sourceID=14","0.0396")</f>
        <v>0.0396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HYPERLINK("http://141.218.60.56/~jnz1568/getInfo.php?workbook=12_04.xlsx&amp;sheet=U0&amp;row=8472&amp;col=6&amp;number=3.8&amp;sourceID=14","3.8")</f>
        <v>3.8</v>
      </c>
      <c r="G8472" s="4" t="str">
        <f>HYPERLINK("http://141.218.60.56/~jnz1568/getInfo.php?workbook=12_04.xlsx&amp;sheet=U0&amp;row=8472&amp;col=7&amp;number=0.0394&amp;sourceID=14","0.0394")</f>
        <v>0.0394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HYPERLINK("http://141.218.60.56/~jnz1568/getInfo.php?workbook=12_04.xlsx&amp;sheet=U0&amp;row=8473&amp;col=6&amp;number=3.9&amp;sourceID=14","3.9")</f>
        <v>3.9</v>
      </c>
      <c r="G8473" s="4" t="str">
        <f>HYPERLINK("http://141.218.60.56/~jnz1568/getInfo.php?workbook=12_04.xlsx&amp;sheet=U0&amp;row=8473&amp;col=7&amp;number=0.0391&amp;sourceID=14","0.0391")</f>
        <v>0.0391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HYPERLINK("http://141.218.60.56/~jnz1568/getInfo.php?workbook=12_04.xlsx&amp;sheet=U0&amp;row=8474&amp;col=6&amp;number=4&amp;sourceID=14","4")</f>
        <v>4</v>
      </c>
      <c r="G8474" s="4" t="str">
        <f>HYPERLINK("http://141.218.60.56/~jnz1568/getInfo.php?workbook=12_04.xlsx&amp;sheet=U0&amp;row=8474&amp;col=7&amp;number=0.0387&amp;sourceID=14","0.0387")</f>
        <v>0.0387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HYPERLINK("http://141.218.60.56/~jnz1568/getInfo.php?workbook=12_04.xlsx&amp;sheet=U0&amp;row=8475&amp;col=6&amp;number=4.1&amp;sourceID=14","4.1")</f>
        <v>4.1</v>
      </c>
      <c r="G8475" s="4" t="str">
        <f>HYPERLINK("http://141.218.60.56/~jnz1568/getInfo.php?workbook=12_04.xlsx&amp;sheet=U0&amp;row=8475&amp;col=7&amp;number=0.0382&amp;sourceID=14","0.0382")</f>
        <v>0.0382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HYPERLINK("http://141.218.60.56/~jnz1568/getInfo.php?workbook=12_04.xlsx&amp;sheet=U0&amp;row=8476&amp;col=6&amp;number=4.2&amp;sourceID=14","4.2")</f>
        <v>4.2</v>
      </c>
      <c r="G8476" s="4" t="str">
        <f>HYPERLINK("http://141.218.60.56/~jnz1568/getInfo.php?workbook=12_04.xlsx&amp;sheet=U0&amp;row=8476&amp;col=7&amp;number=0.0376&amp;sourceID=14","0.0376")</f>
        <v>0.0376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HYPERLINK("http://141.218.60.56/~jnz1568/getInfo.php?workbook=12_04.xlsx&amp;sheet=U0&amp;row=8477&amp;col=6&amp;number=4.3&amp;sourceID=14","4.3")</f>
        <v>4.3</v>
      </c>
      <c r="G8477" s="4" t="str">
        <f>HYPERLINK("http://141.218.60.56/~jnz1568/getInfo.php?workbook=12_04.xlsx&amp;sheet=U0&amp;row=8477&amp;col=7&amp;number=0.0369&amp;sourceID=14","0.0369")</f>
        <v>0.0369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HYPERLINK("http://141.218.60.56/~jnz1568/getInfo.php?workbook=12_04.xlsx&amp;sheet=U0&amp;row=8478&amp;col=6&amp;number=4.4&amp;sourceID=14","4.4")</f>
        <v>4.4</v>
      </c>
      <c r="G8478" s="4" t="str">
        <f>HYPERLINK("http://141.218.60.56/~jnz1568/getInfo.php?workbook=12_04.xlsx&amp;sheet=U0&amp;row=8478&amp;col=7&amp;number=0.0359&amp;sourceID=14","0.0359")</f>
        <v>0.0359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HYPERLINK("http://141.218.60.56/~jnz1568/getInfo.php?workbook=12_04.xlsx&amp;sheet=U0&amp;row=8479&amp;col=6&amp;number=4.5&amp;sourceID=14","4.5")</f>
        <v>4.5</v>
      </c>
      <c r="G8479" s="4" t="str">
        <f>HYPERLINK("http://141.218.60.56/~jnz1568/getInfo.php?workbook=12_04.xlsx&amp;sheet=U0&amp;row=8479&amp;col=7&amp;number=0.0348&amp;sourceID=14","0.0348")</f>
        <v>0.0348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HYPERLINK("http://141.218.60.56/~jnz1568/getInfo.php?workbook=12_04.xlsx&amp;sheet=U0&amp;row=8480&amp;col=6&amp;number=4.6&amp;sourceID=14","4.6")</f>
        <v>4.6</v>
      </c>
      <c r="G8480" s="4" t="str">
        <f>HYPERLINK("http://141.218.60.56/~jnz1568/getInfo.php?workbook=12_04.xlsx&amp;sheet=U0&amp;row=8480&amp;col=7&amp;number=0.0333&amp;sourceID=14","0.0333")</f>
        <v>0.0333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HYPERLINK("http://141.218.60.56/~jnz1568/getInfo.php?workbook=12_04.xlsx&amp;sheet=U0&amp;row=8481&amp;col=6&amp;number=4.7&amp;sourceID=14","4.7")</f>
        <v>4.7</v>
      </c>
      <c r="G8481" s="4" t="str">
        <f>HYPERLINK("http://141.218.60.56/~jnz1568/getInfo.php?workbook=12_04.xlsx&amp;sheet=U0&amp;row=8481&amp;col=7&amp;number=0.0315&amp;sourceID=14","0.0315")</f>
        <v>0.0315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HYPERLINK("http://141.218.60.56/~jnz1568/getInfo.php?workbook=12_04.xlsx&amp;sheet=U0&amp;row=8482&amp;col=6&amp;number=4.8&amp;sourceID=14","4.8")</f>
        <v>4.8</v>
      </c>
      <c r="G8482" s="4" t="str">
        <f>HYPERLINK("http://141.218.60.56/~jnz1568/getInfo.php?workbook=12_04.xlsx&amp;sheet=U0&amp;row=8482&amp;col=7&amp;number=0.0293&amp;sourceID=14","0.0293")</f>
        <v>0.0293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HYPERLINK("http://141.218.60.56/~jnz1568/getInfo.php?workbook=12_04.xlsx&amp;sheet=U0&amp;row=8483&amp;col=6&amp;number=4.9&amp;sourceID=14","4.9")</f>
        <v>4.9</v>
      </c>
      <c r="G8483" s="4" t="str">
        <f>HYPERLINK("http://141.218.60.56/~jnz1568/getInfo.php?workbook=12_04.xlsx&amp;sheet=U0&amp;row=8483&amp;col=7&amp;number=0.0266&amp;sourceID=14","0.0266")</f>
        <v>0.0266</v>
      </c>
    </row>
    <row r="8484" spans="1:7">
      <c r="A8484" s="3">
        <v>12</v>
      </c>
      <c r="B8484" s="3">
        <v>4</v>
      </c>
      <c r="C8484" s="3">
        <v>5</v>
      </c>
      <c r="D8484" s="3">
        <v>48</v>
      </c>
      <c r="E8484" s="3">
        <v>1</v>
      </c>
      <c r="F8484" s="4" t="str">
        <f>HYPERLINK("http://141.218.60.56/~jnz1568/getInfo.php?workbook=12_04.xlsx&amp;sheet=U0&amp;row=8484&amp;col=6&amp;number=3&amp;sourceID=14","3")</f>
        <v>3</v>
      </c>
      <c r="G8484" s="4" t="str">
        <f>HYPERLINK("http://141.218.60.56/~jnz1568/getInfo.php?workbook=12_04.xlsx&amp;sheet=U0&amp;row=8484&amp;col=7&amp;number=0.0342&amp;sourceID=14","0.0342")</f>
        <v>0.0342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HYPERLINK("http://141.218.60.56/~jnz1568/getInfo.php?workbook=12_04.xlsx&amp;sheet=U0&amp;row=8485&amp;col=6&amp;number=3.1&amp;sourceID=14","3.1")</f>
        <v>3.1</v>
      </c>
      <c r="G8485" s="4" t="str">
        <f>HYPERLINK("http://141.218.60.56/~jnz1568/getInfo.php?workbook=12_04.xlsx&amp;sheet=U0&amp;row=8485&amp;col=7&amp;number=0.0342&amp;sourceID=14","0.0342")</f>
        <v>0.0342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HYPERLINK("http://141.218.60.56/~jnz1568/getInfo.php?workbook=12_04.xlsx&amp;sheet=U0&amp;row=8486&amp;col=6&amp;number=3.2&amp;sourceID=14","3.2")</f>
        <v>3.2</v>
      </c>
      <c r="G8486" s="4" t="str">
        <f>HYPERLINK("http://141.218.60.56/~jnz1568/getInfo.php?workbook=12_04.xlsx&amp;sheet=U0&amp;row=8486&amp;col=7&amp;number=0.0341&amp;sourceID=14","0.0341")</f>
        <v>0.0341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HYPERLINK("http://141.218.60.56/~jnz1568/getInfo.php?workbook=12_04.xlsx&amp;sheet=U0&amp;row=8487&amp;col=6&amp;number=3.3&amp;sourceID=14","3.3")</f>
        <v>3.3</v>
      </c>
      <c r="G8487" s="4" t="str">
        <f>HYPERLINK("http://141.218.60.56/~jnz1568/getInfo.php?workbook=12_04.xlsx&amp;sheet=U0&amp;row=8487&amp;col=7&amp;number=0.034&amp;sourceID=14","0.034")</f>
        <v>0.034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HYPERLINK("http://141.218.60.56/~jnz1568/getInfo.php?workbook=12_04.xlsx&amp;sheet=U0&amp;row=8488&amp;col=6&amp;number=3.4&amp;sourceID=14","3.4")</f>
        <v>3.4</v>
      </c>
      <c r="G8488" s="4" t="str">
        <f>HYPERLINK("http://141.218.60.56/~jnz1568/getInfo.php?workbook=12_04.xlsx&amp;sheet=U0&amp;row=8488&amp;col=7&amp;number=0.0339&amp;sourceID=14","0.0339")</f>
        <v>0.0339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HYPERLINK("http://141.218.60.56/~jnz1568/getInfo.php?workbook=12_04.xlsx&amp;sheet=U0&amp;row=8489&amp;col=6&amp;number=3.5&amp;sourceID=14","3.5")</f>
        <v>3.5</v>
      </c>
      <c r="G8489" s="4" t="str">
        <f>HYPERLINK("http://141.218.60.56/~jnz1568/getInfo.php?workbook=12_04.xlsx&amp;sheet=U0&amp;row=8489&amp;col=7&amp;number=0.0338&amp;sourceID=14","0.0338")</f>
        <v>0.0338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HYPERLINK("http://141.218.60.56/~jnz1568/getInfo.php?workbook=12_04.xlsx&amp;sheet=U0&amp;row=8490&amp;col=6&amp;number=3.6&amp;sourceID=14","3.6")</f>
        <v>3.6</v>
      </c>
      <c r="G8490" s="4" t="str">
        <f>HYPERLINK("http://141.218.60.56/~jnz1568/getInfo.php?workbook=12_04.xlsx&amp;sheet=U0&amp;row=8490&amp;col=7&amp;number=0.0337&amp;sourceID=14","0.0337")</f>
        <v>0.0337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HYPERLINK("http://141.218.60.56/~jnz1568/getInfo.php?workbook=12_04.xlsx&amp;sheet=U0&amp;row=8491&amp;col=6&amp;number=3.7&amp;sourceID=14","3.7")</f>
        <v>3.7</v>
      </c>
      <c r="G8491" s="4" t="str">
        <f>HYPERLINK("http://141.218.60.56/~jnz1568/getInfo.php?workbook=12_04.xlsx&amp;sheet=U0&amp;row=8491&amp;col=7&amp;number=0.0335&amp;sourceID=14","0.0335")</f>
        <v>0.0335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HYPERLINK("http://141.218.60.56/~jnz1568/getInfo.php?workbook=12_04.xlsx&amp;sheet=U0&amp;row=8492&amp;col=6&amp;number=3.8&amp;sourceID=14","3.8")</f>
        <v>3.8</v>
      </c>
      <c r="G8492" s="4" t="str">
        <f>HYPERLINK("http://141.218.60.56/~jnz1568/getInfo.php?workbook=12_04.xlsx&amp;sheet=U0&amp;row=8492&amp;col=7&amp;number=0.0333&amp;sourceID=14","0.0333")</f>
        <v>0.0333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HYPERLINK("http://141.218.60.56/~jnz1568/getInfo.php?workbook=12_04.xlsx&amp;sheet=U0&amp;row=8493&amp;col=6&amp;number=3.9&amp;sourceID=14","3.9")</f>
        <v>3.9</v>
      </c>
      <c r="G8493" s="4" t="str">
        <f>HYPERLINK("http://141.218.60.56/~jnz1568/getInfo.php?workbook=12_04.xlsx&amp;sheet=U0&amp;row=8493&amp;col=7&amp;number=0.033&amp;sourceID=14","0.033")</f>
        <v>0.033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HYPERLINK("http://141.218.60.56/~jnz1568/getInfo.php?workbook=12_04.xlsx&amp;sheet=U0&amp;row=8494&amp;col=6&amp;number=4&amp;sourceID=14","4")</f>
        <v>4</v>
      </c>
      <c r="G8494" s="4" t="str">
        <f>HYPERLINK("http://141.218.60.56/~jnz1568/getInfo.php?workbook=12_04.xlsx&amp;sheet=U0&amp;row=8494&amp;col=7&amp;number=0.0326&amp;sourceID=14","0.0326")</f>
        <v>0.0326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HYPERLINK("http://141.218.60.56/~jnz1568/getInfo.php?workbook=12_04.xlsx&amp;sheet=U0&amp;row=8495&amp;col=6&amp;number=4.1&amp;sourceID=14","4.1")</f>
        <v>4.1</v>
      </c>
      <c r="G8495" s="4" t="str">
        <f>HYPERLINK("http://141.218.60.56/~jnz1568/getInfo.php?workbook=12_04.xlsx&amp;sheet=U0&amp;row=8495&amp;col=7&amp;number=0.0322&amp;sourceID=14","0.0322")</f>
        <v>0.0322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HYPERLINK("http://141.218.60.56/~jnz1568/getInfo.php?workbook=12_04.xlsx&amp;sheet=U0&amp;row=8496&amp;col=6&amp;number=4.2&amp;sourceID=14","4.2")</f>
        <v>4.2</v>
      </c>
      <c r="G8496" s="4" t="str">
        <f>HYPERLINK("http://141.218.60.56/~jnz1568/getInfo.php?workbook=12_04.xlsx&amp;sheet=U0&amp;row=8496&amp;col=7&amp;number=0.0316&amp;sourceID=14","0.0316")</f>
        <v>0.0316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HYPERLINK("http://141.218.60.56/~jnz1568/getInfo.php?workbook=12_04.xlsx&amp;sheet=U0&amp;row=8497&amp;col=6&amp;number=4.3&amp;sourceID=14","4.3")</f>
        <v>4.3</v>
      </c>
      <c r="G8497" s="4" t="str">
        <f>HYPERLINK("http://141.218.60.56/~jnz1568/getInfo.php?workbook=12_04.xlsx&amp;sheet=U0&amp;row=8497&amp;col=7&amp;number=0.0309&amp;sourceID=14","0.0309")</f>
        <v>0.0309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HYPERLINK("http://141.218.60.56/~jnz1568/getInfo.php?workbook=12_04.xlsx&amp;sheet=U0&amp;row=8498&amp;col=6&amp;number=4.4&amp;sourceID=14","4.4")</f>
        <v>4.4</v>
      </c>
      <c r="G8498" s="4" t="str">
        <f>HYPERLINK("http://141.218.60.56/~jnz1568/getInfo.php?workbook=12_04.xlsx&amp;sheet=U0&amp;row=8498&amp;col=7&amp;number=0.03&amp;sourceID=14","0.03")</f>
        <v>0.03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HYPERLINK("http://141.218.60.56/~jnz1568/getInfo.php?workbook=12_04.xlsx&amp;sheet=U0&amp;row=8499&amp;col=6&amp;number=4.5&amp;sourceID=14","4.5")</f>
        <v>4.5</v>
      </c>
      <c r="G8499" s="4" t="str">
        <f>HYPERLINK("http://141.218.60.56/~jnz1568/getInfo.php?workbook=12_04.xlsx&amp;sheet=U0&amp;row=8499&amp;col=7&amp;number=0.0289&amp;sourceID=14","0.0289")</f>
        <v>0.0289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HYPERLINK("http://141.218.60.56/~jnz1568/getInfo.php?workbook=12_04.xlsx&amp;sheet=U0&amp;row=8500&amp;col=6&amp;number=4.6&amp;sourceID=14","4.6")</f>
        <v>4.6</v>
      </c>
      <c r="G8500" s="4" t="str">
        <f>HYPERLINK("http://141.218.60.56/~jnz1568/getInfo.php?workbook=12_04.xlsx&amp;sheet=U0&amp;row=8500&amp;col=7&amp;number=0.0275&amp;sourceID=14","0.0275")</f>
        <v>0.0275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HYPERLINK("http://141.218.60.56/~jnz1568/getInfo.php?workbook=12_04.xlsx&amp;sheet=U0&amp;row=8501&amp;col=6&amp;number=4.7&amp;sourceID=14","4.7")</f>
        <v>4.7</v>
      </c>
      <c r="G8501" s="4" t="str">
        <f>HYPERLINK("http://141.218.60.56/~jnz1568/getInfo.php?workbook=12_04.xlsx&amp;sheet=U0&amp;row=8501&amp;col=7&amp;number=0.0259&amp;sourceID=14","0.0259")</f>
        <v>0.0259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HYPERLINK("http://141.218.60.56/~jnz1568/getInfo.php?workbook=12_04.xlsx&amp;sheet=U0&amp;row=8502&amp;col=6&amp;number=4.8&amp;sourceID=14","4.8")</f>
        <v>4.8</v>
      </c>
      <c r="G8502" s="4" t="str">
        <f>HYPERLINK("http://141.218.60.56/~jnz1568/getInfo.php?workbook=12_04.xlsx&amp;sheet=U0&amp;row=8502&amp;col=7&amp;number=0.0238&amp;sourceID=14","0.0238")</f>
        <v>0.0238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HYPERLINK("http://141.218.60.56/~jnz1568/getInfo.php?workbook=12_04.xlsx&amp;sheet=U0&amp;row=8503&amp;col=6&amp;number=4.9&amp;sourceID=14","4.9")</f>
        <v>4.9</v>
      </c>
      <c r="G8503" s="4" t="str">
        <f>HYPERLINK("http://141.218.60.56/~jnz1568/getInfo.php?workbook=12_04.xlsx&amp;sheet=U0&amp;row=8503&amp;col=7&amp;number=0.0215&amp;sourceID=14","0.0215")</f>
        <v>0.0215</v>
      </c>
    </row>
    <row r="8504" spans="1:7">
      <c r="A8504" s="3">
        <v>12</v>
      </c>
      <c r="B8504" s="3">
        <v>4</v>
      </c>
      <c r="C8504" s="3">
        <v>5</v>
      </c>
      <c r="D8504" s="3">
        <v>49</v>
      </c>
      <c r="E8504" s="3">
        <v>1</v>
      </c>
      <c r="F8504" s="4" t="str">
        <f>HYPERLINK("http://141.218.60.56/~jnz1568/getInfo.php?workbook=12_04.xlsx&amp;sheet=U0&amp;row=8504&amp;col=6&amp;number=3&amp;sourceID=14","3")</f>
        <v>3</v>
      </c>
      <c r="G8504" s="4" t="str">
        <f>HYPERLINK("http://141.218.60.56/~jnz1568/getInfo.php?workbook=12_04.xlsx&amp;sheet=U0&amp;row=8504&amp;col=7&amp;number=0.00826&amp;sourceID=14","0.00826")</f>
        <v>0.00826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HYPERLINK("http://141.218.60.56/~jnz1568/getInfo.php?workbook=12_04.xlsx&amp;sheet=U0&amp;row=8505&amp;col=6&amp;number=3.1&amp;sourceID=14","3.1")</f>
        <v>3.1</v>
      </c>
      <c r="G8505" s="4" t="str">
        <f>HYPERLINK("http://141.218.60.56/~jnz1568/getInfo.php?workbook=12_04.xlsx&amp;sheet=U0&amp;row=8505&amp;col=7&amp;number=0.00824&amp;sourceID=14","0.00824")</f>
        <v>0.00824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HYPERLINK("http://141.218.60.56/~jnz1568/getInfo.php?workbook=12_04.xlsx&amp;sheet=U0&amp;row=8506&amp;col=6&amp;number=3.2&amp;sourceID=14","3.2")</f>
        <v>3.2</v>
      </c>
      <c r="G8506" s="4" t="str">
        <f>HYPERLINK("http://141.218.60.56/~jnz1568/getInfo.php?workbook=12_04.xlsx&amp;sheet=U0&amp;row=8506&amp;col=7&amp;number=0.00823&amp;sourceID=14","0.00823")</f>
        <v>0.00823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HYPERLINK("http://141.218.60.56/~jnz1568/getInfo.php?workbook=12_04.xlsx&amp;sheet=U0&amp;row=8507&amp;col=6&amp;number=3.3&amp;sourceID=14","3.3")</f>
        <v>3.3</v>
      </c>
      <c r="G8507" s="4" t="str">
        <f>HYPERLINK("http://141.218.60.56/~jnz1568/getInfo.php?workbook=12_04.xlsx&amp;sheet=U0&amp;row=8507&amp;col=7&amp;number=0.00821&amp;sourceID=14","0.00821")</f>
        <v>0.00821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HYPERLINK("http://141.218.60.56/~jnz1568/getInfo.php?workbook=12_04.xlsx&amp;sheet=U0&amp;row=8508&amp;col=6&amp;number=3.4&amp;sourceID=14","3.4")</f>
        <v>3.4</v>
      </c>
      <c r="G8508" s="4" t="str">
        <f>HYPERLINK("http://141.218.60.56/~jnz1568/getInfo.php?workbook=12_04.xlsx&amp;sheet=U0&amp;row=8508&amp;col=7&amp;number=0.00819&amp;sourceID=14","0.00819")</f>
        <v>0.00819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HYPERLINK("http://141.218.60.56/~jnz1568/getInfo.php?workbook=12_04.xlsx&amp;sheet=U0&amp;row=8509&amp;col=6&amp;number=3.5&amp;sourceID=14","3.5")</f>
        <v>3.5</v>
      </c>
      <c r="G8509" s="4" t="str">
        <f>HYPERLINK("http://141.218.60.56/~jnz1568/getInfo.php?workbook=12_04.xlsx&amp;sheet=U0&amp;row=8509&amp;col=7&amp;number=0.00816&amp;sourceID=14","0.00816")</f>
        <v>0.00816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HYPERLINK("http://141.218.60.56/~jnz1568/getInfo.php?workbook=12_04.xlsx&amp;sheet=U0&amp;row=8510&amp;col=6&amp;number=3.6&amp;sourceID=14","3.6")</f>
        <v>3.6</v>
      </c>
      <c r="G8510" s="4" t="str">
        <f>HYPERLINK("http://141.218.60.56/~jnz1568/getInfo.php?workbook=12_04.xlsx&amp;sheet=U0&amp;row=8510&amp;col=7&amp;number=0.00813&amp;sourceID=14","0.00813")</f>
        <v>0.00813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HYPERLINK("http://141.218.60.56/~jnz1568/getInfo.php?workbook=12_04.xlsx&amp;sheet=U0&amp;row=8511&amp;col=6&amp;number=3.7&amp;sourceID=14","3.7")</f>
        <v>3.7</v>
      </c>
      <c r="G8511" s="4" t="str">
        <f>HYPERLINK("http://141.218.60.56/~jnz1568/getInfo.php?workbook=12_04.xlsx&amp;sheet=U0&amp;row=8511&amp;col=7&amp;number=0.00808&amp;sourceID=14","0.00808")</f>
        <v>0.00808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HYPERLINK("http://141.218.60.56/~jnz1568/getInfo.php?workbook=12_04.xlsx&amp;sheet=U0&amp;row=8512&amp;col=6&amp;number=3.8&amp;sourceID=14","3.8")</f>
        <v>3.8</v>
      </c>
      <c r="G8512" s="4" t="str">
        <f>HYPERLINK("http://141.218.60.56/~jnz1568/getInfo.php?workbook=12_04.xlsx&amp;sheet=U0&amp;row=8512&amp;col=7&amp;number=0.00803&amp;sourceID=14","0.00803")</f>
        <v>0.00803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HYPERLINK("http://141.218.60.56/~jnz1568/getInfo.php?workbook=12_04.xlsx&amp;sheet=U0&amp;row=8513&amp;col=6&amp;number=3.9&amp;sourceID=14","3.9")</f>
        <v>3.9</v>
      </c>
      <c r="G8513" s="4" t="str">
        <f>HYPERLINK("http://141.218.60.56/~jnz1568/getInfo.php?workbook=12_04.xlsx&amp;sheet=U0&amp;row=8513&amp;col=7&amp;number=0.00796&amp;sourceID=14","0.00796")</f>
        <v>0.00796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HYPERLINK("http://141.218.60.56/~jnz1568/getInfo.php?workbook=12_04.xlsx&amp;sheet=U0&amp;row=8514&amp;col=6&amp;number=4&amp;sourceID=14","4")</f>
        <v>4</v>
      </c>
      <c r="G8514" s="4" t="str">
        <f>HYPERLINK("http://141.218.60.56/~jnz1568/getInfo.php?workbook=12_04.xlsx&amp;sheet=U0&amp;row=8514&amp;col=7&amp;number=0.00787&amp;sourceID=14","0.00787")</f>
        <v>0.00787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HYPERLINK("http://141.218.60.56/~jnz1568/getInfo.php?workbook=12_04.xlsx&amp;sheet=U0&amp;row=8515&amp;col=6&amp;number=4.1&amp;sourceID=14","4.1")</f>
        <v>4.1</v>
      </c>
      <c r="G8515" s="4" t="str">
        <f>HYPERLINK("http://141.218.60.56/~jnz1568/getInfo.php?workbook=12_04.xlsx&amp;sheet=U0&amp;row=8515&amp;col=7&amp;number=0.00776&amp;sourceID=14","0.00776")</f>
        <v>0.00776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HYPERLINK("http://141.218.60.56/~jnz1568/getInfo.php?workbook=12_04.xlsx&amp;sheet=U0&amp;row=8516&amp;col=6&amp;number=4.2&amp;sourceID=14","4.2")</f>
        <v>4.2</v>
      </c>
      <c r="G8516" s="4" t="str">
        <f>HYPERLINK("http://141.218.60.56/~jnz1568/getInfo.php?workbook=12_04.xlsx&amp;sheet=U0&amp;row=8516&amp;col=7&amp;number=0.00762&amp;sourceID=14","0.00762")</f>
        <v>0.00762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HYPERLINK("http://141.218.60.56/~jnz1568/getInfo.php?workbook=12_04.xlsx&amp;sheet=U0&amp;row=8517&amp;col=6&amp;number=4.3&amp;sourceID=14","4.3")</f>
        <v>4.3</v>
      </c>
      <c r="G8517" s="4" t="str">
        <f>HYPERLINK("http://141.218.60.56/~jnz1568/getInfo.php?workbook=12_04.xlsx&amp;sheet=U0&amp;row=8517&amp;col=7&amp;number=0.00745&amp;sourceID=14","0.00745")</f>
        <v>0.00745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HYPERLINK("http://141.218.60.56/~jnz1568/getInfo.php?workbook=12_04.xlsx&amp;sheet=U0&amp;row=8518&amp;col=6&amp;number=4.4&amp;sourceID=14","4.4")</f>
        <v>4.4</v>
      </c>
      <c r="G8518" s="4" t="str">
        <f>HYPERLINK("http://141.218.60.56/~jnz1568/getInfo.php?workbook=12_04.xlsx&amp;sheet=U0&amp;row=8518&amp;col=7&amp;number=0.00724&amp;sourceID=14","0.00724")</f>
        <v>0.00724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HYPERLINK("http://141.218.60.56/~jnz1568/getInfo.php?workbook=12_04.xlsx&amp;sheet=U0&amp;row=8519&amp;col=6&amp;number=4.5&amp;sourceID=14","4.5")</f>
        <v>4.5</v>
      </c>
      <c r="G8519" s="4" t="str">
        <f>HYPERLINK("http://141.218.60.56/~jnz1568/getInfo.php?workbook=12_04.xlsx&amp;sheet=U0&amp;row=8519&amp;col=7&amp;number=0.00698&amp;sourceID=14","0.00698")</f>
        <v>0.00698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HYPERLINK("http://141.218.60.56/~jnz1568/getInfo.php?workbook=12_04.xlsx&amp;sheet=U0&amp;row=8520&amp;col=6&amp;number=4.6&amp;sourceID=14","4.6")</f>
        <v>4.6</v>
      </c>
      <c r="G8520" s="4" t="str">
        <f>HYPERLINK("http://141.218.60.56/~jnz1568/getInfo.php?workbook=12_04.xlsx&amp;sheet=U0&amp;row=8520&amp;col=7&amp;number=0.00666&amp;sourceID=14","0.00666")</f>
        <v>0.00666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HYPERLINK("http://141.218.60.56/~jnz1568/getInfo.php?workbook=12_04.xlsx&amp;sheet=U0&amp;row=8521&amp;col=6&amp;number=4.7&amp;sourceID=14","4.7")</f>
        <v>4.7</v>
      </c>
      <c r="G8521" s="4" t="str">
        <f>HYPERLINK("http://141.218.60.56/~jnz1568/getInfo.php?workbook=12_04.xlsx&amp;sheet=U0&amp;row=8521&amp;col=7&amp;number=0.00628&amp;sourceID=14","0.00628")</f>
        <v>0.00628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HYPERLINK("http://141.218.60.56/~jnz1568/getInfo.php?workbook=12_04.xlsx&amp;sheet=U0&amp;row=8522&amp;col=6&amp;number=4.8&amp;sourceID=14","4.8")</f>
        <v>4.8</v>
      </c>
      <c r="G8522" s="4" t="str">
        <f>HYPERLINK("http://141.218.60.56/~jnz1568/getInfo.php?workbook=12_04.xlsx&amp;sheet=U0&amp;row=8522&amp;col=7&amp;number=0.00582&amp;sourceID=14","0.00582")</f>
        <v>0.00582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HYPERLINK("http://141.218.60.56/~jnz1568/getInfo.php?workbook=12_04.xlsx&amp;sheet=U0&amp;row=8523&amp;col=6&amp;number=4.9&amp;sourceID=14","4.9")</f>
        <v>4.9</v>
      </c>
      <c r="G8523" s="4" t="str">
        <f>HYPERLINK("http://141.218.60.56/~jnz1568/getInfo.php?workbook=12_04.xlsx&amp;sheet=U0&amp;row=8523&amp;col=7&amp;number=0.00529&amp;sourceID=14","0.00529")</f>
        <v>0.00529</v>
      </c>
    </row>
    <row r="8524" spans="1:7">
      <c r="A8524" s="3">
        <v>12</v>
      </c>
      <c r="B8524" s="3">
        <v>4</v>
      </c>
      <c r="C8524" s="3">
        <v>5</v>
      </c>
      <c r="D8524" s="3">
        <v>50</v>
      </c>
      <c r="E8524" s="3">
        <v>1</v>
      </c>
      <c r="F8524" s="4" t="str">
        <f>HYPERLINK("http://141.218.60.56/~jnz1568/getInfo.php?workbook=12_04.xlsx&amp;sheet=U0&amp;row=8524&amp;col=6&amp;number=3&amp;sourceID=14","3")</f>
        <v>3</v>
      </c>
      <c r="G8524" s="4" t="str">
        <f>HYPERLINK("http://141.218.60.56/~jnz1568/getInfo.php?workbook=12_04.xlsx&amp;sheet=U0&amp;row=8524&amp;col=7&amp;number=0.0276&amp;sourceID=14","0.0276")</f>
        <v>0.0276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HYPERLINK("http://141.218.60.56/~jnz1568/getInfo.php?workbook=12_04.xlsx&amp;sheet=U0&amp;row=8525&amp;col=6&amp;number=3.1&amp;sourceID=14","3.1")</f>
        <v>3.1</v>
      </c>
      <c r="G8525" s="4" t="str">
        <f>HYPERLINK("http://141.218.60.56/~jnz1568/getInfo.php?workbook=12_04.xlsx&amp;sheet=U0&amp;row=8525&amp;col=7&amp;number=0.0275&amp;sourceID=14","0.0275")</f>
        <v>0.0275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HYPERLINK("http://141.218.60.56/~jnz1568/getInfo.php?workbook=12_04.xlsx&amp;sheet=U0&amp;row=8526&amp;col=6&amp;number=3.2&amp;sourceID=14","3.2")</f>
        <v>3.2</v>
      </c>
      <c r="G8526" s="4" t="str">
        <f>HYPERLINK("http://141.218.60.56/~jnz1568/getInfo.php?workbook=12_04.xlsx&amp;sheet=U0&amp;row=8526&amp;col=7&amp;number=0.0275&amp;sourceID=14","0.0275")</f>
        <v>0.0275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HYPERLINK("http://141.218.60.56/~jnz1568/getInfo.php?workbook=12_04.xlsx&amp;sheet=U0&amp;row=8527&amp;col=6&amp;number=3.3&amp;sourceID=14","3.3")</f>
        <v>3.3</v>
      </c>
      <c r="G8527" s="4" t="str">
        <f>HYPERLINK("http://141.218.60.56/~jnz1568/getInfo.php?workbook=12_04.xlsx&amp;sheet=U0&amp;row=8527&amp;col=7&amp;number=0.0274&amp;sourceID=14","0.0274")</f>
        <v>0.0274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HYPERLINK("http://141.218.60.56/~jnz1568/getInfo.php?workbook=12_04.xlsx&amp;sheet=U0&amp;row=8528&amp;col=6&amp;number=3.4&amp;sourceID=14","3.4")</f>
        <v>3.4</v>
      </c>
      <c r="G8528" s="4" t="str">
        <f>HYPERLINK("http://141.218.60.56/~jnz1568/getInfo.php?workbook=12_04.xlsx&amp;sheet=U0&amp;row=8528&amp;col=7&amp;number=0.0273&amp;sourceID=14","0.0273")</f>
        <v>0.0273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HYPERLINK("http://141.218.60.56/~jnz1568/getInfo.php?workbook=12_04.xlsx&amp;sheet=U0&amp;row=8529&amp;col=6&amp;number=3.5&amp;sourceID=14","3.5")</f>
        <v>3.5</v>
      </c>
      <c r="G8529" s="4" t="str">
        <f>HYPERLINK("http://141.218.60.56/~jnz1568/getInfo.php?workbook=12_04.xlsx&amp;sheet=U0&amp;row=8529&amp;col=7&amp;number=0.0272&amp;sourceID=14","0.0272")</f>
        <v>0.0272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HYPERLINK("http://141.218.60.56/~jnz1568/getInfo.php?workbook=12_04.xlsx&amp;sheet=U0&amp;row=8530&amp;col=6&amp;number=3.6&amp;sourceID=14","3.6")</f>
        <v>3.6</v>
      </c>
      <c r="G8530" s="4" t="str">
        <f>HYPERLINK("http://141.218.60.56/~jnz1568/getInfo.php?workbook=12_04.xlsx&amp;sheet=U0&amp;row=8530&amp;col=7&amp;number=0.027&amp;sourceID=14","0.027")</f>
        <v>0.027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HYPERLINK("http://141.218.60.56/~jnz1568/getInfo.php?workbook=12_04.xlsx&amp;sheet=U0&amp;row=8531&amp;col=6&amp;number=3.7&amp;sourceID=14","3.7")</f>
        <v>3.7</v>
      </c>
      <c r="G8531" s="4" t="str">
        <f>HYPERLINK("http://141.218.60.56/~jnz1568/getInfo.php?workbook=12_04.xlsx&amp;sheet=U0&amp;row=8531&amp;col=7&amp;number=0.0268&amp;sourceID=14","0.0268")</f>
        <v>0.0268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HYPERLINK("http://141.218.60.56/~jnz1568/getInfo.php?workbook=12_04.xlsx&amp;sheet=U0&amp;row=8532&amp;col=6&amp;number=3.8&amp;sourceID=14","3.8")</f>
        <v>3.8</v>
      </c>
      <c r="G8532" s="4" t="str">
        <f>HYPERLINK("http://141.218.60.56/~jnz1568/getInfo.php?workbook=12_04.xlsx&amp;sheet=U0&amp;row=8532&amp;col=7&amp;number=0.0265&amp;sourceID=14","0.0265")</f>
        <v>0.0265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HYPERLINK("http://141.218.60.56/~jnz1568/getInfo.php?workbook=12_04.xlsx&amp;sheet=U0&amp;row=8533&amp;col=6&amp;number=3.9&amp;sourceID=14","3.9")</f>
        <v>3.9</v>
      </c>
      <c r="G8533" s="4" t="str">
        <f>HYPERLINK("http://141.218.60.56/~jnz1568/getInfo.php?workbook=12_04.xlsx&amp;sheet=U0&amp;row=8533&amp;col=7&amp;number=0.0262&amp;sourceID=14","0.0262")</f>
        <v>0.0262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HYPERLINK("http://141.218.60.56/~jnz1568/getInfo.php?workbook=12_04.xlsx&amp;sheet=U0&amp;row=8534&amp;col=6&amp;number=4&amp;sourceID=14","4")</f>
        <v>4</v>
      </c>
      <c r="G8534" s="4" t="str">
        <f>HYPERLINK("http://141.218.60.56/~jnz1568/getInfo.php?workbook=12_04.xlsx&amp;sheet=U0&amp;row=8534&amp;col=7&amp;number=0.0258&amp;sourceID=14","0.0258")</f>
        <v>0.0258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HYPERLINK("http://141.218.60.56/~jnz1568/getInfo.php?workbook=12_04.xlsx&amp;sheet=U0&amp;row=8535&amp;col=6&amp;number=4.1&amp;sourceID=14","4.1")</f>
        <v>4.1</v>
      </c>
      <c r="G8535" s="4" t="str">
        <f>HYPERLINK("http://141.218.60.56/~jnz1568/getInfo.php?workbook=12_04.xlsx&amp;sheet=U0&amp;row=8535&amp;col=7&amp;number=0.0253&amp;sourceID=14","0.0253")</f>
        <v>0.0253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HYPERLINK("http://141.218.60.56/~jnz1568/getInfo.php?workbook=12_04.xlsx&amp;sheet=U0&amp;row=8536&amp;col=6&amp;number=4.2&amp;sourceID=14","4.2")</f>
        <v>4.2</v>
      </c>
      <c r="G8536" s="4" t="str">
        <f>HYPERLINK("http://141.218.60.56/~jnz1568/getInfo.php?workbook=12_04.xlsx&amp;sheet=U0&amp;row=8536&amp;col=7&amp;number=0.0246&amp;sourceID=14","0.0246")</f>
        <v>0.0246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HYPERLINK("http://141.218.60.56/~jnz1568/getInfo.php?workbook=12_04.xlsx&amp;sheet=U0&amp;row=8537&amp;col=6&amp;number=4.3&amp;sourceID=14","4.3")</f>
        <v>4.3</v>
      </c>
      <c r="G8537" s="4" t="str">
        <f>HYPERLINK("http://141.218.60.56/~jnz1568/getInfo.php?workbook=12_04.xlsx&amp;sheet=U0&amp;row=8537&amp;col=7&amp;number=0.0239&amp;sourceID=14","0.0239")</f>
        <v>0.0239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HYPERLINK("http://141.218.60.56/~jnz1568/getInfo.php?workbook=12_04.xlsx&amp;sheet=U0&amp;row=8538&amp;col=6&amp;number=4.4&amp;sourceID=14","4.4")</f>
        <v>4.4</v>
      </c>
      <c r="G8538" s="4" t="str">
        <f>HYPERLINK("http://141.218.60.56/~jnz1568/getInfo.php?workbook=12_04.xlsx&amp;sheet=U0&amp;row=8538&amp;col=7&amp;number=0.0229&amp;sourceID=14","0.0229")</f>
        <v>0.0229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HYPERLINK("http://141.218.60.56/~jnz1568/getInfo.php?workbook=12_04.xlsx&amp;sheet=U0&amp;row=8539&amp;col=6&amp;number=4.5&amp;sourceID=14","4.5")</f>
        <v>4.5</v>
      </c>
      <c r="G8539" s="4" t="str">
        <f>HYPERLINK("http://141.218.60.56/~jnz1568/getInfo.php?workbook=12_04.xlsx&amp;sheet=U0&amp;row=8539&amp;col=7&amp;number=0.0217&amp;sourceID=14","0.0217")</f>
        <v>0.0217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HYPERLINK("http://141.218.60.56/~jnz1568/getInfo.php?workbook=12_04.xlsx&amp;sheet=U0&amp;row=8540&amp;col=6&amp;number=4.6&amp;sourceID=14","4.6")</f>
        <v>4.6</v>
      </c>
      <c r="G8540" s="4" t="str">
        <f>HYPERLINK("http://141.218.60.56/~jnz1568/getInfo.php?workbook=12_04.xlsx&amp;sheet=U0&amp;row=8540&amp;col=7&amp;number=0.0203&amp;sourceID=14","0.0203")</f>
        <v>0.0203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HYPERLINK("http://141.218.60.56/~jnz1568/getInfo.php?workbook=12_04.xlsx&amp;sheet=U0&amp;row=8541&amp;col=6&amp;number=4.7&amp;sourceID=14","4.7")</f>
        <v>4.7</v>
      </c>
      <c r="G8541" s="4" t="str">
        <f>HYPERLINK("http://141.218.60.56/~jnz1568/getInfo.php?workbook=12_04.xlsx&amp;sheet=U0&amp;row=8541&amp;col=7&amp;number=0.0186&amp;sourceID=14","0.0186")</f>
        <v>0.0186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HYPERLINK("http://141.218.60.56/~jnz1568/getInfo.php?workbook=12_04.xlsx&amp;sheet=U0&amp;row=8542&amp;col=6&amp;number=4.8&amp;sourceID=14","4.8")</f>
        <v>4.8</v>
      </c>
      <c r="G8542" s="4" t="str">
        <f>HYPERLINK("http://141.218.60.56/~jnz1568/getInfo.php?workbook=12_04.xlsx&amp;sheet=U0&amp;row=8542&amp;col=7&amp;number=0.0168&amp;sourceID=14","0.0168")</f>
        <v>0.0168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HYPERLINK("http://141.218.60.56/~jnz1568/getInfo.php?workbook=12_04.xlsx&amp;sheet=U0&amp;row=8543&amp;col=6&amp;number=4.9&amp;sourceID=14","4.9")</f>
        <v>4.9</v>
      </c>
      <c r="G8543" s="4" t="str">
        <f>HYPERLINK("http://141.218.60.56/~jnz1568/getInfo.php?workbook=12_04.xlsx&amp;sheet=U0&amp;row=8543&amp;col=7&amp;number=0.0147&amp;sourceID=14","0.0147")</f>
        <v>0.0147</v>
      </c>
    </row>
    <row r="8544" spans="1:7">
      <c r="A8544" s="3">
        <v>12</v>
      </c>
      <c r="B8544" s="3">
        <v>4</v>
      </c>
      <c r="C8544" s="3">
        <v>5</v>
      </c>
      <c r="D8544" s="3">
        <v>51</v>
      </c>
      <c r="E8544" s="3">
        <v>1</v>
      </c>
      <c r="F8544" s="4" t="str">
        <f>HYPERLINK("http://141.218.60.56/~jnz1568/getInfo.php?workbook=12_04.xlsx&amp;sheet=U0&amp;row=8544&amp;col=6&amp;number=3&amp;sourceID=14","3")</f>
        <v>3</v>
      </c>
      <c r="G8544" s="4" t="str">
        <f>HYPERLINK("http://141.218.60.56/~jnz1568/getInfo.php?workbook=12_04.xlsx&amp;sheet=U0&amp;row=8544&amp;col=7&amp;number=0.0421&amp;sourceID=14","0.0421")</f>
        <v>0.0421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HYPERLINK("http://141.218.60.56/~jnz1568/getInfo.php?workbook=12_04.xlsx&amp;sheet=U0&amp;row=8545&amp;col=6&amp;number=3.1&amp;sourceID=14","3.1")</f>
        <v>3.1</v>
      </c>
      <c r="G8545" s="4" t="str">
        <f>HYPERLINK("http://141.218.60.56/~jnz1568/getInfo.php?workbook=12_04.xlsx&amp;sheet=U0&amp;row=8545&amp;col=7&amp;number=0.0421&amp;sourceID=14","0.0421")</f>
        <v>0.0421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HYPERLINK("http://141.218.60.56/~jnz1568/getInfo.php?workbook=12_04.xlsx&amp;sheet=U0&amp;row=8546&amp;col=6&amp;number=3.2&amp;sourceID=14","3.2")</f>
        <v>3.2</v>
      </c>
      <c r="G8546" s="4" t="str">
        <f>HYPERLINK("http://141.218.60.56/~jnz1568/getInfo.php?workbook=12_04.xlsx&amp;sheet=U0&amp;row=8546&amp;col=7&amp;number=0.042&amp;sourceID=14","0.042")</f>
        <v>0.042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HYPERLINK("http://141.218.60.56/~jnz1568/getInfo.php?workbook=12_04.xlsx&amp;sheet=U0&amp;row=8547&amp;col=6&amp;number=3.3&amp;sourceID=14","3.3")</f>
        <v>3.3</v>
      </c>
      <c r="G8547" s="4" t="str">
        <f>HYPERLINK("http://141.218.60.56/~jnz1568/getInfo.php?workbook=12_04.xlsx&amp;sheet=U0&amp;row=8547&amp;col=7&amp;number=0.0419&amp;sourceID=14","0.0419")</f>
        <v>0.0419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HYPERLINK("http://141.218.60.56/~jnz1568/getInfo.php?workbook=12_04.xlsx&amp;sheet=U0&amp;row=8548&amp;col=6&amp;number=3.4&amp;sourceID=14","3.4")</f>
        <v>3.4</v>
      </c>
      <c r="G8548" s="4" t="str">
        <f>HYPERLINK("http://141.218.60.56/~jnz1568/getInfo.php?workbook=12_04.xlsx&amp;sheet=U0&amp;row=8548&amp;col=7&amp;number=0.0418&amp;sourceID=14","0.0418")</f>
        <v>0.0418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HYPERLINK("http://141.218.60.56/~jnz1568/getInfo.php?workbook=12_04.xlsx&amp;sheet=U0&amp;row=8549&amp;col=6&amp;number=3.5&amp;sourceID=14","3.5")</f>
        <v>3.5</v>
      </c>
      <c r="G8549" s="4" t="str">
        <f>HYPERLINK("http://141.218.60.56/~jnz1568/getInfo.php?workbook=12_04.xlsx&amp;sheet=U0&amp;row=8549&amp;col=7&amp;number=0.0416&amp;sourceID=14","0.0416")</f>
        <v>0.0416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HYPERLINK("http://141.218.60.56/~jnz1568/getInfo.php?workbook=12_04.xlsx&amp;sheet=U0&amp;row=8550&amp;col=6&amp;number=3.6&amp;sourceID=14","3.6")</f>
        <v>3.6</v>
      </c>
      <c r="G8550" s="4" t="str">
        <f>HYPERLINK("http://141.218.60.56/~jnz1568/getInfo.php?workbook=12_04.xlsx&amp;sheet=U0&amp;row=8550&amp;col=7&amp;number=0.0414&amp;sourceID=14","0.0414")</f>
        <v>0.0414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HYPERLINK("http://141.218.60.56/~jnz1568/getInfo.php?workbook=12_04.xlsx&amp;sheet=U0&amp;row=8551&amp;col=6&amp;number=3.7&amp;sourceID=14","3.7")</f>
        <v>3.7</v>
      </c>
      <c r="G8551" s="4" t="str">
        <f>HYPERLINK("http://141.218.60.56/~jnz1568/getInfo.php?workbook=12_04.xlsx&amp;sheet=U0&amp;row=8551&amp;col=7&amp;number=0.0412&amp;sourceID=14","0.0412")</f>
        <v>0.0412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HYPERLINK("http://141.218.60.56/~jnz1568/getInfo.php?workbook=12_04.xlsx&amp;sheet=U0&amp;row=8552&amp;col=6&amp;number=3.8&amp;sourceID=14","3.8")</f>
        <v>3.8</v>
      </c>
      <c r="G8552" s="4" t="str">
        <f>HYPERLINK("http://141.218.60.56/~jnz1568/getInfo.php?workbook=12_04.xlsx&amp;sheet=U0&amp;row=8552&amp;col=7&amp;number=0.0409&amp;sourceID=14","0.0409")</f>
        <v>0.0409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HYPERLINK("http://141.218.60.56/~jnz1568/getInfo.php?workbook=12_04.xlsx&amp;sheet=U0&amp;row=8553&amp;col=6&amp;number=3.9&amp;sourceID=14","3.9")</f>
        <v>3.9</v>
      </c>
      <c r="G8553" s="4" t="str">
        <f>HYPERLINK("http://141.218.60.56/~jnz1568/getInfo.php?workbook=12_04.xlsx&amp;sheet=U0&amp;row=8553&amp;col=7&amp;number=0.0405&amp;sourceID=14","0.0405")</f>
        <v>0.0405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HYPERLINK("http://141.218.60.56/~jnz1568/getInfo.php?workbook=12_04.xlsx&amp;sheet=U0&amp;row=8554&amp;col=6&amp;number=4&amp;sourceID=14","4")</f>
        <v>4</v>
      </c>
      <c r="G8554" s="4" t="str">
        <f>HYPERLINK("http://141.218.60.56/~jnz1568/getInfo.php?workbook=12_04.xlsx&amp;sheet=U0&amp;row=8554&amp;col=7&amp;number=0.0401&amp;sourceID=14","0.0401")</f>
        <v>0.0401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HYPERLINK("http://141.218.60.56/~jnz1568/getInfo.php?workbook=12_04.xlsx&amp;sheet=U0&amp;row=8555&amp;col=6&amp;number=4.1&amp;sourceID=14","4.1")</f>
        <v>4.1</v>
      </c>
      <c r="G8555" s="4" t="str">
        <f>HYPERLINK("http://141.218.60.56/~jnz1568/getInfo.php?workbook=12_04.xlsx&amp;sheet=U0&amp;row=8555&amp;col=7&amp;number=0.0395&amp;sourceID=14","0.0395")</f>
        <v>0.0395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HYPERLINK("http://141.218.60.56/~jnz1568/getInfo.php?workbook=12_04.xlsx&amp;sheet=U0&amp;row=8556&amp;col=6&amp;number=4.2&amp;sourceID=14","4.2")</f>
        <v>4.2</v>
      </c>
      <c r="G8556" s="4" t="str">
        <f>HYPERLINK("http://141.218.60.56/~jnz1568/getInfo.php?workbook=12_04.xlsx&amp;sheet=U0&amp;row=8556&amp;col=7&amp;number=0.0387&amp;sourceID=14","0.0387")</f>
        <v>0.0387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HYPERLINK("http://141.218.60.56/~jnz1568/getInfo.php?workbook=12_04.xlsx&amp;sheet=U0&amp;row=8557&amp;col=6&amp;number=4.3&amp;sourceID=14","4.3")</f>
        <v>4.3</v>
      </c>
      <c r="G8557" s="4" t="str">
        <f>HYPERLINK("http://141.218.60.56/~jnz1568/getInfo.php?workbook=12_04.xlsx&amp;sheet=U0&amp;row=8557&amp;col=7&amp;number=0.0378&amp;sourceID=14","0.0378")</f>
        <v>0.0378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HYPERLINK("http://141.218.60.56/~jnz1568/getInfo.php?workbook=12_04.xlsx&amp;sheet=U0&amp;row=8558&amp;col=6&amp;number=4.4&amp;sourceID=14","4.4")</f>
        <v>4.4</v>
      </c>
      <c r="G8558" s="4" t="str">
        <f>HYPERLINK("http://141.218.60.56/~jnz1568/getInfo.php?workbook=12_04.xlsx&amp;sheet=U0&amp;row=8558&amp;col=7&amp;number=0.0367&amp;sourceID=14","0.0367")</f>
        <v>0.0367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HYPERLINK("http://141.218.60.56/~jnz1568/getInfo.php?workbook=12_04.xlsx&amp;sheet=U0&amp;row=8559&amp;col=6&amp;number=4.5&amp;sourceID=14","4.5")</f>
        <v>4.5</v>
      </c>
      <c r="G8559" s="4" t="str">
        <f>HYPERLINK("http://141.218.60.56/~jnz1568/getInfo.php?workbook=12_04.xlsx&amp;sheet=U0&amp;row=8559&amp;col=7&amp;number=0.0353&amp;sourceID=14","0.0353")</f>
        <v>0.0353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HYPERLINK("http://141.218.60.56/~jnz1568/getInfo.php?workbook=12_04.xlsx&amp;sheet=U0&amp;row=8560&amp;col=6&amp;number=4.6&amp;sourceID=14","4.6")</f>
        <v>4.6</v>
      </c>
      <c r="G8560" s="4" t="str">
        <f>HYPERLINK("http://141.218.60.56/~jnz1568/getInfo.php?workbook=12_04.xlsx&amp;sheet=U0&amp;row=8560&amp;col=7&amp;number=0.0336&amp;sourceID=14","0.0336")</f>
        <v>0.0336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HYPERLINK("http://141.218.60.56/~jnz1568/getInfo.php?workbook=12_04.xlsx&amp;sheet=U0&amp;row=8561&amp;col=6&amp;number=4.7&amp;sourceID=14","4.7")</f>
        <v>4.7</v>
      </c>
      <c r="G8561" s="4" t="str">
        <f>HYPERLINK("http://141.218.60.56/~jnz1568/getInfo.php?workbook=12_04.xlsx&amp;sheet=U0&amp;row=8561&amp;col=7&amp;number=0.0315&amp;sourceID=14","0.0315")</f>
        <v>0.0315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HYPERLINK("http://141.218.60.56/~jnz1568/getInfo.php?workbook=12_04.xlsx&amp;sheet=U0&amp;row=8562&amp;col=6&amp;number=4.8&amp;sourceID=14","4.8")</f>
        <v>4.8</v>
      </c>
      <c r="G8562" s="4" t="str">
        <f>HYPERLINK("http://141.218.60.56/~jnz1568/getInfo.php?workbook=12_04.xlsx&amp;sheet=U0&amp;row=8562&amp;col=7&amp;number=0.0291&amp;sourceID=14","0.0291")</f>
        <v>0.0291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HYPERLINK("http://141.218.60.56/~jnz1568/getInfo.php?workbook=12_04.xlsx&amp;sheet=U0&amp;row=8563&amp;col=6&amp;number=4.9&amp;sourceID=14","4.9")</f>
        <v>4.9</v>
      </c>
      <c r="G8563" s="4" t="str">
        <f>HYPERLINK("http://141.218.60.56/~jnz1568/getInfo.php?workbook=12_04.xlsx&amp;sheet=U0&amp;row=8563&amp;col=7&amp;number=0.0262&amp;sourceID=14","0.0262")</f>
        <v>0.0262</v>
      </c>
    </row>
    <row r="8564" spans="1:7">
      <c r="A8564" s="3">
        <v>12</v>
      </c>
      <c r="B8564" s="3">
        <v>4</v>
      </c>
      <c r="C8564" s="3">
        <v>5</v>
      </c>
      <c r="D8564" s="3">
        <v>52</v>
      </c>
      <c r="E8564" s="3">
        <v>1</v>
      </c>
      <c r="F8564" s="4" t="str">
        <f>HYPERLINK("http://141.218.60.56/~jnz1568/getInfo.php?workbook=12_04.xlsx&amp;sheet=U0&amp;row=8564&amp;col=6&amp;number=3&amp;sourceID=14","3")</f>
        <v>3</v>
      </c>
      <c r="G8564" s="4" t="str">
        <f>HYPERLINK("http://141.218.60.56/~jnz1568/getInfo.php?workbook=12_04.xlsx&amp;sheet=U0&amp;row=8564&amp;col=7&amp;number=0.0777&amp;sourceID=14","0.0777")</f>
        <v>0.0777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HYPERLINK("http://141.218.60.56/~jnz1568/getInfo.php?workbook=12_04.xlsx&amp;sheet=U0&amp;row=8565&amp;col=6&amp;number=3.1&amp;sourceID=14","3.1")</f>
        <v>3.1</v>
      </c>
      <c r="G8565" s="4" t="str">
        <f>HYPERLINK("http://141.218.60.56/~jnz1568/getInfo.php?workbook=12_04.xlsx&amp;sheet=U0&amp;row=8565&amp;col=7&amp;number=0.0776&amp;sourceID=14","0.0776")</f>
        <v>0.0776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HYPERLINK("http://141.218.60.56/~jnz1568/getInfo.php?workbook=12_04.xlsx&amp;sheet=U0&amp;row=8566&amp;col=6&amp;number=3.2&amp;sourceID=14","3.2")</f>
        <v>3.2</v>
      </c>
      <c r="G8566" s="4" t="str">
        <f>HYPERLINK("http://141.218.60.56/~jnz1568/getInfo.php?workbook=12_04.xlsx&amp;sheet=U0&amp;row=8566&amp;col=7&amp;number=0.0775&amp;sourceID=14","0.0775")</f>
        <v>0.0775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HYPERLINK("http://141.218.60.56/~jnz1568/getInfo.php?workbook=12_04.xlsx&amp;sheet=U0&amp;row=8567&amp;col=6&amp;number=3.3&amp;sourceID=14","3.3")</f>
        <v>3.3</v>
      </c>
      <c r="G8567" s="4" t="str">
        <f>HYPERLINK("http://141.218.60.56/~jnz1568/getInfo.php?workbook=12_04.xlsx&amp;sheet=U0&amp;row=8567&amp;col=7&amp;number=0.0773&amp;sourceID=14","0.0773")</f>
        <v>0.0773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HYPERLINK("http://141.218.60.56/~jnz1568/getInfo.php?workbook=12_04.xlsx&amp;sheet=U0&amp;row=8568&amp;col=6&amp;number=3.4&amp;sourceID=14","3.4")</f>
        <v>3.4</v>
      </c>
      <c r="G8568" s="4" t="str">
        <f>HYPERLINK("http://141.218.60.56/~jnz1568/getInfo.php?workbook=12_04.xlsx&amp;sheet=U0&amp;row=8568&amp;col=7&amp;number=0.077&amp;sourceID=14","0.077")</f>
        <v>0.077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HYPERLINK("http://141.218.60.56/~jnz1568/getInfo.php?workbook=12_04.xlsx&amp;sheet=U0&amp;row=8569&amp;col=6&amp;number=3.5&amp;sourceID=14","3.5")</f>
        <v>3.5</v>
      </c>
      <c r="G8569" s="4" t="str">
        <f>HYPERLINK("http://141.218.60.56/~jnz1568/getInfo.php?workbook=12_04.xlsx&amp;sheet=U0&amp;row=8569&amp;col=7&amp;number=0.0767&amp;sourceID=14","0.0767")</f>
        <v>0.0767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HYPERLINK("http://141.218.60.56/~jnz1568/getInfo.php?workbook=12_04.xlsx&amp;sheet=U0&amp;row=8570&amp;col=6&amp;number=3.6&amp;sourceID=14","3.6")</f>
        <v>3.6</v>
      </c>
      <c r="G8570" s="4" t="str">
        <f>HYPERLINK("http://141.218.60.56/~jnz1568/getInfo.php?workbook=12_04.xlsx&amp;sheet=U0&amp;row=8570&amp;col=7&amp;number=0.0763&amp;sourceID=14","0.0763")</f>
        <v>0.0763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HYPERLINK("http://141.218.60.56/~jnz1568/getInfo.php?workbook=12_04.xlsx&amp;sheet=U0&amp;row=8571&amp;col=6&amp;number=3.7&amp;sourceID=14","3.7")</f>
        <v>3.7</v>
      </c>
      <c r="G8571" s="4" t="str">
        <f>HYPERLINK("http://141.218.60.56/~jnz1568/getInfo.php?workbook=12_04.xlsx&amp;sheet=U0&amp;row=8571&amp;col=7&amp;number=0.0759&amp;sourceID=14","0.0759")</f>
        <v>0.0759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HYPERLINK("http://141.218.60.56/~jnz1568/getInfo.php?workbook=12_04.xlsx&amp;sheet=U0&amp;row=8572&amp;col=6&amp;number=3.8&amp;sourceID=14","3.8")</f>
        <v>3.8</v>
      </c>
      <c r="G8572" s="4" t="str">
        <f>HYPERLINK("http://141.218.60.56/~jnz1568/getInfo.php?workbook=12_04.xlsx&amp;sheet=U0&amp;row=8572&amp;col=7&amp;number=0.0753&amp;sourceID=14","0.0753")</f>
        <v>0.0753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HYPERLINK("http://141.218.60.56/~jnz1568/getInfo.php?workbook=12_04.xlsx&amp;sheet=U0&amp;row=8573&amp;col=6&amp;number=3.9&amp;sourceID=14","3.9")</f>
        <v>3.9</v>
      </c>
      <c r="G8573" s="4" t="str">
        <f>HYPERLINK("http://141.218.60.56/~jnz1568/getInfo.php?workbook=12_04.xlsx&amp;sheet=U0&amp;row=8573&amp;col=7&amp;number=0.0745&amp;sourceID=14","0.0745")</f>
        <v>0.0745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HYPERLINK("http://141.218.60.56/~jnz1568/getInfo.php?workbook=12_04.xlsx&amp;sheet=U0&amp;row=8574&amp;col=6&amp;number=4&amp;sourceID=14","4")</f>
        <v>4</v>
      </c>
      <c r="G8574" s="4" t="str">
        <f>HYPERLINK("http://141.218.60.56/~jnz1568/getInfo.php?workbook=12_04.xlsx&amp;sheet=U0&amp;row=8574&amp;col=7&amp;number=0.0736&amp;sourceID=14","0.0736")</f>
        <v>0.0736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HYPERLINK("http://141.218.60.56/~jnz1568/getInfo.php?workbook=12_04.xlsx&amp;sheet=U0&amp;row=8575&amp;col=6&amp;number=4.1&amp;sourceID=14","4.1")</f>
        <v>4.1</v>
      </c>
      <c r="G8575" s="4" t="str">
        <f>HYPERLINK("http://141.218.60.56/~jnz1568/getInfo.php?workbook=12_04.xlsx&amp;sheet=U0&amp;row=8575&amp;col=7&amp;number=0.0724&amp;sourceID=14","0.0724")</f>
        <v>0.0724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HYPERLINK("http://141.218.60.56/~jnz1568/getInfo.php?workbook=12_04.xlsx&amp;sheet=U0&amp;row=8576&amp;col=6&amp;number=4.2&amp;sourceID=14","4.2")</f>
        <v>4.2</v>
      </c>
      <c r="G8576" s="4" t="str">
        <f>HYPERLINK("http://141.218.60.56/~jnz1568/getInfo.php?workbook=12_04.xlsx&amp;sheet=U0&amp;row=8576&amp;col=7&amp;number=0.0709&amp;sourceID=14","0.0709")</f>
        <v>0.0709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HYPERLINK("http://141.218.60.56/~jnz1568/getInfo.php?workbook=12_04.xlsx&amp;sheet=U0&amp;row=8577&amp;col=6&amp;number=4.3&amp;sourceID=14","4.3")</f>
        <v>4.3</v>
      </c>
      <c r="G8577" s="4" t="str">
        <f>HYPERLINK("http://141.218.60.56/~jnz1568/getInfo.php?workbook=12_04.xlsx&amp;sheet=U0&amp;row=8577&amp;col=7&amp;number=0.0691&amp;sourceID=14","0.0691")</f>
        <v>0.0691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HYPERLINK("http://141.218.60.56/~jnz1568/getInfo.php?workbook=12_04.xlsx&amp;sheet=U0&amp;row=8578&amp;col=6&amp;number=4.4&amp;sourceID=14","4.4")</f>
        <v>4.4</v>
      </c>
      <c r="G8578" s="4" t="str">
        <f>HYPERLINK("http://141.218.60.56/~jnz1568/getInfo.php?workbook=12_04.xlsx&amp;sheet=U0&amp;row=8578&amp;col=7&amp;number=0.0669&amp;sourceID=14","0.0669")</f>
        <v>0.0669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HYPERLINK("http://141.218.60.56/~jnz1568/getInfo.php?workbook=12_04.xlsx&amp;sheet=U0&amp;row=8579&amp;col=6&amp;number=4.5&amp;sourceID=14","4.5")</f>
        <v>4.5</v>
      </c>
      <c r="G8579" s="4" t="str">
        <f>HYPERLINK("http://141.218.60.56/~jnz1568/getInfo.php?workbook=12_04.xlsx&amp;sheet=U0&amp;row=8579&amp;col=7&amp;number=0.0642&amp;sourceID=14","0.0642")</f>
        <v>0.0642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HYPERLINK("http://141.218.60.56/~jnz1568/getInfo.php?workbook=12_04.xlsx&amp;sheet=U0&amp;row=8580&amp;col=6&amp;number=4.6&amp;sourceID=14","4.6")</f>
        <v>4.6</v>
      </c>
      <c r="G8580" s="4" t="str">
        <f>HYPERLINK("http://141.218.60.56/~jnz1568/getInfo.php?workbook=12_04.xlsx&amp;sheet=U0&amp;row=8580&amp;col=7&amp;number=0.0609&amp;sourceID=14","0.0609")</f>
        <v>0.0609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HYPERLINK("http://141.218.60.56/~jnz1568/getInfo.php?workbook=12_04.xlsx&amp;sheet=U0&amp;row=8581&amp;col=6&amp;number=4.7&amp;sourceID=14","4.7")</f>
        <v>4.7</v>
      </c>
      <c r="G8581" s="4" t="str">
        <f>HYPERLINK("http://141.218.60.56/~jnz1568/getInfo.php?workbook=12_04.xlsx&amp;sheet=U0&amp;row=8581&amp;col=7&amp;number=0.0571&amp;sourceID=14","0.0571")</f>
        <v>0.0571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HYPERLINK("http://141.218.60.56/~jnz1568/getInfo.php?workbook=12_04.xlsx&amp;sheet=U0&amp;row=8582&amp;col=6&amp;number=4.8&amp;sourceID=14","4.8")</f>
        <v>4.8</v>
      </c>
      <c r="G8582" s="4" t="str">
        <f>HYPERLINK("http://141.218.60.56/~jnz1568/getInfo.php?workbook=12_04.xlsx&amp;sheet=U0&amp;row=8582&amp;col=7&amp;number=0.0528&amp;sourceID=14","0.0528")</f>
        <v>0.0528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HYPERLINK("http://141.218.60.56/~jnz1568/getInfo.php?workbook=12_04.xlsx&amp;sheet=U0&amp;row=8583&amp;col=6&amp;number=4.9&amp;sourceID=14","4.9")</f>
        <v>4.9</v>
      </c>
      <c r="G8583" s="4" t="str">
        <f>HYPERLINK("http://141.218.60.56/~jnz1568/getInfo.php?workbook=12_04.xlsx&amp;sheet=U0&amp;row=8583&amp;col=7&amp;number=0.0481&amp;sourceID=14","0.0481")</f>
        <v>0.0481</v>
      </c>
    </row>
    <row r="8584" spans="1:7">
      <c r="A8584" s="3">
        <v>12</v>
      </c>
      <c r="B8584" s="3">
        <v>4</v>
      </c>
      <c r="C8584" s="3">
        <v>5</v>
      </c>
      <c r="D8584" s="3">
        <v>53</v>
      </c>
      <c r="E8584" s="3">
        <v>1</v>
      </c>
      <c r="F8584" s="4" t="str">
        <f>HYPERLINK("http://141.218.60.56/~jnz1568/getInfo.php?workbook=12_04.xlsx&amp;sheet=U0&amp;row=8584&amp;col=6&amp;number=3&amp;sourceID=14","3")</f>
        <v>3</v>
      </c>
      <c r="G8584" s="4" t="str">
        <f>HYPERLINK("http://141.218.60.56/~jnz1568/getInfo.php?workbook=12_04.xlsx&amp;sheet=U0&amp;row=8584&amp;col=7&amp;number=0.0154&amp;sourceID=14","0.0154")</f>
        <v>0.0154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HYPERLINK("http://141.218.60.56/~jnz1568/getInfo.php?workbook=12_04.xlsx&amp;sheet=U0&amp;row=8585&amp;col=6&amp;number=3.1&amp;sourceID=14","3.1")</f>
        <v>3.1</v>
      </c>
      <c r="G8585" s="4" t="str">
        <f>HYPERLINK("http://141.218.60.56/~jnz1568/getInfo.php?workbook=12_04.xlsx&amp;sheet=U0&amp;row=8585&amp;col=7&amp;number=0.0154&amp;sourceID=14","0.0154")</f>
        <v>0.0154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HYPERLINK("http://141.218.60.56/~jnz1568/getInfo.php?workbook=12_04.xlsx&amp;sheet=U0&amp;row=8586&amp;col=6&amp;number=3.2&amp;sourceID=14","3.2")</f>
        <v>3.2</v>
      </c>
      <c r="G8586" s="4" t="str">
        <f>HYPERLINK("http://141.218.60.56/~jnz1568/getInfo.php?workbook=12_04.xlsx&amp;sheet=U0&amp;row=8586&amp;col=7&amp;number=0.0154&amp;sourceID=14","0.0154")</f>
        <v>0.0154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HYPERLINK("http://141.218.60.56/~jnz1568/getInfo.php?workbook=12_04.xlsx&amp;sheet=U0&amp;row=8587&amp;col=6&amp;number=3.3&amp;sourceID=14","3.3")</f>
        <v>3.3</v>
      </c>
      <c r="G8587" s="4" t="str">
        <f>HYPERLINK("http://141.218.60.56/~jnz1568/getInfo.php?workbook=12_04.xlsx&amp;sheet=U0&amp;row=8587&amp;col=7&amp;number=0.0153&amp;sourceID=14","0.0153")</f>
        <v>0.0153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HYPERLINK("http://141.218.60.56/~jnz1568/getInfo.php?workbook=12_04.xlsx&amp;sheet=U0&amp;row=8588&amp;col=6&amp;number=3.4&amp;sourceID=14","3.4")</f>
        <v>3.4</v>
      </c>
      <c r="G8588" s="4" t="str">
        <f>HYPERLINK("http://141.218.60.56/~jnz1568/getInfo.php?workbook=12_04.xlsx&amp;sheet=U0&amp;row=8588&amp;col=7&amp;number=0.0153&amp;sourceID=14","0.0153")</f>
        <v>0.0153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HYPERLINK("http://141.218.60.56/~jnz1568/getInfo.php?workbook=12_04.xlsx&amp;sheet=U0&amp;row=8589&amp;col=6&amp;number=3.5&amp;sourceID=14","3.5")</f>
        <v>3.5</v>
      </c>
      <c r="G8589" s="4" t="str">
        <f>HYPERLINK("http://141.218.60.56/~jnz1568/getInfo.php?workbook=12_04.xlsx&amp;sheet=U0&amp;row=8589&amp;col=7&amp;number=0.0153&amp;sourceID=14","0.0153")</f>
        <v>0.0153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HYPERLINK("http://141.218.60.56/~jnz1568/getInfo.php?workbook=12_04.xlsx&amp;sheet=U0&amp;row=8590&amp;col=6&amp;number=3.6&amp;sourceID=14","3.6")</f>
        <v>3.6</v>
      </c>
      <c r="G8590" s="4" t="str">
        <f>HYPERLINK("http://141.218.60.56/~jnz1568/getInfo.php?workbook=12_04.xlsx&amp;sheet=U0&amp;row=8590&amp;col=7&amp;number=0.0153&amp;sourceID=14","0.0153")</f>
        <v>0.0153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HYPERLINK("http://141.218.60.56/~jnz1568/getInfo.php?workbook=12_04.xlsx&amp;sheet=U0&amp;row=8591&amp;col=6&amp;number=3.7&amp;sourceID=14","3.7")</f>
        <v>3.7</v>
      </c>
      <c r="G8591" s="4" t="str">
        <f>HYPERLINK("http://141.218.60.56/~jnz1568/getInfo.php?workbook=12_04.xlsx&amp;sheet=U0&amp;row=8591&amp;col=7&amp;number=0.0152&amp;sourceID=14","0.0152")</f>
        <v>0.0152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HYPERLINK("http://141.218.60.56/~jnz1568/getInfo.php?workbook=12_04.xlsx&amp;sheet=U0&amp;row=8592&amp;col=6&amp;number=3.8&amp;sourceID=14","3.8")</f>
        <v>3.8</v>
      </c>
      <c r="G8592" s="4" t="str">
        <f>HYPERLINK("http://141.218.60.56/~jnz1568/getInfo.php?workbook=12_04.xlsx&amp;sheet=U0&amp;row=8592&amp;col=7&amp;number=0.0152&amp;sourceID=14","0.0152")</f>
        <v>0.0152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HYPERLINK("http://141.218.60.56/~jnz1568/getInfo.php?workbook=12_04.xlsx&amp;sheet=U0&amp;row=8593&amp;col=6&amp;number=3.9&amp;sourceID=14","3.9")</f>
        <v>3.9</v>
      </c>
      <c r="G8593" s="4" t="str">
        <f>HYPERLINK("http://141.218.60.56/~jnz1568/getInfo.php?workbook=12_04.xlsx&amp;sheet=U0&amp;row=8593&amp;col=7&amp;number=0.0151&amp;sourceID=14","0.0151")</f>
        <v>0.0151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HYPERLINK("http://141.218.60.56/~jnz1568/getInfo.php?workbook=12_04.xlsx&amp;sheet=U0&amp;row=8594&amp;col=6&amp;number=4&amp;sourceID=14","4")</f>
        <v>4</v>
      </c>
      <c r="G8594" s="4" t="str">
        <f>HYPERLINK("http://141.218.60.56/~jnz1568/getInfo.php?workbook=12_04.xlsx&amp;sheet=U0&amp;row=8594&amp;col=7&amp;number=0.0151&amp;sourceID=14","0.0151")</f>
        <v>0.0151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HYPERLINK("http://141.218.60.56/~jnz1568/getInfo.php?workbook=12_04.xlsx&amp;sheet=U0&amp;row=8595&amp;col=6&amp;number=4.1&amp;sourceID=14","4.1")</f>
        <v>4.1</v>
      </c>
      <c r="G8595" s="4" t="str">
        <f>HYPERLINK("http://141.218.60.56/~jnz1568/getInfo.php?workbook=12_04.xlsx&amp;sheet=U0&amp;row=8595&amp;col=7&amp;number=0.015&amp;sourceID=14","0.015")</f>
        <v>0.015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HYPERLINK("http://141.218.60.56/~jnz1568/getInfo.php?workbook=12_04.xlsx&amp;sheet=U0&amp;row=8596&amp;col=6&amp;number=4.2&amp;sourceID=14","4.2")</f>
        <v>4.2</v>
      </c>
      <c r="G8596" s="4" t="str">
        <f>HYPERLINK("http://141.218.60.56/~jnz1568/getInfo.php?workbook=12_04.xlsx&amp;sheet=U0&amp;row=8596&amp;col=7&amp;number=0.0148&amp;sourceID=14","0.0148")</f>
        <v>0.0148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HYPERLINK("http://141.218.60.56/~jnz1568/getInfo.php?workbook=12_04.xlsx&amp;sheet=U0&amp;row=8597&amp;col=6&amp;number=4.3&amp;sourceID=14","4.3")</f>
        <v>4.3</v>
      </c>
      <c r="G8597" s="4" t="str">
        <f>HYPERLINK("http://141.218.60.56/~jnz1568/getInfo.php?workbook=12_04.xlsx&amp;sheet=U0&amp;row=8597&amp;col=7&amp;number=0.0147&amp;sourceID=14","0.0147")</f>
        <v>0.0147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HYPERLINK("http://141.218.60.56/~jnz1568/getInfo.php?workbook=12_04.xlsx&amp;sheet=U0&amp;row=8598&amp;col=6&amp;number=4.4&amp;sourceID=14","4.4")</f>
        <v>4.4</v>
      </c>
      <c r="G8598" s="4" t="str">
        <f>HYPERLINK("http://141.218.60.56/~jnz1568/getInfo.php?workbook=12_04.xlsx&amp;sheet=U0&amp;row=8598&amp;col=7&amp;number=0.0145&amp;sourceID=14","0.0145")</f>
        <v>0.0145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HYPERLINK("http://141.218.60.56/~jnz1568/getInfo.php?workbook=12_04.xlsx&amp;sheet=U0&amp;row=8599&amp;col=6&amp;number=4.5&amp;sourceID=14","4.5")</f>
        <v>4.5</v>
      </c>
      <c r="G8599" s="4" t="str">
        <f>HYPERLINK("http://141.218.60.56/~jnz1568/getInfo.php?workbook=12_04.xlsx&amp;sheet=U0&amp;row=8599&amp;col=7&amp;number=0.0143&amp;sourceID=14","0.0143")</f>
        <v>0.0143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HYPERLINK("http://141.218.60.56/~jnz1568/getInfo.php?workbook=12_04.xlsx&amp;sheet=U0&amp;row=8600&amp;col=6&amp;number=4.6&amp;sourceID=14","4.6")</f>
        <v>4.6</v>
      </c>
      <c r="G8600" s="4" t="str">
        <f>HYPERLINK("http://141.218.60.56/~jnz1568/getInfo.php?workbook=12_04.xlsx&amp;sheet=U0&amp;row=8600&amp;col=7&amp;number=0.014&amp;sourceID=14","0.014")</f>
        <v>0.014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HYPERLINK("http://141.218.60.56/~jnz1568/getInfo.php?workbook=12_04.xlsx&amp;sheet=U0&amp;row=8601&amp;col=6&amp;number=4.7&amp;sourceID=14","4.7")</f>
        <v>4.7</v>
      </c>
      <c r="G8601" s="4" t="str">
        <f>HYPERLINK("http://141.218.60.56/~jnz1568/getInfo.php?workbook=12_04.xlsx&amp;sheet=U0&amp;row=8601&amp;col=7&amp;number=0.0137&amp;sourceID=14","0.0137")</f>
        <v>0.0137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HYPERLINK("http://141.218.60.56/~jnz1568/getInfo.php?workbook=12_04.xlsx&amp;sheet=U0&amp;row=8602&amp;col=6&amp;number=4.8&amp;sourceID=14","4.8")</f>
        <v>4.8</v>
      </c>
      <c r="G8602" s="4" t="str">
        <f>HYPERLINK("http://141.218.60.56/~jnz1568/getInfo.php?workbook=12_04.xlsx&amp;sheet=U0&amp;row=8602&amp;col=7&amp;number=0.0132&amp;sourceID=14","0.0132")</f>
        <v>0.0132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HYPERLINK("http://141.218.60.56/~jnz1568/getInfo.php?workbook=12_04.xlsx&amp;sheet=U0&amp;row=8603&amp;col=6&amp;number=4.9&amp;sourceID=14","4.9")</f>
        <v>4.9</v>
      </c>
      <c r="G8603" s="4" t="str">
        <f>HYPERLINK("http://141.218.60.56/~jnz1568/getInfo.php?workbook=12_04.xlsx&amp;sheet=U0&amp;row=8603&amp;col=7&amp;number=0.0127&amp;sourceID=14","0.0127")</f>
        <v>0.0127</v>
      </c>
    </row>
    <row r="8604" spans="1:7">
      <c r="A8604" s="3">
        <v>12</v>
      </c>
      <c r="B8604" s="3">
        <v>4</v>
      </c>
      <c r="C8604" s="3">
        <v>5</v>
      </c>
      <c r="D8604" s="3">
        <v>54</v>
      </c>
      <c r="E8604" s="3">
        <v>1</v>
      </c>
      <c r="F8604" s="4" t="str">
        <f>HYPERLINK("http://141.218.60.56/~jnz1568/getInfo.php?workbook=12_04.xlsx&amp;sheet=U0&amp;row=8604&amp;col=6&amp;number=3&amp;sourceID=14","3")</f>
        <v>3</v>
      </c>
      <c r="G8604" s="4" t="str">
        <f>HYPERLINK("http://141.218.60.56/~jnz1568/getInfo.php?workbook=12_04.xlsx&amp;sheet=U0&amp;row=8604&amp;col=7&amp;number=0.0222&amp;sourceID=14","0.0222")</f>
        <v>0.0222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HYPERLINK("http://141.218.60.56/~jnz1568/getInfo.php?workbook=12_04.xlsx&amp;sheet=U0&amp;row=8605&amp;col=6&amp;number=3.1&amp;sourceID=14","3.1")</f>
        <v>3.1</v>
      </c>
      <c r="G8605" s="4" t="str">
        <f>HYPERLINK("http://141.218.60.56/~jnz1568/getInfo.php?workbook=12_04.xlsx&amp;sheet=U0&amp;row=8605&amp;col=7&amp;number=0.0222&amp;sourceID=14","0.0222")</f>
        <v>0.0222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HYPERLINK("http://141.218.60.56/~jnz1568/getInfo.php?workbook=12_04.xlsx&amp;sheet=U0&amp;row=8606&amp;col=6&amp;number=3.2&amp;sourceID=14","3.2")</f>
        <v>3.2</v>
      </c>
      <c r="G8606" s="4" t="str">
        <f>HYPERLINK("http://141.218.60.56/~jnz1568/getInfo.php?workbook=12_04.xlsx&amp;sheet=U0&amp;row=8606&amp;col=7&amp;number=0.0221&amp;sourceID=14","0.0221")</f>
        <v>0.0221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HYPERLINK("http://141.218.60.56/~jnz1568/getInfo.php?workbook=12_04.xlsx&amp;sheet=U0&amp;row=8607&amp;col=6&amp;number=3.3&amp;sourceID=14","3.3")</f>
        <v>3.3</v>
      </c>
      <c r="G8607" s="4" t="str">
        <f>HYPERLINK("http://141.218.60.56/~jnz1568/getInfo.php?workbook=12_04.xlsx&amp;sheet=U0&amp;row=8607&amp;col=7&amp;number=0.0221&amp;sourceID=14","0.0221")</f>
        <v>0.0221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HYPERLINK("http://141.218.60.56/~jnz1568/getInfo.php?workbook=12_04.xlsx&amp;sheet=U0&amp;row=8608&amp;col=6&amp;number=3.4&amp;sourceID=14","3.4")</f>
        <v>3.4</v>
      </c>
      <c r="G8608" s="4" t="str">
        <f>HYPERLINK("http://141.218.60.56/~jnz1568/getInfo.php?workbook=12_04.xlsx&amp;sheet=U0&amp;row=8608&amp;col=7&amp;number=0.0221&amp;sourceID=14","0.0221")</f>
        <v>0.0221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HYPERLINK("http://141.218.60.56/~jnz1568/getInfo.php?workbook=12_04.xlsx&amp;sheet=U0&amp;row=8609&amp;col=6&amp;number=3.5&amp;sourceID=14","3.5")</f>
        <v>3.5</v>
      </c>
      <c r="G8609" s="4" t="str">
        <f>HYPERLINK("http://141.218.60.56/~jnz1568/getInfo.php?workbook=12_04.xlsx&amp;sheet=U0&amp;row=8609&amp;col=7&amp;number=0.0221&amp;sourceID=14","0.0221")</f>
        <v>0.0221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HYPERLINK("http://141.218.60.56/~jnz1568/getInfo.php?workbook=12_04.xlsx&amp;sheet=U0&amp;row=8610&amp;col=6&amp;number=3.6&amp;sourceID=14","3.6")</f>
        <v>3.6</v>
      </c>
      <c r="G8610" s="4" t="str">
        <f>HYPERLINK("http://141.218.60.56/~jnz1568/getInfo.php?workbook=12_04.xlsx&amp;sheet=U0&amp;row=8610&amp;col=7&amp;number=0.022&amp;sourceID=14","0.022")</f>
        <v>0.022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HYPERLINK("http://141.218.60.56/~jnz1568/getInfo.php?workbook=12_04.xlsx&amp;sheet=U0&amp;row=8611&amp;col=6&amp;number=3.7&amp;sourceID=14","3.7")</f>
        <v>3.7</v>
      </c>
      <c r="G8611" s="4" t="str">
        <f>HYPERLINK("http://141.218.60.56/~jnz1568/getInfo.php?workbook=12_04.xlsx&amp;sheet=U0&amp;row=8611&amp;col=7&amp;number=0.022&amp;sourceID=14","0.022")</f>
        <v>0.022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HYPERLINK("http://141.218.60.56/~jnz1568/getInfo.php?workbook=12_04.xlsx&amp;sheet=U0&amp;row=8612&amp;col=6&amp;number=3.8&amp;sourceID=14","3.8")</f>
        <v>3.8</v>
      </c>
      <c r="G8612" s="4" t="str">
        <f>HYPERLINK("http://141.218.60.56/~jnz1568/getInfo.php?workbook=12_04.xlsx&amp;sheet=U0&amp;row=8612&amp;col=7&amp;number=0.0219&amp;sourceID=14","0.0219")</f>
        <v>0.0219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HYPERLINK("http://141.218.60.56/~jnz1568/getInfo.php?workbook=12_04.xlsx&amp;sheet=U0&amp;row=8613&amp;col=6&amp;number=3.9&amp;sourceID=14","3.9")</f>
        <v>3.9</v>
      </c>
      <c r="G8613" s="4" t="str">
        <f>HYPERLINK("http://141.218.60.56/~jnz1568/getInfo.php?workbook=12_04.xlsx&amp;sheet=U0&amp;row=8613&amp;col=7&amp;number=0.0219&amp;sourceID=14","0.0219")</f>
        <v>0.0219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HYPERLINK("http://141.218.60.56/~jnz1568/getInfo.php?workbook=12_04.xlsx&amp;sheet=U0&amp;row=8614&amp;col=6&amp;number=4&amp;sourceID=14","4")</f>
        <v>4</v>
      </c>
      <c r="G8614" s="4" t="str">
        <f>HYPERLINK("http://141.218.60.56/~jnz1568/getInfo.php?workbook=12_04.xlsx&amp;sheet=U0&amp;row=8614&amp;col=7&amp;number=0.0218&amp;sourceID=14","0.0218")</f>
        <v>0.0218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HYPERLINK("http://141.218.60.56/~jnz1568/getInfo.php?workbook=12_04.xlsx&amp;sheet=U0&amp;row=8615&amp;col=6&amp;number=4.1&amp;sourceID=14","4.1")</f>
        <v>4.1</v>
      </c>
      <c r="G8615" s="4" t="str">
        <f>HYPERLINK("http://141.218.60.56/~jnz1568/getInfo.php?workbook=12_04.xlsx&amp;sheet=U0&amp;row=8615&amp;col=7&amp;number=0.0217&amp;sourceID=14","0.0217")</f>
        <v>0.0217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HYPERLINK("http://141.218.60.56/~jnz1568/getInfo.php?workbook=12_04.xlsx&amp;sheet=U0&amp;row=8616&amp;col=6&amp;number=4.2&amp;sourceID=14","4.2")</f>
        <v>4.2</v>
      </c>
      <c r="G8616" s="4" t="str">
        <f>HYPERLINK("http://141.218.60.56/~jnz1568/getInfo.php?workbook=12_04.xlsx&amp;sheet=U0&amp;row=8616&amp;col=7&amp;number=0.0215&amp;sourceID=14","0.0215")</f>
        <v>0.0215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HYPERLINK("http://141.218.60.56/~jnz1568/getInfo.php?workbook=12_04.xlsx&amp;sheet=U0&amp;row=8617&amp;col=6&amp;number=4.3&amp;sourceID=14","4.3")</f>
        <v>4.3</v>
      </c>
      <c r="G8617" s="4" t="str">
        <f>HYPERLINK("http://141.218.60.56/~jnz1568/getInfo.php?workbook=12_04.xlsx&amp;sheet=U0&amp;row=8617&amp;col=7&amp;number=0.0214&amp;sourceID=14","0.0214")</f>
        <v>0.0214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HYPERLINK("http://141.218.60.56/~jnz1568/getInfo.php?workbook=12_04.xlsx&amp;sheet=U0&amp;row=8618&amp;col=6&amp;number=4.4&amp;sourceID=14","4.4")</f>
        <v>4.4</v>
      </c>
      <c r="G8618" s="4" t="str">
        <f>HYPERLINK("http://141.218.60.56/~jnz1568/getInfo.php?workbook=12_04.xlsx&amp;sheet=U0&amp;row=8618&amp;col=7&amp;number=0.0212&amp;sourceID=14","0.0212")</f>
        <v>0.0212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HYPERLINK("http://141.218.60.56/~jnz1568/getInfo.php?workbook=12_04.xlsx&amp;sheet=U0&amp;row=8619&amp;col=6&amp;number=4.5&amp;sourceID=14","4.5")</f>
        <v>4.5</v>
      </c>
      <c r="G8619" s="4" t="str">
        <f>HYPERLINK("http://141.218.60.56/~jnz1568/getInfo.php?workbook=12_04.xlsx&amp;sheet=U0&amp;row=8619&amp;col=7&amp;number=0.0209&amp;sourceID=14","0.0209")</f>
        <v>0.0209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HYPERLINK("http://141.218.60.56/~jnz1568/getInfo.php?workbook=12_04.xlsx&amp;sheet=U0&amp;row=8620&amp;col=6&amp;number=4.6&amp;sourceID=14","4.6")</f>
        <v>4.6</v>
      </c>
      <c r="G8620" s="4" t="str">
        <f>HYPERLINK("http://141.218.60.56/~jnz1568/getInfo.php?workbook=12_04.xlsx&amp;sheet=U0&amp;row=8620&amp;col=7&amp;number=0.0205&amp;sourceID=14","0.0205")</f>
        <v>0.0205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HYPERLINK("http://141.218.60.56/~jnz1568/getInfo.php?workbook=12_04.xlsx&amp;sheet=U0&amp;row=8621&amp;col=6&amp;number=4.7&amp;sourceID=14","4.7")</f>
        <v>4.7</v>
      </c>
      <c r="G8621" s="4" t="str">
        <f>HYPERLINK("http://141.218.60.56/~jnz1568/getInfo.php?workbook=12_04.xlsx&amp;sheet=U0&amp;row=8621&amp;col=7&amp;number=0.0201&amp;sourceID=14","0.0201")</f>
        <v>0.0201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HYPERLINK("http://141.218.60.56/~jnz1568/getInfo.php?workbook=12_04.xlsx&amp;sheet=U0&amp;row=8622&amp;col=6&amp;number=4.8&amp;sourceID=14","4.8")</f>
        <v>4.8</v>
      </c>
      <c r="G8622" s="4" t="str">
        <f>HYPERLINK("http://141.218.60.56/~jnz1568/getInfo.php?workbook=12_04.xlsx&amp;sheet=U0&amp;row=8622&amp;col=7&amp;number=0.0196&amp;sourceID=14","0.0196")</f>
        <v>0.0196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HYPERLINK("http://141.218.60.56/~jnz1568/getInfo.php?workbook=12_04.xlsx&amp;sheet=U0&amp;row=8623&amp;col=6&amp;number=4.9&amp;sourceID=14","4.9")</f>
        <v>4.9</v>
      </c>
      <c r="G8623" s="4" t="str">
        <f>HYPERLINK("http://141.218.60.56/~jnz1568/getInfo.php?workbook=12_04.xlsx&amp;sheet=U0&amp;row=8623&amp;col=7&amp;number=0.019&amp;sourceID=14","0.019")</f>
        <v>0.019</v>
      </c>
    </row>
    <row r="8624" spans="1:7">
      <c r="A8624" s="3">
        <v>12</v>
      </c>
      <c r="B8624" s="3">
        <v>4</v>
      </c>
      <c r="C8624" s="3">
        <v>5</v>
      </c>
      <c r="D8624" s="3">
        <v>55</v>
      </c>
      <c r="E8624" s="3">
        <v>1</v>
      </c>
      <c r="F8624" s="4" t="str">
        <f>HYPERLINK("http://141.218.60.56/~jnz1568/getInfo.php?workbook=12_04.xlsx&amp;sheet=U0&amp;row=8624&amp;col=6&amp;number=3&amp;sourceID=14","3")</f>
        <v>3</v>
      </c>
      <c r="G8624" s="4" t="str">
        <f>HYPERLINK("http://141.218.60.56/~jnz1568/getInfo.php?workbook=12_04.xlsx&amp;sheet=U0&amp;row=8624&amp;col=7&amp;number=0.0318&amp;sourceID=14","0.0318")</f>
        <v>0.0318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HYPERLINK("http://141.218.60.56/~jnz1568/getInfo.php?workbook=12_04.xlsx&amp;sheet=U0&amp;row=8625&amp;col=6&amp;number=3.1&amp;sourceID=14","3.1")</f>
        <v>3.1</v>
      </c>
      <c r="G8625" s="4" t="str">
        <f>HYPERLINK("http://141.218.60.56/~jnz1568/getInfo.php?workbook=12_04.xlsx&amp;sheet=U0&amp;row=8625&amp;col=7&amp;number=0.0318&amp;sourceID=14","0.0318")</f>
        <v>0.0318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HYPERLINK("http://141.218.60.56/~jnz1568/getInfo.php?workbook=12_04.xlsx&amp;sheet=U0&amp;row=8626&amp;col=6&amp;number=3.2&amp;sourceID=14","3.2")</f>
        <v>3.2</v>
      </c>
      <c r="G8626" s="4" t="str">
        <f>HYPERLINK("http://141.218.60.56/~jnz1568/getInfo.php?workbook=12_04.xlsx&amp;sheet=U0&amp;row=8626&amp;col=7&amp;number=0.0318&amp;sourceID=14","0.0318")</f>
        <v>0.0318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HYPERLINK("http://141.218.60.56/~jnz1568/getInfo.php?workbook=12_04.xlsx&amp;sheet=U0&amp;row=8627&amp;col=6&amp;number=3.3&amp;sourceID=14","3.3")</f>
        <v>3.3</v>
      </c>
      <c r="G8627" s="4" t="str">
        <f>HYPERLINK("http://141.218.60.56/~jnz1568/getInfo.php?workbook=12_04.xlsx&amp;sheet=U0&amp;row=8627&amp;col=7&amp;number=0.0318&amp;sourceID=14","0.0318")</f>
        <v>0.0318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HYPERLINK("http://141.218.60.56/~jnz1568/getInfo.php?workbook=12_04.xlsx&amp;sheet=U0&amp;row=8628&amp;col=6&amp;number=3.4&amp;sourceID=14","3.4")</f>
        <v>3.4</v>
      </c>
      <c r="G8628" s="4" t="str">
        <f>HYPERLINK("http://141.218.60.56/~jnz1568/getInfo.php?workbook=12_04.xlsx&amp;sheet=U0&amp;row=8628&amp;col=7&amp;number=0.0317&amp;sourceID=14","0.0317")</f>
        <v>0.0317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HYPERLINK("http://141.218.60.56/~jnz1568/getInfo.php?workbook=12_04.xlsx&amp;sheet=U0&amp;row=8629&amp;col=6&amp;number=3.5&amp;sourceID=14","3.5")</f>
        <v>3.5</v>
      </c>
      <c r="G8629" s="4" t="str">
        <f>HYPERLINK("http://141.218.60.56/~jnz1568/getInfo.php?workbook=12_04.xlsx&amp;sheet=U0&amp;row=8629&amp;col=7&amp;number=0.0317&amp;sourceID=14","0.0317")</f>
        <v>0.0317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HYPERLINK("http://141.218.60.56/~jnz1568/getInfo.php?workbook=12_04.xlsx&amp;sheet=U0&amp;row=8630&amp;col=6&amp;number=3.6&amp;sourceID=14","3.6")</f>
        <v>3.6</v>
      </c>
      <c r="G8630" s="4" t="str">
        <f>HYPERLINK("http://141.218.60.56/~jnz1568/getInfo.php?workbook=12_04.xlsx&amp;sheet=U0&amp;row=8630&amp;col=7&amp;number=0.0316&amp;sourceID=14","0.0316")</f>
        <v>0.0316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HYPERLINK("http://141.218.60.56/~jnz1568/getInfo.php?workbook=12_04.xlsx&amp;sheet=U0&amp;row=8631&amp;col=6&amp;number=3.7&amp;sourceID=14","3.7")</f>
        <v>3.7</v>
      </c>
      <c r="G8631" s="4" t="str">
        <f>HYPERLINK("http://141.218.60.56/~jnz1568/getInfo.php?workbook=12_04.xlsx&amp;sheet=U0&amp;row=8631&amp;col=7&amp;number=0.0315&amp;sourceID=14","0.0315")</f>
        <v>0.0315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HYPERLINK("http://141.218.60.56/~jnz1568/getInfo.php?workbook=12_04.xlsx&amp;sheet=U0&amp;row=8632&amp;col=6&amp;number=3.8&amp;sourceID=14","3.8")</f>
        <v>3.8</v>
      </c>
      <c r="G8632" s="4" t="str">
        <f>HYPERLINK("http://141.218.60.56/~jnz1568/getInfo.php?workbook=12_04.xlsx&amp;sheet=U0&amp;row=8632&amp;col=7&amp;number=0.0315&amp;sourceID=14","0.0315")</f>
        <v>0.0315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HYPERLINK("http://141.218.60.56/~jnz1568/getInfo.php?workbook=12_04.xlsx&amp;sheet=U0&amp;row=8633&amp;col=6&amp;number=3.9&amp;sourceID=14","3.9")</f>
        <v>3.9</v>
      </c>
      <c r="G8633" s="4" t="str">
        <f>HYPERLINK("http://141.218.60.56/~jnz1568/getInfo.php?workbook=12_04.xlsx&amp;sheet=U0&amp;row=8633&amp;col=7&amp;number=0.0313&amp;sourceID=14","0.0313")</f>
        <v>0.0313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HYPERLINK("http://141.218.60.56/~jnz1568/getInfo.php?workbook=12_04.xlsx&amp;sheet=U0&amp;row=8634&amp;col=6&amp;number=4&amp;sourceID=14","4")</f>
        <v>4</v>
      </c>
      <c r="G8634" s="4" t="str">
        <f>HYPERLINK("http://141.218.60.56/~jnz1568/getInfo.php?workbook=12_04.xlsx&amp;sheet=U0&amp;row=8634&amp;col=7&amp;number=0.0312&amp;sourceID=14","0.0312")</f>
        <v>0.0312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HYPERLINK("http://141.218.60.56/~jnz1568/getInfo.php?workbook=12_04.xlsx&amp;sheet=U0&amp;row=8635&amp;col=6&amp;number=4.1&amp;sourceID=14","4.1")</f>
        <v>4.1</v>
      </c>
      <c r="G8635" s="4" t="str">
        <f>HYPERLINK("http://141.218.60.56/~jnz1568/getInfo.php?workbook=12_04.xlsx&amp;sheet=U0&amp;row=8635&amp;col=7&amp;number=0.031&amp;sourceID=14","0.031")</f>
        <v>0.031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HYPERLINK("http://141.218.60.56/~jnz1568/getInfo.php?workbook=12_04.xlsx&amp;sheet=U0&amp;row=8636&amp;col=6&amp;number=4.2&amp;sourceID=14","4.2")</f>
        <v>4.2</v>
      </c>
      <c r="G8636" s="4" t="str">
        <f>HYPERLINK("http://141.218.60.56/~jnz1568/getInfo.php?workbook=12_04.xlsx&amp;sheet=U0&amp;row=8636&amp;col=7&amp;number=0.0308&amp;sourceID=14","0.0308")</f>
        <v>0.0308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HYPERLINK("http://141.218.60.56/~jnz1568/getInfo.php?workbook=12_04.xlsx&amp;sheet=U0&amp;row=8637&amp;col=6&amp;number=4.3&amp;sourceID=14","4.3")</f>
        <v>4.3</v>
      </c>
      <c r="G8637" s="4" t="str">
        <f>HYPERLINK("http://141.218.60.56/~jnz1568/getInfo.php?workbook=12_04.xlsx&amp;sheet=U0&amp;row=8637&amp;col=7&amp;number=0.0305&amp;sourceID=14","0.0305")</f>
        <v>0.0305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HYPERLINK("http://141.218.60.56/~jnz1568/getInfo.php?workbook=12_04.xlsx&amp;sheet=U0&amp;row=8638&amp;col=6&amp;number=4.4&amp;sourceID=14","4.4")</f>
        <v>4.4</v>
      </c>
      <c r="G8638" s="4" t="str">
        <f>HYPERLINK("http://141.218.60.56/~jnz1568/getInfo.php?workbook=12_04.xlsx&amp;sheet=U0&amp;row=8638&amp;col=7&amp;number=0.0301&amp;sourceID=14","0.0301")</f>
        <v>0.0301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HYPERLINK("http://141.218.60.56/~jnz1568/getInfo.php?workbook=12_04.xlsx&amp;sheet=U0&amp;row=8639&amp;col=6&amp;number=4.5&amp;sourceID=14","4.5")</f>
        <v>4.5</v>
      </c>
      <c r="G8639" s="4" t="str">
        <f>HYPERLINK("http://141.218.60.56/~jnz1568/getInfo.php?workbook=12_04.xlsx&amp;sheet=U0&amp;row=8639&amp;col=7&amp;number=0.0297&amp;sourceID=14","0.0297")</f>
        <v>0.0297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HYPERLINK("http://141.218.60.56/~jnz1568/getInfo.php?workbook=12_04.xlsx&amp;sheet=U0&amp;row=8640&amp;col=6&amp;number=4.6&amp;sourceID=14","4.6")</f>
        <v>4.6</v>
      </c>
      <c r="G8640" s="4" t="str">
        <f>HYPERLINK("http://141.218.60.56/~jnz1568/getInfo.php?workbook=12_04.xlsx&amp;sheet=U0&amp;row=8640&amp;col=7&amp;number=0.0292&amp;sourceID=14","0.0292")</f>
        <v>0.0292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HYPERLINK("http://141.218.60.56/~jnz1568/getInfo.php?workbook=12_04.xlsx&amp;sheet=U0&amp;row=8641&amp;col=6&amp;number=4.7&amp;sourceID=14","4.7")</f>
        <v>4.7</v>
      </c>
      <c r="G8641" s="4" t="str">
        <f>HYPERLINK("http://141.218.60.56/~jnz1568/getInfo.php?workbook=12_04.xlsx&amp;sheet=U0&amp;row=8641&amp;col=7&amp;number=0.0285&amp;sourceID=14","0.0285")</f>
        <v>0.0285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HYPERLINK("http://141.218.60.56/~jnz1568/getInfo.php?workbook=12_04.xlsx&amp;sheet=U0&amp;row=8642&amp;col=6&amp;number=4.8&amp;sourceID=14","4.8")</f>
        <v>4.8</v>
      </c>
      <c r="G8642" s="4" t="str">
        <f>HYPERLINK("http://141.218.60.56/~jnz1568/getInfo.php?workbook=12_04.xlsx&amp;sheet=U0&amp;row=8642&amp;col=7&amp;number=0.0277&amp;sourceID=14","0.0277")</f>
        <v>0.0277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HYPERLINK("http://141.218.60.56/~jnz1568/getInfo.php?workbook=12_04.xlsx&amp;sheet=U0&amp;row=8643&amp;col=6&amp;number=4.9&amp;sourceID=14","4.9")</f>
        <v>4.9</v>
      </c>
      <c r="G8643" s="4" t="str">
        <f>HYPERLINK("http://141.218.60.56/~jnz1568/getInfo.php?workbook=12_04.xlsx&amp;sheet=U0&amp;row=8643&amp;col=7&amp;number=0.0267&amp;sourceID=14","0.0267")</f>
        <v>0.0267</v>
      </c>
    </row>
    <row r="8644" spans="1:7">
      <c r="A8644" s="3">
        <v>12</v>
      </c>
      <c r="B8644" s="3">
        <v>4</v>
      </c>
      <c r="C8644" s="3">
        <v>5</v>
      </c>
      <c r="D8644" s="3">
        <v>56</v>
      </c>
      <c r="E8644" s="3">
        <v>1</v>
      </c>
      <c r="F8644" s="4" t="str">
        <f>HYPERLINK("http://141.218.60.56/~jnz1568/getInfo.php?workbook=12_04.xlsx&amp;sheet=U0&amp;row=8644&amp;col=6&amp;number=3&amp;sourceID=14","3")</f>
        <v>3</v>
      </c>
      <c r="G8644" s="4" t="str">
        <f>HYPERLINK("http://141.218.60.56/~jnz1568/getInfo.php?workbook=12_04.xlsx&amp;sheet=U0&amp;row=8644&amp;col=7&amp;number=0.0847&amp;sourceID=14","0.0847")</f>
        <v>0.0847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HYPERLINK("http://141.218.60.56/~jnz1568/getInfo.php?workbook=12_04.xlsx&amp;sheet=U0&amp;row=8645&amp;col=6&amp;number=3.1&amp;sourceID=14","3.1")</f>
        <v>3.1</v>
      </c>
      <c r="G8645" s="4" t="str">
        <f>HYPERLINK("http://141.218.60.56/~jnz1568/getInfo.php?workbook=12_04.xlsx&amp;sheet=U0&amp;row=8645&amp;col=7&amp;number=0.0847&amp;sourceID=14","0.0847")</f>
        <v>0.0847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HYPERLINK("http://141.218.60.56/~jnz1568/getInfo.php?workbook=12_04.xlsx&amp;sheet=U0&amp;row=8646&amp;col=6&amp;number=3.2&amp;sourceID=14","3.2")</f>
        <v>3.2</v>
      </c>
      <c r="G8646" s="4" t="str">
        <f>HYPERLINK("http://141.218.60.56/~jnz1568/getInfo.php?workbook=12_04.xlsx&amp;sheet=U0&amp;row=8646&amp;col=7&amp;number=0.0847&amp;sourceID=14","0.0847")</f>
        <v>0.0847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HYPERLINK("http://141.218.60.56/~jnz1568/getInfo.php?workbook=12_04.xlsx&amp;sheet=U0&amp;row=8647&amp;col=6&amp;number=3.3&amp;sourceID=14","3.3")</f>
        <v>3.3</v>
      </c>
      <c r="G8647" s="4" t="str">
        <f>HYPERLINK("http://141.218.60.56/~jnz1568/getInfo.php?workbook=12_04.xlsx&amp;sheet=U0&amp;row=8647&amp;col=7&amp;number=0.0847&amp;sourceID=14","0.0847")</f>
        <v>0.0847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HYPERLINK("http://141.218.60.56/~jnz1568/getInfo.php?workbook=12_04.xlsx&amp;sheet=U0&amp;row=8648&amp;col=6&amp;number=3.4&amp;sourceID=14","3.4")</f>
        <v>3.4</v>
      </c>
      <c r="G8648" s="4" t="str">
        <f>HYPERLINK("http://141.218.60.56/~jnz1568/getInfo.php?workbook=12_04.xlsx&amp;sheet=U0&amp;row=8648&amp;col=7&amp;number=0.0847&amp;sourceID=14","0.0847")</f>
        <v>0.0847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HYPERLINK("http://141.218.60.56/~jnz1568/getInfo.php?workbook=12_04.xlsx&amp;sheet=U0&amp;row=8649&amp;col=6&amp;number=3.5&amp;sourceID=14","3.5")</f>
        <v>3.5</v>
      </c>
      <c r="G8649" s="4" t="str">
        <f>HYPERLINK("http://141.218.60.56/~jnz1568/getInfo.php?workbook=12_04.xlsx&amp;sheet=U0&amp;row=8649&amp;col=7&amp;number=0.0847&amp;sourceID=14","0.0847")</f>
        <v>0.0847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HYPERLINK("http://141.218.60.56/~jnz1568/getInfo.php?workbook=12_04.xlsx&amp;sheet=U0&amp;row=8650&amp;col=6&amp;number=3.6&amp;sourceID=14","3.6")</f>
        <v>3.6</v>
      </c>
      <c r="G8650" s="4" t="str">
        <f>HYPERLINK("http://141.218.60.56/~jnz1568/getInfo.php?workbook=12_04.xlsx&amp;sheet=U0&amp;row=8650&amp;col=7&amp;number=0.0847&amp;sourceID=14","0.0847")</f>
        <v>0.0847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HYPERLINK("http://141.218.60.56/~jnz1568/getInfo.php?workbook=12_04.xlsx&amp;sheet=U0&amp;row=8651&amp;col=6&amp;number=3.7&amp;sourceID=14","3.7")</f>
        <v>3.7</v>
      </c>
      <c r="G8651" s="4" t="str">
        <f>HYPERLINK("http://141.218.60.56/~jnz1568/getInfo.php?workbook=12_04.xlsx&amp;sheet=U0&amp;row=8651&amp;col=7&amp;number=0.0847&amp;sourceID=14","0.0847")</f>
        <v>0.0847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HYPERLINK("http://141.218.60.56/~jnz1568/getInfo.php?workbook=12_04.xlsx&amp;sheet=U0&amp;row=8652&amp;col=6&amp;number=3.8&amp;sourceID=14","3.8")</f>
        <v>3.8</v>
      </c>
      <c r="G8652" s="4" t="str">
        <f>HYPERLINK("http://141.218.60.56/~jnz1568/getInfo.php?workbook=12_04.xlsx&amp;sheet=U0&amp;row=8652&amp;col=7&amp;number=0.0847&amp;sourceID=14","0.0847")</f>
        <v>0.0847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HYPERLINK("http://141.218.60.56/~jnz1568/getInfo.php?workbook=12_04.xlsx&amp;sheet=U0&amp;row=8653&amp;col=6&amp;number=3.9&amp;sourceID=14","3.9")</f>
        <v>3.9</v>
      </c>
      <c r="G8653" s="4" t="str">
        <f>HYPERLINK("http://141.218.60.56/~jnz1568/getInfo.php?workbook=12_04.xlsx&amp;sheet=U0&amp;row=8653&amp;col=7&amp;number=0.0847&amp;sourceID=14","0.0847")</f>
        <v>0.0847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HYPERLINK("http://141.218.60.56/~jnz1568/getInfo.php?workbook=12_04.xlsx&amp;sheet=U0&amp;row=8654&amp;col=6&amp;number=4&amp;sourceID=14","4")</f>
        <v>4</v>
      </c>
      <c r="G8654" s="4" t="str">
        <f>HYPERLINK("http://141.218.60.56/~jnz1568/getInfo.php?workbook=12_04.xlsx&amp;sheet=U0&amp;row=8654&amp;col=7&amp;number=0.0847&amp;sourceID=14","0.0847")</f>
        <v>0.0847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HYPERLINK("http://141.218.60.56/~jnz1568/getInfo.php?workbook=12_04.xlsx&amp;sheet=U0&amp;row=8655&amp;col=6&amp;number=4.1&amp;sourceID=14","4.1")</f>
        <v>4.1</v>
      </c>
      <c r="G8655" s="4" t="str">
        <f>HYPERLINK("http://141.218.60.56/~jnz1568/getInfo.php?workbook=12_04.xlsx&amp;sheet=U0&amp;row=8655&amp;col=7&amp;number=0.0847&amp;sourceID=14","0.0847")</f>
        <v>0.0847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HYPERLINK("http://141.218.60.56/~jnz1568/getInfo.php?workbook=12_04.xlsx&amp;sheet=U0&amp;row=8656&amp;col=6&amp;number=4.2&amp;sourceID=14","4.2")</f>
        <v>4.2</v>
      </c>
      <c r="G8656" s="4" t="str">
        <f>HYPERLINK("http://141.218.60.56/~jnz1568/getInfo.php?workbook=12_04.xlsx&amp;sheet=U0&amp;row=8656&amp;col=7&amp;number=0.0847&amp;sourceID=14","0.0847")</f>
        <v>0.0847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HYPERLINK("http://141.218.60.56/~jnz1568/getInfo.php?workbook=12_04.xlsx&amp;sheet=U0&amp;row=8657&amp;col=6&amp;number=4.3&amp;sourceID=14","4.3")</f>
        <v>4.3</v>
      </c>
      <c r="G8657" s="4" t="str">
        <f>HYPERLINK("http://141.218.60.56/~jnz1568/getInfo.php?workbook=12_04.xlsx&amp;sheet=U0&amp;row=8657&amp;col=7&amp;number=0.0847&amp;sourceID=14","0.0847")</f>
        <v>0.0847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HYPERLINK("http://141.218.60.56/~jnz1568/getInfo.php?workbook=12_04.xlsx&amp;sheet=U0&amp;row=8658&amp;col=6&amp;number=4.4&amp;sourceID=14","4.4")</f>
        <v>4.4</v>
      </c>
      <c r="G8658" s="4" t="str">
        <f>HYPERLINK("http://141.218.60.56/~jnz1568/getInfo.php?workbook=12_04.xlsx&amp;sheet=U0&amp;row=8658&amp;col=7&amp;number=0.0847&amp;sourceID=14","0.0847")</f>
        <v>0.0847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HYPERLINK("http://141.218.60.56/~jnz1568/getInfo.php?workbook=12_04.xlsx&amp;sheet=U0&amp;row=8659&amp;col=6&amp;number=4.5&amp;sourceID=14","4.5")</f>
        <v>4.5</v>
      </c>
      <c r="G8659" s="4" t="str">
        <f>HYPERLINK("http://141.218.60.56/~jnz1568/getInfo.php?workbook=12_04.xlsx&amp;sheet=U0&amp;row=8659&amp;col=7&amp;number=0.0847&amp;sourceID=14","0.0847")</f>
        <v>0.0847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HYPERLINK("http://141.218.60.56/~jnz1568/getInfo.php?workbook=12_04.xlsx&amp;sheet=U0&amp;row=8660&amp;col=6&amp;number=4.6&amp;sourceID=14","4.6")</f>
        <v>4.6</v>
      </c>
      <c r="G8660" s="4" t="str">
        <f>HYPERLINK("http://141.218.60.56/~jnz1568/getInfo.php?workbook=12_04.xlsx&amp;sheet=U0&amp;row=8660&amp;col=7&amp;number=0.0847&amp;sourceID=14","0.0847")</f>
        <v>0.0847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HYPERLINK("http://141.218.60.56/~jnz1568/getInfo.php?workbook=12_04.xlsx&amp;sheet=U0&amp;row=8661&amp;col=6&amp;number=4.7&amp;sourceID=14","4.7")</f>
        <v>4.7</v>
      </c>
      <c r="G8661" s="4" t="str">
        <f>HYPERLINK("http://141.218.60.56/~jnz1568/getInfo.php?workbook=12_04.xlsx&amp;sheet=U0&amp;row=8661&amp;col=7&amp;number=0.0847&amp;sourceID=14","0.0847")</f>
        <v>0.0847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HYPERLINK("http://141.218.60.56/~jnz1568/getInfo.php?workbook=12_04.xlsx&amp;sheet=U0&amp;row=8662&amp;col=6&amp;number=4.8&amp;sourceID=14","4.8")</f>
        <v>4.8</v>
      </c>
      <c r="G8662" s="4" t="str">
        <f>HYPERLINK("http://141.218.60.56/~jnz1568/getInfo.php?workbook=12_04.xlsx&amp;sheet=U0&amp;row=8662&amp;col=7&amp;number=0.0847&amp;sourceID=14","0.0847")</f>
        <v>0.0847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HYPERLINK("http://141.218.60.56/~jnz1568/getInfo.php?workbook=12_04.xlsx&amp;sheet=U0&amp;row=8663&amp;col=6&amp;number=4.9&amp;sourceID=14","4.9")</f>
        <v>4.9</v>
      </c>
      <c r="G8663" s="4" t="str">
        <f>HYPERLINK("http://141.218.60.56/~jnz1568/getInfo.php?workbook=12_04.xlsx&amp;sheet=U0&amp;row=8663&amp;col=7&amp;number=0.0847&amp;sourceID=14","0.0847")</f>
        <v>0.0847</v>
      </c>
    </row>
    <row r="8664" spans="1:7">
      <c r="A8664" s="3">
        <v>12</v>
      </c>
      <c r="B8664" s="3">
        <v>4</v>
      </c>
      <c r="C8664" s="3">
        <v>5</v>
      </c>
      <c r="D8664" s="3">
        <v>57</v>
      </c>
      <c r="E8664" s="3">
        <v>1</v>
      </c>
      <c r="F8664" s="4" t="str">
        <f>HYPERLINK("http://141.218.60.56/~jnz1568/getInfo.php?workbook=12_04.xlsx&amp;sheet=U0&amp;row=8664&amp;col=6&amp;number=3&amp;sourceID=14","3")</f>
        <v>3</v>
      </c>
      <c r="G8664" s="4" t="str">
        <f>HYPERLINK("http://141.218.60.56/~jnz1568/getInfo.php?workbook=12_04.xlsx&amp;sheet=U0&amp;row=8664&amp;col=7&amp;number=0.00726&amp;sourceID=14","0.00726")</f>
        <v>0.00726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HYPERLINK("http://141.218.60.56/~jnz1568/getInfo.php?workbook=12_04.xlsx&amp;sheet=U0&amp;row=8665&amp;col=6&amp;number=3.1&amp;sourceID=14","3.1")</f>
        <v>3.1</v>
      </c>
      <c r="G8665" s="4" t="str">
        <f>HYPERLINK("http://141.218.60.56/~jnz1568/getInfo.php?workbook=12_04.xlsx&amp;sheet=U0&amp;row=8665&amp;col=7&amp;number=0.00725&amp;sourceID=14","0.00725")</f>
        <v>0.00725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HYPERLINK("http://141.218.60.56/~jnz1568/getInfo.php?workbook=12_04.xlsx&amp;sheet=U0&amp;row=8666&amp;col=6&amp;number=3.2&amp;sourceID=14","3.2")</f>
        <v>3.2</v>
      </c>
      <c r="G8666" s="4" t="str">
        <f>HYPERLINK("http://141.218.60.56/~jnz1568/getInfo.php?workbook=12_04.xlsx&amp;sheet=U0&amp;row=8666&amp;col=7&amp;number=0.00725&amp;sourceID=14","0.00725")</f>
        <v>0.00725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HYPERLINK("http://141.218.60.56/~jnz1568/getInfo.php?workbook=12_04.xlsx&amp;sheet=U0&amp;row=8667&amp;col=6&amp;number=3.3&amp;sourceID=14","3.3")</f>
        <v>3.3</v>
      </c>
      <c r="G8667" s="4" t="str">
        <f>HYPERLINK("http://141.218.60.56/~jnz1568/getInfo.php?workbook=12_04.xlsx&amp;sheet=U0&amp;row=8667&amp;col=7&amp;number=0.00725&amp;sourceID=14","0.00725")</f>
        <v>0.00725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HYPERLINK("http://141.218.60.56/~jnz1568/getInfo.php?workbook=12_04.xlsx&amp;sheet=U0&amp;row=8668&amp;col=6&amp;number=3.4&amp;sourceID=14","3.4")</f>
        <v>3.4</v>
      </c>
      <c r="G8668" s="4" t="str">
        <f>HYPERLINK("http://141.218.60.56/~jnz1568/getInfo.php?workbook=12_04.xlsx&amp;sheet=U0&amp;row=8668&amp;col=7&amp;number=0.00724&amp;sourceID=14","0.00724")</f>
        <v>0.00724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HYPERLINK("http://141.218.60.56/~jnz1568/getInfo.php?workbook=12_04.xlsx&amp;sheet=U0&amp;row=8669&amp;col=6&amp;number=3.5&amp;sourceID=14","3.5")</f>
        <v>3.5</v>
      </c>
      <c r="G8669" s="4" t="str">
        <f>HYPERLINK("http://141.218.60.56/~jnz1568/getInfo.php?workbook=12_04.xlsx&amp;sheet=U0&amp;row=8669&amp;col=7&amp;number=0.00723&amp;sourceID=14","0.00723")</f>
        <v>0.00723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HYPERLINK("http://141.218.60.56/~jnz1568/getInfo.php?workbook=12_04.xlsx&amp;sheet=U0&amp;row=8670&amp;col=6&amp;number=3.6&amp;sourceID=14","3.6")</f>
        <v>3.6</v>
      </c>
      <c r="G8670" s="4" t="str">
        <f>HYPERLINK("http://141.218.60.56/~jnz1568/getInfo.php?workbook=12_04.xlsx&amp;sheet=U0&amp;row=8670&amp;col=7&amp;number=0.00722&amp;sourceID=14","0.00722")</f>
        <v>0.00722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HYPERLINK("http://141.218.60.56/~jnz1568/getInfo.php?workbook=12_04.xlsx&amp;sheet=U0&amp;row=8671&amp;col=6&amp;number=3.7&amp;sourceID=14","3.7")</f>
        <v>3.7</v>
      </c>
      <c r="G8671" s="4" t="str">
        <f>HYPERLINK("http://141.218.60.56/~jnz1568/getInfo.php?workbook=12_04.xlsx&amp;sheet=U0&amp;row=8671&amp;col=7&amp;number=0.00721&amp;sourceID=14","0.00721")</f>
        <v>0.00721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HYPERLINK("http://141.218.60.56/~jnz1568/getInfo.php?workbook=12_04.xlsx&amp;sheet=U0&amp;row=8672&amp;col=6&amp;number=3.8&amp;sourceID=14","3.8")</f>
        <v>3.8</v>
      </c>
      <c r="G8672" s="4" t="str">
        <f>HYPERLINK("http://141.218.60.56/~jnz1568/getInfo.php?workbook=12_04.xlsx&amp;sheet=U0&amp;row=8672&amp;col=7&amp;number=0.0072&amp;sourceID=14","0.0072")</f>
        <v>0.0072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HYPERLINK("http://141.218.60.56/~jnz1568/getInfo.php?workbook=12_04.xlsx&amp;sheet=U0&amp;row=8673&amp;col=6&amp;number=3.9&amp;sourceID=14","3.9")</f>
        <v>3.9</v>
      </c>
      <c r="G8673" s="4" t="str">
        <f>HYPERLINK("http://141.218.60.56/~jnz1568/getInfo.php?workbook=12_04.xlsx&amp;sheet=U0&amp;row=8673&amp;col=7&amp;number=0.00718&amp;sourceID=14","0.00718")</f>
        <v>0.00718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HYPERLINK("http://141.218.60.56/~jnz1568/getInfo.php?workbook=12_04.xlsx&amp;sheet=U0&amp;row=8674&amp;col=6&amp;number=4&amp;sourceID=14","4")</f>
        <v>4</v>
      </c>
      <c r="G8674" s="4" t="str">
        <f>HYPERLINK("http://141.218.60.56/~jnz1568/getInfo.php?workbook=12_04.xlsx&amp;sheet=U0&amp;row=8674&amp;col=7&amp;number=0.00716&amp;sourceID=14","0.00716")</f>
        <v>0.00716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HYPERLINK("http://141.218.60.56/~jnz1568/getInfo.php?workbook=12_04.xlsx&amp;sheet=U0&amp;row=8675&amp;col=6&amp;number=4.1&amp;sourceID=14","4.1")</f>
        <v>4.1</v>
      </c>
      <c r="G8675" s="4" t="str">
        <f>HYPERLINK("http://141.218.60.56/~jnz1568/getInfo.php?workbook=12_04.xlsx&amp;sheet=U0&amp;row=8675&amp;col=7&amp;number=0.00713&amp;sourceID=14","0.00713")</f>
        <v>0.00713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HYPERLINK("http://141.218.60.56/~jnz1568/getInfo.php?workbook=12_04.xlsx&amp;sheet=U0&amp;row=8676&amp;col=6&amp;number=4.2&amp;sourceID=14","4.2")</f>
        <v>4.2</v>
      </c>
      <c r="G8676" s="4" t="str">
        <f>HYPERLINK("http://141.218.60.56/~jnz1568/getInfo.php?workbook=12_04.xlsx&amp;sheet=U0&amp;row=8676&amp;col=7&amp;number=0.0071&amp;sourceID=14","0.0071")</f>
        <v>0.0071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HYPERLINK("http://141.218.60.56/~jnz1568/getInfo.php?workbook=12_04.xlsx&amp;sheet=U0&amp;row=8677&amp;col=6&amp;number=4.3&amp;sourceID=14","4.3")</f>
        <v>4.3</v>
      </c>
      <c r="G8677" s="4" t="str">
        <f>HYPERLINK("http://141.218.60.56/~jnz1568/getInfo.php?workbook=12_04.xlsx&amp;sheet=U0&amp;row=8677&amp;col=7&amp;number=0.00705&amp;sourceID=14","0.00705")</f>
        <v>0.00705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HYPERLINK("http://141.218.60.56/~jnz1568/getInfo.php?workbook=12_04.xlsx&amp;sheet=U0&amp;row=8678&amp;col=6&amp;number=4.4&amp;sourceID=14","4.4")</f>
        <v>4.4</v>
      </c>
      <c r="G8678" s="4" t="str">
        <f>HYPERLINK("http://141.218.60.56/~jnz1568/getInfo.php?workbook=12_04.xlsx&amp;sheet=U0&amp;row=8678&amp;col=7&amp;number=0.007&amp;sourceID=14","0.007")</f>
        <v>0.007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HYPERLINK("http://141.218.60.56/~jnz1568/getInfo.php?workbook=12_04.xlsx&amp;sheet=U0&amp;row=8679&amp;col=6&amp;number=4.5&amp;sourceID=14","4.5")</f>
        <v>4.5</v>
      </c>
      <c r="G8679" s="4" t="str">
        <f>HYPERLINK("http://141.218.60.56/~jnz1568/getInfo.php?workbook=12_04.xlsx&amp;sheet=U0&amp;row=8679&amp;col=7&amp;number=0.00693&amp;sourceID=14","0.00693")</f>
        <v>0.00693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HYPERLINK("http://141.218.60.56/~jnz1568/getInfo.php?workbook=12_04.xlsx&amp;sheet=U0&amp;row=8680&amp;col=6&amp;number=4.6&amp;sourceID=14","4.6")</f>
        <v>4.6</v>
      </c>
      <c r="G8680" s="4" t="str">
        <f>HYPERLINK("http://141.218.60.56/~jnz1568/getInfo.php?workbook=12_04.xlsx&amp;sheet=U0&amp;row=8680&amp;col=7&amp;number=0.00685&amp;sourceID=14","0.00685")</f>
        <v>0.00685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HYPERLINK("http://141.218.60.56/~jnz1568/getInfo.php?workbook=12_04.xlsx&amp;sheet=U0&amp;row=8681&amp;col=6&amp;number=4.7&amp;sourceID=14","4.7")</f>
        <v>4.7</v>
      </c>
      <c r="G8681" s="4" t="str">
        <f>HYPERLINK("http://141.218.60.56/~jnz1568/getInfo.php?workbook=12_04.xlsx&amp;sheet=U0&amp;row=8681&amp;col=7&amp;number=0.00674&amp;sourceID=14","0.00674")</f>
        <v>0.00674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HYPERLINK("http://141.218.60.56/~jnz1568/getInfo.php?workbook=12_04.xlsx&amp;sheet=U0&amp;row=8682&amp;col=6&amp;number=4.8&amp;sourceID=14","4.8")</f>
        <v>4.8</v>
      </c>
      <c r="G8682" s="4" t="str">
        <f>HYPERLINK("http://141.218.60.56/~jnz1568/getInfo.php?workbook=12_04.xlsx&amp;sheet=U0&amp;row=8682&amp;col=7&amp;number=0.00661&amp;sourceID=14","0.00661")</f>
        <v>0.00661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HYPERLINK("http://141.218.60.56/~jnz1568/getInfo.php?workbook=12_04.xlsx&amp;sheet=U0&amp;row=8683&amp;col=6&amp;number=4.9&amp;sourceID=14","4.9")</f>
        <v>4.9</v>
      </c>
      <c r="G8683" s="4" t="str">
        <f>HYPERLINK("http://141.218.60.56/~jnz1568/getInfo.php?workbook=12_04.xlsx&amp;sheet=U0&amp;row=8683&amp;col=7&amp;number=0.00646&amp;sourceID=14","0.00646")</f>
        <v>0.00646</v>
      </c>
    </row>
    <row r="8684" spans="1:7">
      <c r="A8684" s="3">
        <v>12</v>
      </c>
      <c r="B8684" s="3">
        <v>4</v>
      </c>
      <c r="C8684" s="3">
        <v>5</v>
      </c>
      <c r="D8684" s="3">
        <v>58</v>
      </c>
      <c r="E8684" s="3">
        <v>1</v>
      </c>
      <c r="F8684" s="4" t="str">
        <f>HYPERLINK("http://141.218.60.56/~jnz1568/getInfo.php?workbook=12_04.xlsx&amp;sheet=U0&amp;row=8684&amp;col=6&amp;number=3&amp;sourceID=14","3")</f>
        <v>3</v>
      </c>
      <c r="G8684" s="4" t="str">
        <f>HYPERLINK("http://141.218.60.56/~jnz1568/getInfo.php?workbook=12_04.xlsx&amp;sheet=U0&amp;row=8684&amp;col=7&amp;number=0.00985&amp;sourceID=14","0.00985")</f>
        <v>0.00985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HYPERLINK("http://141.218.60.56/~jnz1568/getInfo.php?workbook=12_04.xlsx&amp;sheet=U0&amp;row=8685&amp;col=6&amp;number=3.1&amp;sourceID=14","3.1")</f>
        <v>3.1</v>
      </c>
      <c r="G8685" s="4" t="str">
        <f>HYPERLINK("http://141.218.60.56/~jnz1568/getInfo.php?workbook=12_04.xlsx&amp;sheet=U0&amp;row=8685&amp;col=7&amp;number=0.00984&amp;sourceID=14","0.00984")</f>
        <v>0.00984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HYPERLINK("http://141.218.60.56/~jnz1568/getInfo.php?workbook=12_04.xlsx&amp;sheet=U0&amp;row=8686&amp;col=6&amp;number=3.2&amp;sourceID=14","3.2")</f>
        <v>3.2</v>
      </c>
      <c r="G8686" s="4" t="str">
        <f>HYPERLINK("http://141.218.60.56/~jnz1568/getInfo.php?workbook=12_04.xlsx&amp;sheet=U0&amp;row=8686&amp;col=7&amp;number=0.00984&amp;sourceID=14","0.00984")</f>
        <v>0.00984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HYPERLINK("http://141.218.60.56/~jnz1568/getInfo.php?workbook=12_04.xlsx&amp;sheet=U0&amp;row=8687&amp;col=6&amp;number=3.3&amp;sourceID=14","3.3")</f>
        <v>3.3</v>
      </c>
      <c r="G8687" s="4" t="str">
        <f>HYPERLINK("http://141.218.60.56/~jnz1568/getInfo.php?workbook=12_04.xlsx&amp;sheet=U0&amp;row=8687&amp;col=7&amp;number=0.00983&amp;sourceID=14","0.00983")</f>
        <v>0.00983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HYPERLINK("http://141.218.60.56/~jnz1568/getInfo.php?workbook=12_04.xlsx&amp;sheet=U0&amp;row=8688&amp;col=6&amp;number=3.4&amp;sourceID=14","3.4")</f>
        <v>3.4</v>
      </c>
      <c r="G8688" s="4" t="str">
        <f>HYPERLINK("http://141.218.60.56/~jnz1568/getInfo.php?workbook=12_04.xlsx&amp;sheet=U0&amp;row=8688&amp;col=7&amp;number=0.00982&amp;sourceID=14","0.00982")</f>
        <v>0.00982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HYPERLINK("http://141.218.60.56/~jnz1568/getInfo.php?workbook=12_04.xlsx&amp;sheet=U0&amp;row=8689&amp;col=6&amp;number=3.5&amp;sourceID=14","3.5")</f>
        <v>3.5</v>
      </c>
      <c r="G8689" s="4" t="str">
        <f>HYPERLINK("http://141.218.60.56/~jnz1568/getInfo.php?workbook=12_04.xlsx&amp;sheet=U0&amp;row=8689&amp;col=7&amp;number=0.00982&amp;sourceID=14","0.00982")</f>
        <v>0.00982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HYPERLINK("http://141.218.60.56/~jnz1568/getInfo.php?workbook=12_04.xlsx&amp;sheet=U0&amp;row=8690&amp;col=6&amp;number=3.6&amp;sourceID=14","3.6")</f>
        <v>3.6</v>
      </c>
      <c r="G8690" s="4" t="str">
        <f>HYPERLINK("http://141.218.60.56/~jnz1568/getInfo.php?workbook=12_04.xlsx&amp;sheet=U0&amp;row=8690&amp;col=7&amp;number=0.0098&amp;sourceID=14","0.0098")</f>
        <v>0.0098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HYPERLINK("http://141.218.60.56/~jnz1568/getInfo.php?workbook=12_04.xlsx&amp;sheet=U0&amp;row=8691&amp;col=6&amp;number=3.7&amp;sourceID=14","3.7")</f>
        <v>3.7</v>
      </c>
      <c r="G8691" s="4" t="str">
        <f>HYPERLINK("http://141.218.60.56/~jnz1568/getInfo.php?workbook=12_04.xlsx&amp;sheet=U0&amp;row=8691&amp;col=7&amp;number=0.00979&amp;sourceID=14","0.00979")</f>
        <v>0.00979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HYPERLINK("http://141.218.60.56/~jnz1568/getInfo.php?workbook=12_04.xlsx&amp;sheet=U0&amp;row=8692&amp;col=6&amp;number=3.8&amp;sourceID=14","3.8")</f>
        <v>3.8</v>
      </c>
      <c r="G8692" s="4" t="str">
        <f>HYPERLINK("http://141.218.60.56/~jnz1568/getInfo.php?workbook=12_04.xlsx&amp;sheet=U0&amp;row=8692&amp;col=7&amp;number=0.00977&amp;sourceID=14","0.00977")</f>
        <v>0.00977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HYPERLINK("http://141.218.60.56/~jnz1568/getInfo.php?workbook=12_04.xlsx&amp;sheet=U0&amp;row=8693&amp;col=6&amp;number=3.9&amp;sourceID=14","3.9")</f>
        <v>3.9</v>
      </c>
      <c r="G8693" s="4" t="str">
        <f>HYPERLINK("http://141.218.60.56/~jnz1568/getInfo.php?workbook=12_04.xlsx&amp;sheet=U0&amp;row=8693&amp;col=7&amp;number=0.00975&amp;sourceID=14","0.00975")</f>
        <v>0.00975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HYPERLINK("http://141.218.60.56/~jnz1568/getInfo.php?workbook=12_04.xlsx&amp;sheet=U0&amp;row=8694&amp;col=6&amp;number=4&amp;sourceID=14","4")</f>
        <v>4</v>
      </c>
      <c r="G8694" s="4" t="str">
        <f>HYPERLINK("http://141.218.60.56/~jnz1568/getInfo.php?workbook=12_04.xlsx&amp;sheet=U0&amp;row=8694&amp;col=7&amp;number=0.00972&amp;sourceID=14","0.00972")</f>
        <v>0.00972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HYPERLINK("http://141.218.60.56/~jnz1568/getInfo.php?workbook=12_04.xlsx&amp;sheet=U0&amp;row=8695&amp;col=6&amp;number=4.1&amp;sourceID=14","4.1")</f>
        <v>4.1</v>
      </c>
      <c r="G8695" s="4" t="str">
        <f>HYPERLINK("http://141.218.60.56/~jnz1568/getInfo.php?workbook=12_04.xlsx&amp;sheet=U0&amp;row=8695&amp;col=7&amp;number=0.00969&amp;sourceID=14","0.00969")</f>
        <v>0.00969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HYPERLINK("http://141.218.60.56/~jnz1568/getInfo.php?workbook=12_04.xlsx&amp;sheet=U0&amp;row=8696&amp;col=6&amp;number=4.2&amp;sourceID=14","4.2")</f>
        <v>4.2</v>
      </c>
      <c r="G8696" s="4" t="str">
        <f>HYPERLINK("http://141.218.60.56/~jnz1568/getInfo.php?workbook=12_04.xlsx&amp;sheet=U0&amp;row=8696&amp;col=7&amp;number=0.00965&amp;sourceID=14","0.00965")</f>
        <v>0.00965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HYPERLINK("http://141.218.60.56/~jnz1568/getInfo.php?workbook=12_04.xlsx&amp;sheet=U0&amp;row=8697&amp;col=6&amp;number=4.3&amp;sourceID=14","4.3")</f>
        <v>4.3</v>
      </c>
      <c r="G8697" s="4" t="str">
        <f>HYPERLINK("http://141.218.60.56/~jnz1568/getInfo.php?workbook=12_04.xlsx&amp;sheet=U0&amp;row=8697&amp;col=7&amp;number=0.00959&amp;sourceID=14","0.00959")</f>
        <v>0.00959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HYPERLINK("http://141.218.60.56/~jnz1568/getInfo.php?workbook=12_04.xlsx&amp;sheet=U0&amp;row=8698&amp;col=6&amp;number=4.4&amp;sourceID=14","4.4")</f>
        <v>4.4</v>
      </c>
      <c r="G8698" s="4" t="str">
        <f>HYPERLINK("http://141.218.60.56/~jnz1568/getInfo.php?workbook=12_04.xlsx&amp;sheet=U0&amp;row=8698&amp;col=7&amp;number=0.00952&amp;sourceID=14","0.00952")</f>
        <v>0.00952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HYPERLINK("http://141.218.60.56/~jnz1568/getInfo.php?workbook=12_04.xlsx&amp;sheet=U0&amp;row=8699&amp;col=6&amp;number=4.5&amp;sourceID=14","4.5")</f>
        <v>4.5</v>
      </c>
      <c r="G8699" s="4" t="str">
        <f>HYPERLINK("http://141.218.60.56/~jnz1568/getInfo.php?workbook=12_04.xlsx&amp;sheet=U0&amp;row=8699&amp;col=7&amp;number=0.00944&amp;sourceID=14","0.00944")</f>
        <v>0.00944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HYPERLINK("http://141.218.60.56/~jnz1568/getInfo.php?workbook=12_04.xlsx&amp;sheet=U0&amp;row=8700&amp;col=6&amp;number=4.6&amp;sourceID=14","4.6")</f>
        <v>4.6</v>
      </c>
      <c r="G8700" s="4" t="str">
        <f>HYPERLINK("http://141.218.60.56/~jnz1568/getInfo.php?workbook=12_04.xlsx&amp;sheet=U0&amp;row=8700&amp;col=7&amp;number=0.00933&amp;sourceID=14","0.00933")</f>
        <v>0.00933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HYPERLINK("http://141.218.60.56/~jnz1568/getInfo.php?workbook=12_04.xlsx&amp;sheet=U0&amp;row=8701&amp;col=6&amp;number=4.7&amp;sourceID=14","4.7")</f>
        <v>4.7</v>
      </c>
      <c r="G8701" s="4" t="str">
        <f>HYPERLINK("http://141.218.60.56/~jnz1568/getInfo.php?workbook=12_04.xlsx&amp;sheet=U0&amp;row=8701&amp;col=7&amp;number=0.0092&amp;sourceID=14","0.0092")</f>
        <v>0.0092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HYPERLINK("http://141.218.60.56/~jnz1568/getInfo.php?workbook=12_04.xlsx&amp;sheet=U0&amp;row=8702&amp;col=6&amp;number=4.8&amp;sourceID=14","4.8")</f>
        <v>4.8</v>
      </c>
      <c r="G8702" s="4" t="str">
        <f>HYPERLINK("http://141.218.60.56/~jnz1568/getInfo.php?workbook=12_04.xlsx&amp;sheet=U0&amp;row=8702&amp;col=7&amp;number=0.00904&amp;sourceID=14","0.00904")</f>
        <v>0.00904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HYPERLINK("http://141.218.60.56/~jnz1568/getInfo.php?workbook=12_04.xlsx&amp;sheet=U0&amp;row=8703&amp;col=6&amp;number=4.9&amp;sourceID=14","4.9")</f>
        <v>4.9</v>
      </c>
      <c r="G8703" s="4" t="str">
        <f>HYPERLINK("http://141.218.60.56/~jnz1568/getInfo.php?workbook=12_04.xlsx&amp;sheet=U0&amp;row=8703&amp;col=7&amp;number=0.00884&amp;sourceID=14","0.00884")</f>
        <v>0.00884</v>
      </c>
    </row>
    <row r="8704" spans="1:7">
      <c r="A8704" s="3">
        <v>12</v>
      </c>
      <c r="B8704" s="3">
        <v>4</v>
      </c>
      <c r="C8704" s="3">
        <v>5</v>
      </c>
      <c r="D8704" s="3">
        <v>59</v>
      </c>
      <c r="E8704" s="3">
        <v>1</v>
      </c>
      <c r="F8704" s="4" t="str">
        <f>HYPERLINK("http://141.218.60.56/~jnz1568/getInfo.php?workbook=12_04.xlsx&amp;sheet=U0&amp;row=8704&amp;col=6&amp;number=3&amp;sourceID=14","3")</f>
        <v>3</v>
      </c>
      <c r="G8704" s="4" t="str">
        <f>HYPERLINK("http://141.218.60.56/~jnz1568/getInfo.php?workbook=12_04.xlsx&amp;sheet=U0&amp;row=8704&amp;col=7&amp;number=0.0122&amp;sourceID=14","0.0122")</f>
        <v>0.0122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HYPERLINK("http://141.218.60.56/~jnz1568/getInfo.php?workbook=12_04.xlsx&amp;sheet=U0&amp;row=8705&amp;col=6&amp;number=3.1&amp;sourceID=14","3.1")</f>
        <v>3.1</v>
      </c>
      <c r="G8705" s="4" t="str">
        <f>HYPERLINK("http://141.218.60.56/~jnz1568/getInfo.php?workbook=12_04.xlsx&amp;sheet=U0&amp;row=8705&amp;col=7&amp;number=0.0122&amp;sourceID=14","0.0122")</f>
        <v>0.0122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HYPERLINK("http://141.218.60.56/~jnz1568/getInfo.php?workbook=12_04.xlsx&amp;sheet=U0&amp;row=8706&amp;col=6&amp;number=3.2&amp;sourceID=14","3.2")</f>
        <v>3.2</v>
      </c>
      <c r="G8706" s="4" t="str">
        <f>HYPERLINK("http://141.218.60.56/~jnz1568/getInfo.php?workbook=12_04.xlsx&amp;sheet=U0&amp;row=8706&amp;col=7&amp;number=0.0122&amp;sourceID=14","0.0122")</f>
        <v>0.0122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HYPERLINK("http://141.218.60.56/~jnz1568/getInfo.php?workbook=12_04.xlsx&amp;sheet=U0&amp;row=8707&amp;col=6&amp;number=3.3&amp;sourceID=14","3.3")</f>
        <v>3.3</v>
      </c>
      <c r="G8707" s="4" t="str">
        <f>HYPERLINK("http://141.218.60.56/~jnz1568/getInfo.php?workbook=12_04.xlsx&amp;sheet=U0&amp;row=8707&amp;col=7&amp;number=0.0122&amp;sourceID=14","0.0122")</f>
        <v>0.0122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HYPERLINK("http://141.218.60.56/~jnz1568/getInfo.php?workbook=12_04.xlsx&amp;sheet=U0&amp;row=8708&amp;col=6&amp;number=3.4&amp;sourceID=14","3.4")</f>
        <v>3.4</v>
      </c>
      <c r="G8708" s="4" t="str">
        <f>HYPERLINK("http://141.218.60.56/~jnz1568/getInfo.php?workbook=12_04.xlsx&amp;sheet=U0&amp;row=8708&amp;col=7&amp;number=0.0122&amp;sourceID=14","0.0122")</f>
        <v>0.0122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HYPERLINK("http://141.218.60.56/~jnz1568/getInfo.php?workbook=12_04.xlsx&amp;sheet=U0&amp;row=8709&amp;col=6&amp;number=3.5&amp;sourceID=14","3.5")</f>
        <v>3.5</v>
      </c>
      <c r="G8709" s="4" t="str">
        <f>HYPERLINK("http://141.218.60.56/~jnz1568/getInfo.php?workbook=12_04.xlsx&amp;sheet=U0&amp;row=8709&amp;col=7&amp;number=0.0122&amp;sourceID=14","0.0122")</f>
        <v>0.0122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HYPERLINK("http://141.218.60.56/~jnz1568/getInfo.php?workbook=12_04.xlsx&amp;sheet=U0&amp;row=8710&amp;col=6&amp;number=3.6&amp;sourceID=14","3.6")</f>
        <v>3.6</v>
      </c>
      <c r="G8710" s="4" t="str">
        <f>HYPERLINK("http://141.218.60.56/~jnz1568/getInfo.php?workbook=12_04.xlsx&amp;sheet=U0&amp;row=8710&amp;col=7&amp;number=0.0121&amp;sourceID=14","0.0121")</f>
        <v>0.0121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HYPERLINK("http://141.218.60.56/~jnz1568/getInfo.php?workbook=12_04.xlsx&amp;sheet=U0&amp;row=8711&amp;col=6&amp;number=3.7&amp;sourceID=14","3.7")</f>
        <v>3.7</v>
      </c>
      <c r="G8711" s="4" t="str">
        <f>HYPERLINK("http://141.218.60.56/~jnz1568/getInfo.php?workbook=12_04.xlsx&amp;sheet=U0&amp;row=8711&amp;col=7&amp;number=0.0121&amp;sourceID=14","0.0121")</f>
        <v>0.0121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HYPERLINK("http://141.218.60.56/~jnz1568/getInfo.php?workbook=12_04.xlsx&amp;sheet=U0&amp;row=8712&amp;col=6&amp;number=3.8&amp;sourceID=14","3.8")</f>
        <v>3.8</v>
      </c>
      <c r="G8712" s="4" t="str">
        <f>HYPERLINK("http://141.218.60.56/~jnz1568/getInfo.php?workbook=12_04.xlsx&amp;sheet=U0&amp;row=8712&amp;col=7&amp;number=0.0121&amp;sourceID=14","0.0121")</f>
        <v>0.0121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HYPERLINK("http://141.218.60.56/~jnz1568/getInfo.php?workbook=12_04.xlsx&amp;sheet=U0&amp;row=8713&amp;col=6&amp;number=3.9&amp;sourceID=14","3.9")</f>
        <v>3.9</v>
      </c>
      <c r="G8713" s="4" t="str">
        <f>HYPERLINK("http://141.218.60.56/~jnz1568/getInfo.php?workbook=12_04.xlsx&amp;sheet=U0&amp;row=8713&amp;col=7&amp;number=0.0121&amp;sourceID=14","0.0121")</f>
        <v>0.0121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HYPERLINK("http://141.218.60.56/~jnz1568/getInfo.php?workbook=12_04.xlsx&amp;sheet=U0&amp;row=8714&amp;col=6&amp;number=4&amp;sourceID=14","4")</f>
        <v>4</v>
      </c>
      <c r="G8714" s="4" t="str">
        <f>HYPERLINK("http://141.218.60.56/~jnz1568/getInfo.php?workbook=12_04.xlsx&amp;sheet=U0&amp;row=8714&amp;col=7&amp;number=0.012&amp;sourceID=14","0.012")</f>
        <v>0.012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HYPERLINK("http://141.218.60.56/~jnz1568/getInfo.php?workbook=12_04.xlsx&amp;sheet=U0&amp;row=8715&amp;col=6&amp;number=4.1&amp;sourceID=14","4.1")</f>
        <v>4.1</v>
      </c>
      <c r="G8715" s="4" t="str">
        <f>HYPERLINK("http://141.218.60.56/~jnz1568/getInfo.php?workbook=12_04.xlsx&amp;sheet=U0&amp;row=8715&amp;col=7&amp;number=0.012&amp;sourceID=14","0.012")</f>
        <v>0.012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HYPERLINK("http://141.218.60.56/~jnz1568/getInfo.php?workbook=12_04.xlsx&amp;sheet=U0&amp;row=8716&amp;col=6&amp;number=4.2&amp;sourceID=14","4.2")</f>
        <v>4.2</v>
      </c>
      <c r="G8716" s="4" t="str">
        <f>HYPERLINK("http://141.218.60.56/~jnz1568/getInfo.php?workbook=12_04.xlsx&amp;sheet=U0&amp;row=8716&amp;col=7&amp;number=0.0119&amp;sourceID=14","0.0119")</f>
        <v>0.0119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HYPERLINK("http://141.218.60.56/~jnz1568/getInfo.php?workbook=12_04.xlsx&amp;sheet=U0&amp;row=8717&amp;col=6&amp;number=4.3&amp;sourceID=14","4.3")</f>
        <v>4.3</v>
      </c>
      <c r="G8717" s="4" t="str">
        <f>HYPERLINK("http://141.218.60.56/~jnz1568/getInfo.php?workbook=12_04.xlsx&amp;sheet=U0&amp;row=8717&amp;col=7&amp;number=0.0119&amp;sourceID=14","0.0119")</f>
        <v>0.0119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HYPERLINK("http://141.218.60.56/~jnz1568/getInfo.php?workbook=12_04.xlsx&amp;sheet=U0&amp;row=8718&amp;col=6&amp;number=4.4&amp;sourceID=14","4.4")</f>
        <v>4.4</v>
      </c>
      <c r="G8718" s="4" t="str">
        <f>HYPERLINK("http://141.218.60.56/~jnz1568/getInfo.php?workbook=12_04.xlsx&amp;sheet=U0&amp;row=8718&amp;col=7&amp;number=0.0118&amp;sourceID=14","0.0118")</f>
        <v>0.0118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HYPERLINK("http://141.218.60.56/~jnz1568/getInfo.php?workbook=12_04.xlsx&amp;sheet=U0&amp;row=8719&amp;col=6&amp;number=4.5&amp;sourceID=14","4.5")</f>
        <v>4.5</v>
      </c>
      <c r="G8719" s="4" t="str">
        <f>HYPERLINK("http://141.218.60.56/~jnz1568/getInfo.php?workbook=12_04.xlsx&amp;sheet=U0&amp;row=8719&amp;col=7&amp;number=0.0117&amp;sourceID=14","0.0117")</f>
        <v>0.0117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HYPERLINK("http://141.218.60.56/~jnz1568/getInfo.php?workbook=12_04.xlsx&amp;sheet=U0&amp;row=8720&amp;col=6&amp;number=4.6&amp;sourceID=14","4.6")</f>
        <v>4.6</v>
      </c>
      <c r="G8720" s="4" t="str">
        <f>HYPERLINK("http://141.218.60.56/~jnz1568/getInfo.php?workbook=12_04.xlsx&amp;sheet=U0&amp;row=8720&amp;col=7&amp;number=0.0115&amp;sourceID=14","0.0115")</f>
        <v>0.0115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HYPERLINK("http://141.218.60.56/~jnz1568/getInfo.php?workbook=12_04.xlsx&amp;sheet=U0&amp;row=8721&amp;col=6&amp;number=4.7&amp;sourceID=14","4.7")</f>
        <v>4.7</v>
      </c>
      <c r="G8721" s="4" t="str">
        <f>HYPERLINK("http://141.218.60.56/~jnz1568/getInfo.php?workbook=12_04.xlsx&amp;sheet=U0&amp;row=8721&amp;col=7&amp;number=0.0114&amp;sourceID=14","0.0114")</f>
        <v>0.0114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HYPERLINK("http://141.218.60.56/~jnz1568/getInfo.php?workbook=12_04.xlsx&amp;sheet=U0&amp;row=8722&amp;col=6&amp;number=4.8&amp;sourceID=14","4.8")</f>
        <v>4.8</v>
      </c>
      <c r="G8722" s="4" t="str">
        <f>HYPERLINK("http://141.218.60.56/~jnz1568/getInfo.php?workbook=12_04.xlsx&amp;sheet=U0&amp;row=8722&amp;col=7&amp;number=0.0112&amp;sourceID=14","0.0112")</f>
        <v>0.0112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HYPERLINK("http://141.218.60.56/~jnz1568/getInfo.php?workbook=12_04.xlsx&amp;sheet=U0&amp;row=8723&amp;col=6&amp;number=4.9&amp;sourceID=14","4.9")</f>
        <v>4.9</v>
      </c>
      <c r="G8723" s="4" t="str">
        <f>HYPERLINK("http://141.218.60.56/~jnz1568/getInfo.php?workbook=12_04.xlsx&amp;sheet=U0&amp;row=8723&amp;col=7&amp;number=0.0109&amp;sourceID=14","0.0109")</f>
        <v>0.0109</v>
      </c>
    </row>
    <row r="8724" spans="1:7">
      <c r="A8724" s="3">
        <v>12</v>
      </c>
      <c r="B8724" s="3">
        <v>4</v>
      </c>
      <c r="C8724" s="3">
        <v>5</v>
      </c>
      <c r="D8724" s="3">
        <v>60</v>
      </c>
      <c r="E8724" s="3">
        <v>1</v>
      </c>
      <c r="F8724" s="4" t="str">
        <f>HYPERLINK("http://141.218.60.56/~jnz1568/getInfo.php?workbook=12_04.xlsx&amp;sheet=U0&amp;row=8724&amp;col=6&amp;number=3&amp;sourceID=14","3")</f>
        <v>3</v>
      </c>
      <c r="G8724" s="4" t="str">
        <f>HYPERLINK("http://141.218.60.56/~jnz1568/getInfo.php?workbook=12_04.xlsx&amp;sheet=U0&amp;row=8724&amp;col=7&amp;number=0.0229&amp;sourceID=14","0.0229")</f>
        <v>0.0229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HYPERLINK("http://141.218.60.56/~jnz1568/getInfo.php?workbook=12_04.xlsx&amp;sheet=U0&amp;row=8725&amp;col=6&amp;number=3.1&amp;sourceID=14","3.1")</f>
        <v>3.1</v>
      </c>
      <c r="G8725" s="4" t="str">
        <f>HYPERLINK("http://141.218.60.56/~jnz1568/getInfo.php?workbook=12_04.xlsx&amp;sheet=U0&amp;row=8725&amp;col=7&amp;number=0.0229&amp;sourceID=14","0.0229")</f>
        <v>0.0229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HYPERLINK("http://141.218.60.56/~jnz1568/getInfo.php?workbook=12_04.xlsx&amp;sheet=U0&amp;row=8726&amp;col=6&amp;number=3.2&amp;sourceID=14","3.2")</f>
        <v>3.2</v>
      </c>
      <c r="G8726" s="4" t="str">
        <f>HYPERLINK("http://141.218.60.56/~jnz1568/getInfo.php?workbook=12_04.xlsx&amp;sheet=U0&amp;row=8726&amp;col=7&amp;number=0.0228&amp;sourceID=14","0.0228")</f>
        <v>0.0228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HYPERLINK("http://141.218.60.56/~jnz1568/getInfo.php?workbook=12_04.xlsx&amp;sheet=U0&amp;row=8727&amp;col=6&amp;number=3.3&amp;sourceID=14","3.3")</f>
        <v>3.3</v>
      </c>
      <c r="G8727" s="4" t="str">
        <f>HYPERLINK("http://141.218.60.56/~jnz1568/getInfo.php?workbook=12_04.xlsx&amp;sheet=U0&amp;row=8727&amp;col=7&amp;number=0.0228&amp;sourceID=14","0.0228")</f>
        <v>0.0228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HYPERLINK("http://141.218.60.56/~jnz1568/getInfo.php?workbook=12_04.xlsx&amp;sheet=U0&amp;row=8728&amp;col=6&amp;number=3.4&amp;sourceID=14","3.4")</f>
        <v>3.4</v>
      </c>
      <c r="G8728" s="4" t="str">
        <f>HYPERLINK("http://141.218.60.56/~jnz1568/getInfo.php?workbook=12_04.xlsx&amp;sheet=U0&amp;row=8728&amp;col=7&amp;number=0.0228&amp;sourceID=14","0.0228")</f>
        <v>0.0228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HYPERLINK("http://141.218.60.56/~jnz1568/getInfo.php?workbook=12_04.xlsx&amp;sheet=U0&amp;row=8729&amp;col=6&amp;number=3.5&amp;sourceID=14","3.5")</f>
        <v>3.5</v>
      </c>
      <c r="G8729" s="4" t="str">
        <f>HYPERLINK("http://141.218.60.56/~jnz1568/getInfo.php?workbook=12_04.xlsx&amp;sheet=U0&amp;row=8729&amp;col=7&amp;number=0.0228&amp;sourceID=14","0.0228")</f>
        <v>0.0228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HYPERLINK("http://141.218.60.56/~jnz1568/getInfo.php?workbook=12_04.xlsx&amp;sheet=U0&amp;row=8730&amp;col=6&amp;number=3.6&amp;sourceID=14","3.6")</f>
        <v>3.6</v>
      </c>
      <c r="G8730" s="4" t="str">
        <f>HYPERLINK("http://141.218.60.56/~jnz1568/getInfo.php?workbook=12_04.xlsx&amp;sheet=U0&amp;row=8730&amp;col=7&amp;number=0.0228&amp;sourceID=14","0.0228")</f>
        <v>0.0228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HYPERLINK("http://141.218.60.56/~jnz1568/getInfo.php?workbook=12_04.xlsx&amp;sheet=U0&amp;row=8731&amp;col=6&amp;number=3.7&amp;sourceID=14","3.7")</f>
        <v>3.7</v>
      </c>
      <c r="G8731" s="4" t="str">
        <f>HYPERLINK("http://141.218.60.56/~jnz1568/getInfo.php?workbook=12_04.xlsx&amp;sheet=U0&amp;row=8731&amp;col=7&amp;number=0.0228&amp;sourceID=14","0.0228")</f>
        <v>0.0228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HYPERLINK("http://141.218.60.56/~jnz1568/getInfo.php?workbook=12_04.xlsx&amp;sheet=U0&amp;row=8732&amp;col=6&amp;number=3.8&amp;sourceID=14","3.8")</f>
        <v>3.8</v>
      </c>
      <c r="G8732" s="4" t="str">
        <f>HYPERLINK("http://141.218.60.56/~jnz1568/getInfo.php?workbook=12_04.xlsx&amp;sheet=U0&amp;row=8732&amp;col=7&amp;number=0.0228&amp;sourceID=14","0.0228")</f>
        <v>0.0228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HYPERLINK("http://141.218.60.56/~jnz1568/getInfo.php?workbook=12_04.xlsx&amp;sheet=U0&amp;row=8733&amp;col=6&amp;number=3.9&amp;sourceID=14","3.9")</f>
        <v>3.9</v>
      </c>
      <c r="G8733" s="4" t="str">
        <f>HYPERLINK("http://141.218.60.56/~jnz1568/getInfo.php?workbook=12_04.xlsx&amp;sheet=U0&amp;row=8733&amp;col=7&amp;number=0.0228&amp;sourceID=14","0.0228")</f>
        <v>0.0228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HYPERLINK("http://141.218.60.56/~jnz1568/getInfo.php?workbook=12_04.xlsx&amp;sheet=U0&amp;row=8734&amp;col=6&amp;number=4&amp;sourceID=14","4")</f>
        <v>4</v>
      </c>
      <c r="G8734" s="4" t="str">
        <f>HYPERLINK("http://141.218.60.56/~jnz1568/getInfo.php?workbook=12_04.xlsx&amp;sheet=U0&amp;row=8734&amp;col=7&amp;number=0.0227&amp;sourceID=14","0.0227")</f>
        <v>0.0227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HYPERLINK("http://141.218.60.56/~jnz1568/getInfo.php?workbook=12_04.xlsx&amp;sheet=U0&amp;row=8735&amp;col=6&amp;number=4.1&amp;sourceID=14","4.1")</f>
        <v>4.1</v>
      </c>
      <c r="G8735" s="4" t="str">
        <f>HYPERLINK("http://141.218.60.56/~jnz1568/getInfo.php?workbook=12_04.xlsx&amp;sheet=U0&amp;row=8735&amp;col=7&amp;number=0.0227&amp;sourceID=14","0.0227")</f>
        <v>0.0227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HYPERLINK("http://141.218.60.56/~jnz1568/getInfo.php?workbook=12_04.xlsx&amp;sheet=U0&amp;row=8736&amp;col=6&amp;number=4.2&amp;sourceID=14","4.2")</f>
        <v>4.2</v>
      </c>
      <c r="G8736" s="4" t="str">
        <f>HYPERLINK("http://141.218.60.56/~jnz1568/getInfo.php?workbook=12_04.xlsx&amp;sheet=U0&amp;row=8736&amp;col=7&amp;number=0.0227&amp;sourceID=14","0.0227")</f>
        <v>0.0227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HYPERLINK("http://141.218.60.56/~jnz1568/getInfo.php?workbook=12_04.xlsx&amp;sheet=U0&amp;row=8737&amp;col=6&amp;number=4.3&amp;sourceID=14","4.3")</f>
        <v>4.3</v>
      </c>
      <c r="G8737" s="4" t="str">
        <f>HYPERLINK("http://141.218.60.56/~jnz1568/getInfo.php?workbook=12_04.xlsx&amp;sheet=U0&amp;row=8737&amp;col=7&amp;number=0.0226&amp;sourceID=14","0.0226")</f>
        <v>0.0226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HYPERLINK("http://141.218.60.56/~jnz1568/getInfo.php?workbook=12_04.xlsx&amp;sheet=U0&amp;row=8738&amp;col=6&amp;number=4.4&amp;sourceID=14","4.4")</f>
        <v>4.4</v>
      </c>
      <c r="G8738" s="4" t="str">
        <f>HYPERLINK("http://141.218.60.56/~jnz1568/getInfo.php?workbook=12_04.xlsx&amp;sheet=U0&amp;row=8738&amp;col=7&amp;number=0.0225&amp;sourceID=14","0.0225")</f>
        <v>0.0225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HYPERLINK("http://141.218.60.56/~jnz1568/getInfo.php?workbook=12_04.xlsx&amp;sheet=U0&amp;row=8739&amp;col=6&amp;number=4.5&amp;sourceID=14","4.5")</f>
        <v>4.5</v>
      </c>
      <c r="G8739" s="4" t="str">
        <f>HYPERLINK("http://141.218.60.56/~jnz1568/getInfo.php?workbook=12_04.xlsx&amp;sheet=U0&amp;row=8739&amp;col=7&amp;number=0.0224&amp;sourceID=14","0.0224")</f>
        <v>0.0224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HYPERLINK("http://141.218.60.56/~jnz1568/getInfo.php?workbook=12_04.xlsx&amp;sheet=U0&amp;row=8740&amp;col=6&amp;number=4.6&amp;sourceID=14","4.6")</f>
        <v>4.6</v>
      </c>
      <c r="G8740" s="4" t="str">
        <f>HYPERLINK("http://141.218.60.56/~jnz1568/getInfo.php?workbook=12_04.xlsx&amp;sheet=U0&amp;row=8740&amp;col=7&amp;number=0.0223&amp;sourceID=14","0.0223")</f>
        <v>0.0223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HYPERLINK("http://141.218.60.56/~jnz1568/getInfo.php?workbook=12_04.xlsx&amp;sheet=U0&amp;row=8741&amp;col=6&amp;number=4.7&amp;sourceID=14","4.7")</f>
        <v>4.7</v>
      </c>
      <c r="G8741" s="4" t="str">
        <f>HYPERLINK("http://141.218.60.56/~jnz1568/getInfo.php?workbook=12_04.xlsx&amp;sheet=U0&amp;row=8741&amp;col=7&amp;number=0.0222&amp;sourceID=14","0.0222")</f>
        <v>0.0222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HYPERLINK("http://141.218.60.56/~jnz1568/getInfo.php?workbook=12_04.xlsx&amp;sheet=U0&amp;row=8742&amp;col=6&amp;number=4.8&amp;sourceID=14","4.8")</f>
        <v>4.8</v>
      </c>
      <c r="G8742" s="4" t="str">
        <f>HYPERLINK("http://141.218.60.56/~jnz1568/getInfo.php?workbook=12_04.xlsx&amp;sheet=U0&amp;row=8742&amp;col=7&amp;number=0.0221&amp;sourceID=14","0.0221")</f>
        <v>0.0221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HYPERLINK("http://141.218.60.56/~jnz1568/getInfo.php?workbook=12_04.xlsx&amp;sheet=U0&amp;row=8743&amp;col=6&amp;number=4.9&amp;sourceID=14","4.9")</f>
        <v>4.9</v>
      </c>
      <c r="G8743" s="4" t="str">
        <f>HYPERLINK("http://141.218.60.56/~jnz1568/getInfo.php?workbook=12_04.xlsx&amp;sheet=U0&amp;row=8743&amp;col=7&amp;number=0.0219&amp;sourceID=14","0.0219")</f>
        <v>0.0219</v>
      </c>
    </row>
    <row r="8744" spans="1:7">
      <c r="A8744" s="3">
        <v>12</v>
      </c>
      <c r="B8744" s="3">
        <v>4</v>
      </c>
      <c r="C8744" s="3">
        <v>5</v>
      </c>
      <c r="D8744" s="3">
        <v>61</v>
      </c>
      <c r="E8744" s="3">
        <v>1</v>
      </c>
      <c r="F8744" s="4" t="str">
        <f>HYPERLINK("http://141.218.60.56/~jnz1568/getInfo.php?workbook=12_04.xlsx&amp;sheet=U0&amp;row=8744&amp;col=6&amp;number=3&amp;sourceID=14","3")</f>
        <v>3</v>
      </c>
      <c r="G8744" s="4" t="str">
        <f>HYPERLINK("http://141.218.60.56/~jnz1568/getInfo.php?workbook=12_04.xlsx&amp;sheet=U0&amp;row=8744&amp;col=7&amp;number=0.00524&amp;sourceID=14","0.00524")</f>
        <v>0.00524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HYPERLINK("http://141.218.60.56/~jnz1568/getInfo.php?workbook=12_04.xlsx&amp;sheet=U0&amp;row=8745&amp;col=6&amp;number=3.1&amp;sourceID=14","3.1")</f>
        <v>3.1</v>
      </c>
      <c r="G8745" s="4" t="str">
        <f>HYPERLINK("http://141.218.60.56/~jnz1568/getInfo.php?workbook=12_04.xlsx&amp;sheet=U0&amp;row=8745&amp;col=7&amp;number=0.00523&amp;sourceID=14","0.00523")</f>
        <v>0.00523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HYPERLINK("http://141.218.60.56/~jnz1568/getInfo.php?workbook=12_04.xlsx&amp;sheet=U0&amp;row=8746&amp;col=6&amp;number=3.2&amp;sourceID=14","3.2")</f>
        <v>3.2</v>
      </c>
      <c r="G8746" s="4" t="str">
        <f>HYPERLINK("http://141.218.60.56/~jnz1568/getInfo.php?workbook=12_04.xlsx&amp;sheet=U0&amp;row=8746&amp;col=7&amp;number=0.0052&amp;sourceID=14","0.0052")</f>
        <v>0.0052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HYPERLINK("http://141.218.60.56/~jnz1568/getInfo.php?workbook=12_04.xlsx&amp;sheet=U0&amp;row=8747&amp;col=6&amp;number=3.3&amp;sourceID=14","3.3")</f>
        <v>3.3</v>
      </c>
      <c r="G8747" s="4" t="str">
        <f>HYPERLINK("http://141.218.60.56/~jnz1568/getInfo.php?workbook=12_04.xlsx&amp;sheet=U0&amp;row=8747&amp;col=7&amp;number=0.00517&amp;sourceID=14","0.00517")</f>
        <v>0.00517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HYPERLINK("http://141.218.60.56/~jnz1568/getInfo.php?workbook=12_04.xlsx&amp;sheet=U0&amp;row=8748&amp;col=6&amp;number=3.4&amp;sourceID=14","3.4")</f>
        <v>3.4</v>
      </c>
      <c r="G8748" s="4" t="str">
        <f>HYPERLINK("http://141.218.60.56/~jnz1568/getInfo.php?workbook=12_04.xlsx&amp;sheet=U0&amp;row=8748&amp;col=7&amp;number=0.00514&amp;sourceID=14","0.00514")</f>
        <v>0.00514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HYPERLINK("http://141.218.60.56/~jnz1568/getInfo.php?workbook=12_04.xlsx&amp;sheet=U0&amp;row=8749&amp;col=6&amp;number=3.5&amp;sourceID=14","3.5")</f>
        <v>3.5</v>
      </c>
      <c r="G8749" s="4" t="str">
        <f>HYPERLINK("http://141.218.60.56/~jnz1568/getInfo.php?workbook=12_04.xlsx&amp;sheet=U0&amp;row=8749&amp;col=7&amp;number=0.00509&amp;sourceID=14","0.00509")</f>
        <v>0.00509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HYPERLINK("http://141.218.60.56/~jnz1568/getInfo.php?workbook=12_04.xlsx&amp;sheet=U0&amp;row=8750&amp;col=6&amp;number=3.6&amp;sourceID=14","3.6")</f>
        <v>3.6</v>
      </c>
      <c r="G8750" s="4" t="str">
        <f>HYPERLINK("http://141.218.60.56/~jnz1568/getInfo.php?workbook=12_04.xlsx&amp;sheet=U0&amp;row=8750&amp;col=7&amp;number=0.00503&amp;sourceID=14","0.00503")</f>
        <v>0.00503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HYPERLINK("http://141.218.60.56/~jnz1568/getInfo.php?workbook=12_04.xlsx&amp;sheet=U0&amp;row=8751&amp;col=6&amp;number=3.7&amp;sourceID=14","3.7")</f>
        <v>3.7</v>
      </c>
      <c r="G8751" s="4" t="str">
        <f>HYPERLINK("http://141.218.60.56/~jnz1568/getInfo.php?workbook=12_04.xlsx&amp;sheet=U0&amp;row=8751&amp;col=7&amp;number=0.00496&amp;sourceID=14","0.00496")</f>
        <v>0.00496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HYPERLINK("http://141.218.60.56/~jnz1568/getInfo.php?workbook=12_04.xlsx&amp;sheet=U0&amp;row=8752&amp;col=6&amp;number=3.8&amp;sourceID=14","3.8")</f>
        <v>3.8</v>
      </c>
      <c r="G8752" s="4" t="str">
        <f>HYPERLINK("http://141.218.60.56/~jnz1568/getInfo.php?workbook=12_04.xlsx&amp;sheet=U0&amp;row=8752&amp;col=7&amp;number=0.00487&amp;sourceID=14","0.00487")</f>
        <v>0.00487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HYPERLINK("http://141.218.60.56/~jnz1568/getInfo.php?workbook=12_04.xlsx&amp;sheet=U0&amp;row=8753&amp;col=6&amp;number=3.9&amp;sourceID=14","3.9")</f>
        <v>3.9</v>
      </c>
      <c r="G8753" s="4" t="str">
        <f>HYPERLINK("http://141.218.60.56/~jnz1568/getInfo.php?workbook=12_04.xlsx&amp;sheet=U0&amp;row=8753&amp;col=7&amp;number=0.00475&amp;sourceID=14","0.00475")</f>
        <v>0.00475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HYPERLINK("http://141.218.60.56/~jnz1568/getInfo.php?workbook=12_04.xlsx&amp;sheet=U0&amp;row=8754&amp;col=6&amp;number=4&amp;sourceID=14","4")</f>
        <v>4</v>
      </c>
      <c r="G8754" s="4" t="str">
        <f>HYPERLINK("http://141.218.60.56/~jnz1568/getInfo.php?workbook=12_04.xlsx&amp;sheet=U0&amp;row=8754&amp;col=7&amp;number=0.00461&amp;sourceID=14","0.00461")</f>
        <v>0.00461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HYPERLINK("http://141.218.60.56/~jnz1568/getInfo.php?workbook=12_04.xlsx&amp;sheet=U0&amp;row=8755&amp;col=6&amp;number=4.1&amp;sourceID=14","4.1")</f>
        <v>4.1</v>
      </c>
      <c r="G8755" s="4" t="str">
        <f>HYPERLINK("http://141.218.60.56/~jnz1568/getInfo.php?workbook=12_04.xlsx&amp;sheet=U0&amp;row=8755&amp;col=7&amp;number=0.00444&amp;sourceID=14","0.00444")</f>
        <v>0.00444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HYPERLINK("http://141.218.60.56/~jnz1568/getInfo.php?workbook=12_04.xlsx&amp;sheet=U0&amp;row=8756&amp;col=6&amp;number=4.2&amp;sourceID=14","4.2")</f>
        <v>4.2</v>
      </c>
      <c r="G8756" s="4" t="str">
        <f>HYPERLINK("http://141.218.60.56/~jnz1568/getInfo.php?workbook=12_04.xlsx&amp;sheet=U0&amp;row=8756&amp;col=7&amp;number=0.00422&amp;sourceID=14","0.00422")</f>
        <v>0.00422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HYPERLINK("http://141.218.60.56/~jnz1568/getInfo.php?workbook=12_04.xlsx&amp;sheet=U0&amp;row=8757&amp;col=6&amp;number=4.3&amp;sourceID=14","4.3")</f>
        <v>4.3</v>
      </c>
      <c r="G8757" s="4" t="str">
        <f>HYPERLINK("http://141.218.60.56/~jnz1568/getInfo.php?workbook=12_04.xlsx&amp;sheet=U0&amp;row=8757&amp;col=7&amp;number=0.00396&amp;sourceID=14","0.00396")</f>
        <v>0.00396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HYPERLINK("http://141.218.60.56/~jnz1568/getInfo.php?workbook=12_04.xlsx&amp;sheet=U0&amp;row=8758&amp;col=6&amp;number=4.4&amp;sourceID=14","4.4")</f>
        <v>4.4</v>
      </c>
      <c r="G8758" s="4" t="str">
        <f>HYPERLINK("http://141.218.60.56/~jnz1568/getInfo.php?workbook=12_04.xlsx&amp;sheet=U0&amp;row=8758&amp;col=7&amp;number=0.00365&amp;sourceID=14","0.00365")</f>
        <v>0.00365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HYPERLINK("http://141.218.60.56/~jnz1568/getInfo.php?workbook=12_04.xlsx&amp;sheet=U0&amp;row=8759&amp;col=6&amp;number=4.5&amp;sourceID=14","4.5")</f>
        <v>4.5</v>
      </c>
      <c r="G8759" s="4" t="str">
        <f>HYPERLINK("http://141.218.60.56/~jnz1568/getInfo.php?workbook=12_04.xlsx&amp;sheet=U0&amp;row=8759&amp;col=7&amp;number=0.00329&amp;sourceID=14","0.00329")</f>
        <v>0.00329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HYPERLINK("http://141.218.60.56/~jnz1568/getInfo.php?workbook=12_04.xlsx&amp;sheet=U0&amp;row=8760&amp;col=6&amp;number=4.6&amp;sourceID=14","4.6")</f>
        <v>4.6</v>
      </c>
      <c r="G8760" s="4" t="str">
        <f>HYPERLINK("http://141.218.60.56/~jnz1568/getInfo.php?workbook=12_04.xlsx&amp;sheet=U0&amp;row=8760&amp;col=7&amp;number=0.00288&amp;sourceID=14","0.00288")</f>
        <v>0.00288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HYPERLINK("http://141.218.60.56/~jnz1568/getInfo.php?workbook=12_04.xlsx&amp;sheet=U0&amp;row=8761&amp;col=6&amp;number=4.7&amp;sourceID=14","4.7")</f>
        <v>4.7</v>
      </c>
      <c r="G8761" s="4" t="str">
        <f>HYPERLINK("http://141.218.60.56/~jnz1568/getInfo.php?workbook=12_04.xlsx&amp;sheet=U0&amp;row=8761&amp;col=7&amp;number=0.00245&amp;sourceID=14","0.00245")</f>
        <v>0.00245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HYPERLINK("http://141.218.60.56/~jnz1568/getInfo.php?workbook=12_04.xlsx&amp;sheet=U0&amp;row=8762&amp;col=6&amp;number=4.8&amp;sourceID=14","4.8")</f>
        <v>4.8</v>
      </c>
      <c r="G8762" s="4" t="str">
        <f>HYPERLINK("http://141.218.60.56/~jnz1568/getInfo.php?workbook=12_04.xlsx&amp;sheet=U0&amp;row=8762&amp;col=7&amp;number=0.00204&amp;sourceID=14","0.00204")</f>
        <v>0.00204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HYPERLINK("http://141.218.60.56/~jnz1568/getInfo.php?workbook=12_04.xlsx&amp;sheet=U0&amp;row=8763&amp;col=6&amp;number=4.9&amp;sourceID=14","4.9")</f>
        <v>4.9</v>
      </c>
      <c r="G8763" s="4" t="str">
        <f>HYPERLINK("http://141.218.60.56/~jnz1568/getInfo.php?workbook=12_04.xlsx&amp;sheet=U0&amp;row=8763&amp;col=7&amp;number=0.00171&amp;sourceID=14","0.00171")</f>
        <v>0.00171</v>
      </c>
    </row>
    <row r="8764" spans="1:7">
      <c r="A8764" s="3">
        <v>12</v>
      </c>
      <c r="B8764" s="3">
        <v>4</v>
      </c>
      <c r="C8764" s="3">
        <v>5</v>
      </c>
      <c r="D8764" s="3">
        <v>62</v>
      </c>
      <c r="E8764" s="3">
        <v>1</v>
      </c>
      <c r="F8764" s="4" t="str">
        <f>HYPERLINK("http://141.218.60.56/~jnz1568/getInfo.php?workbook=12_04.xlsx&amp;sheet=U0&amp;row=8764&amp;col=6&amp;number=3&amp;sourceID=14","3")</f>
        <v>3</v>
      </c>
      <c r="G8764" s="4" t="str">
        <f>HYPERLINK("http://141.218.60.56/~jnz1568/getInfo.php?workbook=12_04.xlsx&amp;sheet=U0&amp;row=8764&amp;col=7&amp;number=0.0161&amp;sourceID=14","0.0161")</f>
        <v>0.0161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HYPERLINK("http://141.218.60.56/~jnz1568/getInfo.php?workbook=12_04.xlsx&amp;sheet=U0&amp;row=8765&amp;col=6&amp;number=3.1&amp;sourceID=14","3.1")</f>
        <v>3.1</v>
      </c>
      <c r="G8765" s="4" t="str">
        <f>HYPERLINK("http://141.218.60.56/~jnz1568/getInfo.php?workbook=12_04.xlsx&amp;sheet=U0&amp;row=8765&amp;col=7&amp;number=0.016&amp;sourceID=14","0.016")</f>
        <v>0.016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HYPERLINK("http://141.218.60.56/~jnz1568/getInfo.php?workbook=12_04.xlsx&amp;sheet=U0&amp;row=8766&amp;col=6&amp;number=3.2&amp;sourceID=14","3.2")</f>
        <v>3.2</v>
      </c>
      <c r="G8766" s="4" t="str">
        <f>HYPERLINK("http://141.218.60.56/~jnz1568/getInfo.php?workbook=12_04.xlsx&amp;sheet=U0&amp;row=8766&amp;col=7&amp;number=0.016&amp;sourceID=14","0.016")</f>
        <v>0.016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HYPERLINK("http://141.218.60.56/~jnz1568/getInfo.php?workbook=12_04.xlsx&amp;sheet=U0&amp;row=8767&amp;col=6&amp;number=3.3&amp;sourceID=14","3.3")</f>
        <v>3.3</v>
      </c>
      <c r="G8767" s="4" t="str">
        <f>HYPERLINK("http://141.218.60.56/~jnz1568/getInfo.php?workbook=12_04.xlsx&amp;sheet=U0&amp;row=8767&amp;col=7&amp;number=0.0159&amp;sourceID=14","0.0159")</f>
        <v>0.0159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HYPERLINK("http://141.218.60.56/~jnz1568/getInfo.php?workbook=12_04.xlsx&amp;sheet=U0&amp;row=8768&amp;col=6&amp;number=3.4&amp;sourceID=14","3.4")</f>
        <v>3.4</v>
      </c>
      <c r="G8768" s="4" t="str">
        <f>HYPERLINK("http://141.218.60.56/~jnz1568/getInfo.php?workbook=12_04.xlsx&amp;sheet=U0&amp;row=8768&amp;col=7&amp;number=0.0158&amp;sourceID=14","0.0158")</f>
        <v>0.0158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HYPERLINK("http://141.218.60.56/~jnz1568/getInfo.php?workbook=12_04.xlsx&amp;sheet=U0&amp;row=8769&amp;col=6&amp;number=3.5&amp;sourceID=14","3.5")</f>
        <v>3.5</v>
      </c>
      <c r="G8769" s="4" t="str">
        <f>HYPERLINK("http://141.218.60.56/~jnz1568/getInfo.php?workbook=12_04.xlsx&amp;sheet=U0&amp;row=8769&amp;col=7&amp;number=0.0157&amp;sourceID=14","0.0157")</f>
        <v>0.0157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HYPERLINK("http://141.218.60.56/~jnz1568/getInfo.php?workbook=12_04.xlsx&amp;sheet=U0&amp;row=8770&amp;col=6&amp;number=3.6&amp;sourceID=14","3.6")</f>
        <v>3.6</v>
      </c>
      <c r="G8770" s="4" t="str">
        <f>HYPERLINK("http://141.218.60.56/~jnz1568/getInfo.php?workbook=12_04.xlsx&amp;sheet=U0&amp;row=8770&amp;col=7&amp;number=0.0156&amp;sourceID=14","0.0156")</f>
        <v>0.0156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HYPERLINK("http://141.218.60.56/~jnz1568/getInfo.php?workbook=12_04.xlsx&amp;sheet=U0&amp;row=8771&amp;col=6&amp;number=3.7&amp;sourceID=14","3.7")</f>
        <v>3.7</v>
      </c>
      <c r="G8771" s="4" t="str">
        <f>HYPERLINK("http://141.218.60.56/~jnz1568/getInfo.php?workbook=12_04.xlsx&amp;sheet=U0&amp;row=8771&amp;col=7&amp;number=0.0154&amp;sourceID=14","0.0154")</f>
        <v>0.0154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HYPERLINK("http://141.218.60.56/~jnz1568/getInfo.php?workbook=12_04.xlsx&amp;sheet=U0&amp;row=8772&amp;col=6&amp;number=3.8&amp;sourceID=14","3.8")</f>
        <v>3.8</v>
      </c>
      <c r="G8772" s="4" t="str">
        <f>HYPERLINK("http://141.218.60.56/~jnz1568/getInfo.php?workbook=12_04.xlsx&amp;sheet=U0&amp;row=8772&amp;col=7&amp;number=0.0152&amp;sourceID=14","0.0152")</f>
        <v>0.0152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HYPERLINK("http://141.218.60.56/~jnz1568/getInfo.php?workbook=12_04.xlsx&amp;sheet=U0&amp;row=8773&amp;col=6&amp;number=3.9&amp;sourceID=14","3.9")</f>
        <v>3.9</v>
      </c>
      <c r="G8773" s="4" t="str">
        <f>HYPERLINK("http://141.218.60.56/~jnz1568/getInfo.php?workbook=12_04.xlsx&amp;sheet=U0&amp;row=8773&amp;col=7&amp;number=0.0149&amp;sourceID=14","0.0149")</f>
        <v>0.0149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HYPERLINK("http://141.218.60.56/~jnz1568/getInfo.php?workbook=12_04.xlsx&amp;sheet=U0&amp;row=8774&amp;col=6&amp;number=4&amp;sourceID=14","4")</f>
        <v>4</v>
      </c>
      <c r="G8774" s="4" t="str">
        <f>HYPERLINK("http://141.218.60.56/~jnz1568/getInfo.php?workbook=12_04.xlsx&amp;sheet=U0&amp;row=8774&amp;col=7&amp;number=0.0146&amp;sourceID=14","0.0146")</f>
        <v>0.0146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HYPERLINK("http://141.218.60.56/~jnz1568/getInfo.php?workbook=12_04.xlsx&amp;sheet=U0&amp;row=8775&amp;col=6&amp;number=4.1&amp;sourceID=14","4.1")</f>
        <v>4.1</v>
      </c>
      <c r="G8775" s="4" t="str">
        <f>HYPERLINK("http://141.218.60.56/~jnz1568/getInfo.php?workbook=12_04.xlsx&amp;sheet=U0&amp;row=8775&amp;col=7&amp;number=0.0141&amp;sourceID=14","0.0141")</f>
        <v>0.0141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HYPERLINK("http://141.218.60.56/~jnz1568/getInfo.php?workbook=12_04.xlsx&amp;sheet=U0&amp;row=8776&amp;col=6&amp;number=4.2&amp;sourceID=14","4.2")</f>
        <v>4.2</v>
      </c>
      <c r="G8776" s="4" t="str">
        <f>HYPERLINK("http://141.218.60.56/~jnz1568/getInfo.php?workbook=12_04.xlsx&amp;sheet=U0&amp;row=8776&amp;col=7&amp;number=0.0136&amp;sourceID=14","0.0136")</f>
        <v>0.0136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HYPERLINK("http://141.218.60.56/~jnz1568/getInfo.php?workbook=12_04.xlsx&amp;sheet=U0&amp;row=8777&amp;col=6&amp;number=4.3&amp;sourceID=14","4.3")</f>
        <v>4.3</v>
      </c>
      <c r="G8777" s="4" t="str">
        <f>HYPERLINK("http://141.218.60.56/~jnz1568/getInfo.php?workbook=12_04.xlsx&amp;sheet=U0&amp;row=8777&amp;col=7&amp;number=0.013&amp;sourceID=14","0.013")</f>
        <v>0.013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HYPERLINK("http://141.218.60.56/~jnz1568/getInfo.php?workbook=12_04.xlsx&amp;sheet=U0&amp;row=8778&amp;col=6&amp;number=4.4&amp;sourceID=14","4.4")</f>
        <v>4.4</v>
      </c>
      <c r="G8778" s="4" t="str">
        <f>HYPERLINK("http://141.218.60.56/~jnz1568/getInfo.php?workbook=12_04.xlsx&amp;sheet=U0&amp;row=8778&amp;col=7&amp;number=0.0122&amp;sourceID=14","0.0122")</f>
        <v>0.0122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HYPERLINK("http://141.218.60.56/~jnz1568/getInfo.php?workbook=12_04.xlsx&amp;sheet=U0&amp;row=8779&amp;col=6&amp;number=4.5&amp;sourceID=14","4.5")</f>
        <v>4.5</v>
      </c>
      <c r="G8779" s="4" t="str">
        <f>HYPERLINK("http://141.218.60.56/~jnz1568/getInfo.php?workbook=12_04.xlsx&amp;sheet=U0&amp;row=8779&amp;col=7&amp;number=0.0113&amp;sourceID=14","0.0113")</f>
        <v>0.0113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HYPERLINK("http://141.218.60.56/~jnz1568/getInfo.php?workbook=12_04.xlsx&amp;sheet=U0&amp;row=8780&amp;col=6&amp;number=4.6&amp;sourceID=14","4.6")</f>
        <v>4.6</v>
      </c>
      <c r="G8780" s="4" t="str">
        <f>HYPERLINK("http://141.218.60.56/~jnz1568/getInfo.php?workbook=12_04.xlsx&amp;sheet=U0&amp;row=8780&amp;col=7&amp;number=0.0101&amp;sourceID=14","0.0101")</f>
        <v>0.0101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HYPERLINK("http://141.218.60.56/~jnz1568/getInfo.php?workbook=12_04.xlsx&amp;sheet=U0&amp;row=8781&amp;col=6&amp;number=4.7&amp;sourceID=14","4.7")</f>
        <v>4.7</v>
      </c>
      <c r="G8781" s="4" t="str">
        <f>HYPERLINK("http://141.218.60.56/~jnz1568/getInfo.php?workbook=12_04.xlsx&amp;sheet=U0&amp;row=8781&amp;col=7&amp;number=0.00889&amp;sourceID=14","0.00889")</f>
        <v>0.00889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HYPERLINK("http://141.218.60.56/~jnz1568/getInfo.php?workbook=12_04.xlsx&amp;sheet=U0&amp;row=8782&amp;col=6&amp;number=4.8&amp;sourceID=14","4.8")</f>
        <v>4.8</v>
      </c>
      <c r="G8782" s="4" t="str">
        <f>HYPERLINK("http://141.218.60.56/~jnz1568/getInfo.php?workbook=12_04.xlsx&amp;sheet=U0&amp;row=8782&amp;col=7&amp;number=0.00753&amp;sourceID=14","0.00753")</f>
        <v>0.00753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HYPERLINK("http://141.218.60.56/~jnz1568/getInfo.php?workbook=12_04.xlsx&amp;sheet=U0&amp;row=8783&amp;col=6&amp;number=4.9&amp;sourceID=14","4.9")</f>
        <v>4.9</v>
      </c>
      <c r="G8783" s="4" t="str">
        <f>HYPERLINK("http://141.218.60.56/~jnz1568/getInfo.php?workbook=12_04.xlsx&amp;sheet=U0&amp;row=8783&amp;col=7&amp;number=0.0062&amp;sourceID=14","0.0062")</f>
        <v>0.0062</v>
      </c>
    </row>
    <row r="8784" spans="1:7">
      <c r="A8784" s="3">
        <v>12</v>
      </c>
      <c r="B8784" s="3">
        <v>4</v>
      </c>
      <c r="C8784" s="3">
        <v>5</v>
      </c>
      <c r="D8784" s="3">
        <v>63</v>
      </c>
      <c r="E8784" s="3">
        <v>1</v>
      </c>
      <c r="F8784" s="4" t="str">
        <f>HYPERLINK("http://141.218.60.56/~jnz1568/getInfo.php?workbook=12_04.xlsx&amp;sheet=U0&amp;row=8784&amp;col=6&amp;number=3&amp;sourceID=14","3")</f>
        <v>3</v>
      </c>
      <c r="G8784" s="4" t="str">
        <f>HYPERLINK("http://141.218.60.56/~jnz1568/getInfo.php?workbook=12_04.xlsx&amp;sheet=U0&amp;row=8784&amp;col=7&amp;number=0.015&amp;sourceID=14","0.015")</f>
        <v>0.015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HYPERLINK("http://141.218.60.56/~jnz1568/getInfo.php?workbook=12_04.xlsx&amp;sheet=U0&amp;row=8785&amp;col=6&amp;number=3.1&amp;sourceID=14","3.1")</f>
        <v>3.1</v>
      </c>
      <c r="G8785" s="4" t="str">
        <f>HYPERLINK("http://141.218.60.56/~jnz1568/getInfo.php?workbook=12_04.xlsx&amp;sheet=U0&amp;row=8785&amp;col=7&amp;number=0.015&amp;sourceID=14","0.015")</f>
        <v>0.015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HYPERLINK("http://141.218.60.56/~jnz1568/getInfo.php?workbook=12_04.xlsx&amp;sheet=U0&amp;row=8786&amp;col=6&amp;number=3.2&amp;sourceID=14","3.2")</f>
        <v>3.2</v>
      </c>
      <c r="G8786" s="4" t="str">
        <f>HYPERLINK("http://141.218.60.56/~jnz1568/getInfo.php?workbook=12_04.xlsx&amp;sheet=U0&amp;row=8786&amp;col=7&amp;number=0.0149&amp;sourceID=14","0.0149")</f>
        <v>0.0149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HYPERLINK("http://141.218.60.56/~jnz1568/getInfo.php?workbook=12_04.xlsx&amp;sheet=U0&amp;row=8787&amp;col=6&amp;number=3.3&amp;sourceID=14","3.3")</f>
        <v>3.3</v>
      </c>
      <c r="G8787" s="4" t="str">
        <f>HYPERLINK("http://141.218.60.56/~jnz1568/getInfo.php?workbook=12_04.xlsx&amp;sheet=U0&amp;row=8787&amp;col=7&amp;number=0.0149&amp;sourceID=14","0.0149")</f>
        <v>0.0149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HYPERLINK("http://141.218.60.56/~jnz1568/getInfo.php?workbook=12_04.xlsx&amp;sheet=U0&amp;row=8788&amp;col=6&amp;number=3.4&amp;sourceID=14","3.4")</f>
        <v>3.4</v>
      </c>
      <c r="G8788" s="4" t="str">
        <f>HYPERLINK("http://141.218.60.56/~jnz1568/getInfo.php?workbook=12_04.xlsx&amp;sheet=U0&amp;row=8788&amp;col=7&amp;number=0.0148&amp;sourceID=14","0.0148")</f>
        <v>0.0148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HYPERLINK("http://141.218.60.56/~jnz1568/getInfo.php?workbook=12_04.xlsx&amp;sheet=U0&amp;row=8789&amp;col=6&amp;number=3.5&amp;sourceID=14","3.5")</f>
        <v>3.5</v>
      </c>
      <c r="G8789" s="4" t="str">
        <f>HYPERLINK("http://141.218.60.56/~jnz1568/getInfo.php?workbook=12_04.xlsx&amp;sheet=U0&amp;row=8789&amp;col=7&amp;number=0.0147&amp;sourceID=14","0.0147")</f>
        <v>0.0147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HYPERLINK("http://141.218.60.56/~jnz1568/getInfo.php?workbook=12_04.xlsx&amp;sheet=U0&amp;row=8790&amp;col=6&amp;number=3.6&amp;sourceID=14","3.6")</f>
        <v>3.6</v>
      </c>
      <c r="G8790" s="4" t="str">
        <f>HYPERLINK("http://141.218.60.56/~jnz1568/getInfo.php?workbook=12_04.xlsx&amp;sheet=U0&amp;row=8790&amp;col=7&amp;number=0.0146&amp;sourceID=14","0.0146")</f>
        <v>0.0146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HYPERLINK("http://141.218.60.56/~jnz1568/getInfo.php?workbook=12_04.xlsx&amp;sheet=U0&amp;row=8791&amp;col=6&amp;number=3.7&amp;sourceID=14","3.7")</f>
        <v>3.7</v>
      </c>
      <c r="G8791" s="4" t="str">
        <f>HYPERLINK("http://141.218.60.56/~jnz1568/getInfo.php?workbook=12_04.xlsx&amp;sheet=U0&amp;row=8791&amp;col=7&amp;number=0.0145&amp;sourceID=14","0.0145")</f>
        <v>0.0145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HYPERLINK("http://141.218.60.56/~jnz1568/getInfo.php?workbook=12_04.xlsx&amp;sheet=U0&amp;row=8792&amp;col=6&amp;number=3.8&amp;sourceID=14","3.8")</f>
        <v>3.8</v>
      </c>
      <c r="G8792" s="4" t="str">
        <f>HYPERLINK("http://141.218.60.56/~jnz1568/getInfo.php?workbook=12_04.xlsx&amp;sheet=U0&amp;row=8792&amp;col=7&amp;number=0.0144&amp;sourceID=14","0.0144")</f>
        <v>0.0144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HYPERLINK("http://141.218.60.56/~jnz1568/getInfo.php?workbook=12_04.xlsx&amp;sheet=U0&amp;row=8793&amp;col=6&amp;number=3.9&amp;sourceID=14","3.9")</f>
        <v>3.9</v>
      </c>
      <c r="G8793" s="4" t="str">
        <f>HYPERLINK("http://141.218.60.56/~jnz1568/getInfo.php?workbook=12_04.xlsx&amp;sheet=U0&amp;row=8793&amp;col=7&amp;number=0.0142&amp;sourceID=14","0.0142")</f>
        <v>0.0142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HYPERLINK("http://141.218.60.56/~jnz1568/getInfo.php?workbook=12_04.xlsx&amp;sheet=U0&amp;row=8794&amp;col=6&amp;number=4&amp;sourceID=14","4")</f>
        <v>4</v>
      </c>
      <c r="G8794" s="4" t="str">
        <f>HYPERLINK("http://141.218.60.56/~jnz1568/getInfo.php?workbook=12_04.xlsx&amp;sheet=U0&amp;row=8794&amp;col=7&amp;number=0.0139&amp;sourceID=14","0.0139")</f>
        <v>0.0139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HYPERLINK("http://141.218.60.56/~jnz1568/getInfo.php?workbook=12_04.xlsx&amp;sheet=U0&amp;row=8795&amp;col=6&amp;number=4.1&amp;sourceID=14","4.1")</f>
        <v>4.1</v>
      </c>
      <c r="G8795" s="4" t="str">
        <f>HYPERLINK("http://141.218.60.56/~jnz1568/getInfo.php?workbook=12_04.xlsx&amp;sheet=U0&amp;row=8795&amp;col=7&amp;number=0.0136&amp;sourceID=14","0.0136")</f>
        <v>0.0136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HYPERLINK("http://141.218.60.56/~jnz1568/getInfo.php?workbook=12_04.xlsx&amp;sheet=U0&amp;row=8796&amp;col=6&amp;number=4.2&amp;sourceID=14","4.2")</f>
        <v>4.2</v>
      </c>
      <c r="G8796" s="4" t="str">
        <f>HYPERLINK("http://141.218.60.56/~jnz1568/getInfo.php?workbook=12_04.xlsx&amp;sheet=U0&amp;row=8796&amp;col=7&amp;number=0.0133&amp;sourceID=14","0.0133")</f>
        <v>0.0133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HYPERLINK("http://141.218.60.56/~jnz1568/getInfo.php?workbook=12_04.xlsx&amp;sheet=U0&amp;row=8797&amp;col=6&amp;number=4.3&amp;sourceID=14","4.3")</f>
        <v>4.3</v>
      </c>
      <c r="G8797" s="4" t="str">
        <f>HYPERLINK("http://141.218.60.56/~jnz1568/getInfo.php?workbook=12_04.xlsx&amp;sheet=U0&amp;row=8797&amp;col=7&amp;number=0.0128&amp;sourceID=14","0.0128")</f>
        <v>0.0128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HYPERLINK("http://141.218.60.56/~jnz1568/getInfo.php?workbook=12_04.xlsx&amp;sheet=U0&amp;row=8798&amp;col=6&amp;number=4.4&amp;sourceID=14","4.4")</f>
        <v>4.4</v>
      </c>
      <c r="G8798" s="4" t="str">
        <f>HYPERLINK("http://141.218.60.56/~jnz1568/getInfo.php?workbook=12_04.xlsx&amp;sheet=U0&amp;row=8798&amp;col=7&amp;number=0.0122&amp;sourceID=14","0.0122")</f>
        <v>0.0122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HYPERLINK("http://141.218.60.56/~jnz1568/getInfo.php?workbook=12_04.xlsx&amp;sheet=U0&amp;row=8799&amp;col=6&amp;number=4.5&amp;sourceID=14","4.5")</f>
        <v>4.5</v>
      </c>
      <c r="G8799" s="4" t="str">
        <f>HYPERLINK("http://141.218.60.56/~jnz1568/getInfo.php?workbook=12_04.xlsx&amp;sheet=U0&amp;row=8799&amp;col=7&amp;number=0.0115&amp;sourceID=14","0.0115")</f>
        <v>0.0115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HYPERLINK("http://141.218.60.56/~jnz1568/getInfo.php?workbook=12_04.xlsx&amp;sheet=U0&amp;row=8800&amp;col=6&amp;number=4.6&amp;sourceID=14","4.6")</f>
        <v>4.6</v>
      </c>
      <c r="G8800" s="4" t="str">
        <f>HYPERLINK("http://141.218.60.56/~jnz1568/getInfo.php?workbook=12_04.xlsx&amp;sheet=U0&amp;row=8800&amp;col=7&amp;number=0.0107&amp;sourceID=14","0.0107")</f>
        <v>0.0107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HYPERLINK("http://141.218.60.56/~jnz1568/getInfo.php?workbook=12_04.xlsx&amp;sheet=U0&amp;row=8801&amp;col=6&amp;number=4.7&amp;sourceID=14","4.7")</f>
        <v>4.7</v>
      </c>
      <c r="G8801" s="4" t="str">
        <f>HYPERLINK("http://141.218.60.56/~jnz1568/getInfo.php?workbook=12_04.xlsx&amp;sheet=U0&amp;row=8801&amp;col=7&amp;number=0.0097&amp;sourceID=14","0.0097")</f>
        <v>0.0097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HYPERLINK("http://141.218.60.56/~jnz1568/getInfo.php?workbook=12_04.xlsx&amp;sheet=U0&amp;row=8802&amp;col=6&amp;number=4.8&amp;sourceID=14","4.8")</f>
        <v>4.8</v>
      </c>
      <c r="G8802" s="4" t="str">
        <f>HYPERLINK("http://141.218.60.56/~jnz1568/getInfo.php?workbook=12_04.xlsx&amp;sheet=U0&amp;row=8802&amp;col=7&amp;number=0.00854&amp;sourceID=14","0.00854")</f>
        <v>0.00854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HYPERLINK("http://141.218.60.56/~jnz1568/getInfo.php?workbook=12_04.xlsx&amp;sheet=U0&amp;row=8803&amp;col=6&amp;number=4.9&amp;sourceID=14","4.9")</f>
        <v>4.9</v>
      </c>
      <c r="G8803" s="4" t="str">
        <f>HYPERLINK("http://141.218.60.56/~jnz1568/getInfo.php?workbook=12_04.xlsx&amp;sheet=U0&amp;row=8803&amp;col=7&amp;number=0.00724&amp;sourceID=14","0.00724")</f>
        <v>0.00724</v>
      </c>
    </row>
    <row r="8804" spans="1:7">
      <c r="A8804" s="3">
        <v>12</v>
      </c>
      <c r="B8804" s="3">
        <v>4</v>
      </c>
      <c r="C8804" s="3">
        <v>5</v>
      </c>
      <c r="D8804" s="3">
        <v>64</v>
      </c>
      <c r="E8804" s="3">
        <v>1</v>
      </c>
      <c r="F8804" s="4" t="str">
        <f>HYPERLINK("http://141.218.60.56/~jnz1568/getInfo.php?workbook=12_04.xlsx&amp;sheet=U0&amp;row=8804&amp;col=6&amp;number=3&amp;sourceID=14","3")</f>
        <v>3</v>
      </c>
      <c r="G8804" s="4" t="str">
        <f>HYPERLINK("http://141.218.60.56/~jnz1568/getInfo.php?workbook=12_04.xlsx&amp;sheet=U0&amp;row=8804&amp;col=7&amp;number=0.045&amp;sourceID=14","0.045")</f>
        <v>0.045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HYPERLINK("http://141.218.60.56/~jnz1568/getInfo.php?workbook=12_04.xlsx&amp;sheet=U0&amp;row=8805&amp;col=6&amp;number=3.1&amp;sourceID=14","3.1")</f>
        <v>3.1</v>
      </c>
      <c r="G8805" s="4" t="str">
        <f>HYPERLINK("http://141.218.60.56/~jnz1568/getInfo.php?workbook=12_04.xlsx&amp;sheet=U0&amp;row=8805&amp;col=7&amp;number=0.0449&amp;sourceID=14","0.0449")</f>
        <v>0.0449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HYPERLINK("http://141.218.60.56/~jnz1568/getInfo.php?workbook=12_04.xlsx&amp;sheet=U0&amp;row=8806&amp;col=6&amp;number=3.2&amp;sourceID=14","3.2")</f>
        <v>3.2</v>
      </c>
      <c r="G8806" s="4" t="str">
        <f>HYPERLINK("http://141.218.60.56/~jnz1568/getInfo.php?workbook=12_04.xlsx&amp;sheet=U0&amp;row=8806&amp;col=7&amp;number=0.0448&amp;sourceID=14","0.0448")</f>
        <v>0.0448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HYPERLINK("http://141.218.60.56/~jnz1568/getInfo.php?workbook=12_04.xlsx&amp;sheet=U0&amp;row=8807&amp;col=6&amp;number=3.3&amp;sourceID=14","3.3")</f>
        <v>3.3</v>
      </c>
      <c r="G8807" s="4" t="str">
        <f>HYPERLINK("http://141.218.60.56/~jnz1568/getInfo.php?workbook=12_04.xlsx&amp;sheet=U0&amp;row=8807&amp;col=7&amp;number=0.0448&amp;sourceID=14","0.0448")</f>
        <v>0.0448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HYPERLINK("http://141.218.60.56/~jnz1568/getInfo.php?workbook=12_04.xlsx&amp;sheet=U0&amp;row=8808&amp;col=6&amp;number=3.4&amp;sourceID=14","3.4")</f>
        <v>3.4</v>
      </c>
      <c r="G8808" s="4" t="str">
        <f>HYPERLINK("http://141.218.60.56/~jnz1568/getInfo.php?workbook=12_04.xlsx&amp;sheet=U0&amp;row=8808&amp;col=7&amp;number=0.0447&amp;sourceID=14","0.0447")</f>
        <v>0.0447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HYPERLINK("http://141.218.60.56/~jnz1568/getInfo.php?workbook=12_04.xlsx&amp;sheet=U0&amp;row=8809&amp;col=6&amp;number=3.5&amp;sourceID=14","3.5")</f>
        <v>3.5</v>
      </c>
      <c r="G8809" s="4" t="str">
        <f>HYPERLINK("http://141.218.60.56/~jnz1568/getInfo.php?workbook=12_04.xlsx&amp;sheet=U0&amp;row=8809&amp;col=7&amp;number=0.0445&amp;sourceID=14","0.0445")</f>
        <v>0.0445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HYPERLINK("http://141.218.60.56/~jnz1568/getInfo.php?workbook=12_04.xlsx&amp;sheet=U0&amp;row=8810&amp;col=6&amp;number=3.6&amp;sourceID=14","3.6")</f>
        <v>3.6</v>
      </c>
      <c r="G8810" s="4" t="str">
        <f>HYPERLINK("http://141.218.60.56/~jnz1568/getInfo.php?workbook=12_04.xlsx&amp;sheet=U0&amp;row=8810&amp;col=7&amp;number=0.0444&amp;sourceID=14","0.0444")</f>
        <v>0.0444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HYPERLINK("http://141.218.60.56/~jnz1568/getInfo.php?workbook=12_04.xlsx&amp;sheet=U0&amp;row=8811&amp;col=6&amp;number=3.7&amp;sourceID=14","3.7")</f>
        <v>3.7</v>
      </c>
      <c r="G8811" s="4" t="str">
        <f>HYPERLINK("http://141.218.60.56/~jnz1568/getInfo.php?workbook=12_04.xlsx&amp;sheet=U0&amp;row=8811&amp;col=7&amp;number=0.0441&amp;sourceID=14","0.0441")</f>
        <v>0.0441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HYPERLINK("http://141.218.60.56/~jnz1568/getInfo.php?workbook=12_04.xlsx&amp;sheet=U0&amp;row=8812&amp;col=6&amp;number=3.8&amp;sourceID=14","3.8")</f>
        <v>3.8</v>
      </c>
      <c r="G8812" s="4" t="str">
        <f>HYPERLINK("http://141.218.60.56/~jnz1568/getInfo.php?workbook=12_04.xlsx&amp;sheet=U0&amp;row=8812&amp;col=7&amp;number=0.0439&amp;sourceID=14","0.0439")</f>
        <v>0.0439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HYPERLINK("http://141.218.60.56/~jnz1568/getInfo.php?workbook=12_04.xlsx&amp;sheet=U0&amp;row=8813&amp;col=6&amp;number=3.9&amp;sourceID=14","3.9")</f>
        <v>3.9</v>
      </c>
      <c r="G8813" s="4" t="str">
        <f>HYPERLINK("http://141.218.60.56/~jnz1568/getInfo.php?workbook=12_04.xlsx&amp;sheet=U0&amp;row=8813&amp;col=7&amp;number=0.0436&amp;sourceID=14","0.0436")</f>
        <v>0.0436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HYPERLINK("http://141.218.60.56/~jnz1568/getInfo.php?workbook=12_04.xlsx&amp;sheet=U0&amp;row=8814&amp;col=6&amp;number=4&amp;sourceID=14","4")</f>
        <v>4</v>
      </c>
      <c r="G8814" s="4" t="str">
        <f>HYPERLINK("http://141.218.60.56/~jnz1568/getInfo.php?workbook=12_04.xlsx&amp;sheet=U0&amp;row=8814&amp;col=7&amp;number=0.0431&amp;sourceID=14","0.0431")</f>
        <v>0.0431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HYPERLINK("http://141.218.60.56/~jnz1568/getInfo.php?workbook=12_04.xlsx&amp;sheet=U0&amp;row=8815&amp;col=6&amp;number=4.1&amp;sourceID=14","4.1")</f>
        <v>4.1</v>
      </c>
      <c r="G8815" s="4" t="str">
        <f>HYPERLINK("http://141.218.60.56/~jnz1568/getInfo.php?workbook=12_04.xlsx&amp;sheet=U0&amp;row=8815&amp;col=7&amp;number=0.0426&amp;sourceID=14","0.0426")</f>
        <v>0.0426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HYPERLINK("http://141.218.60.56/~jnz1568/getInfo.php?workbook=12_04.xlsx&amp;sheet=U0&amp;row=8816&amp;col=6&amp;number=4.2&amp;sourceID=14","4.2")</f>
        <v>4.2</v>
      </c>
      <c r="G8816" s="4" t="str">
        <f>HYPERLINK("http://141.218.60.56/~jnz1568/getInfo.php?workbook=12_04.xlsx&amp;sheet=U0&amp;row=8816&amp;col=7&amp;number=0.042&amp;sourceID=14","0.042")</f>
        <v>0.042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HYPERLINK("http://141.218.60.56/~jnz1568/getInfo.php?workbook=12_04.xlsx&amp;sheet=U0&amp;row=8817&amp;col=6&amp;number=4.3&amp;sourceID=14","4.3")</f>
        <v>4.3</v>
      </c>
      <c r="G8817" s="4" t="str">
        <f>HYPERLINK("http://141.218.60.56/~jnz1568/getInfo.php?workbook=12_04.xlsx&amp;sheet=U0&amp;row=8817&amp;col=7&amp;number=0.0413&amp;sourceID=14","0.0413")</f>
        <v>0.0413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HYPERLINK("http://141.218.60.56/~jnz1568/getInfo.php?workbook=12_04.xlsx&amp;sheet=U0&amp;row=8818&amp;col=6&amp;number=4.4&amp;sourceID=14","4.4")</f>
        <v>4.4</v>
      </c>
      <c r="G8818" s="4" t="str">
        <f>HYPERLINK("http://141.218.60.56/~jnz1568/getInfo.php?workbook=12_04.xlsx&amp;sheet=U0&amp;row=8818&amp;col=7&amp;number=0.0404&amp;sourceID=14","0.0404")</f>
        <v>0.0404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HYPERLINK("http://141.218.60.56/~jnz1568/getInfo.php?workbook=12_04.xlsx&amp;sheet=U0&amp;row=8819&amp;col=6&amp;number=4.5&amp;sourceID=14","4.5")</f>
        <v>4.5</v>
      </c>
      <c r="G8819" s="4" t="str">
        <f>HYPERLINK("http://141.218.60.56/~jnz1568/getInfo.php?workbook=12_04.xlsx&amp;sheet=U0&amp;row=8819&amp;col=7&amp;number=0.0393&amp;sourceID=14","0.0393")</f>
        <v>0.0393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HYPERLINK("http://141.218.60.56/~jnz1568/getInfo.php?workbook=12_04.xlsx&amp;sheet=U0&amp;row=8820&amp;col=6&amp;number=4.6&amp;sourceID=14","4.6")</f>
        <v>4.6</v>
      </c>
      <c r="G8820" s="4" t="str">
        <f>HYPERLINK("http://141.218.60.56/~jnz1568/getInfo.php?workbook=12_04.xlsx&amp;sheet=U0&amp;row=8820&amp;col=7&amp;number=0.0382&amp;sourceID=14","0.0382")</f>
        <v>0.0382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HYPERLINK("http://141.218.60.56/~jnz1568/getInfo.php?workbook=12_04.xlsx&amp;sheet=U0&amp;row=8821&amp;col=6&amp;number=4.7&amp;sourceID=14","4.7")</f>
        <v>4.7</v>
      </c>
      <c r="G8821" s="4" t="str">
        <f>HYPERLINK("http://141.218.60.56/~jnz1568/getInfo.php?workbook=12_04.xlsx&amp;sheet=U0&amp;row=8821&amp;col=7&amp;number=0.0369&amp;sourceID=14","0.0369")</f>
        <v>0.0369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HYPERLINK("http://141.218.60.56/~jnz1568/getInfo.php?workbook=12_04.xlsx&amp;sheet=U0&amp;row=8822&amp;col=6&amp;number=4.8&amp;sourceID=14","4.8")</f>
        <v>4.8</v>
      </c>
      <c r="G8822" s="4" t="str">
        <f>HYPERLINK("http://141.218.60.56/~jnz1568/getInfo.php?workbook=12_04.xlsx&amp;sheet=U0&amp;row=8822&amp;col=7&amp;number=0.0357&amp;sourceID=14","0.0357")</f>
        <v>0.0357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HYPERLINK("http://141.218.60.56/~jnz1568/getInfo.php?workbook=12_04.xlsx&amp;sheet=U0&amp;row=8823&amp;col=6&amp;number=4.9&amp;sourceID=14","4.9")</f>
        <v>4.9</v>
      </c>
      <c r="G8823" s="4" t="str">
        <f>HYPERLINK("http://141.218.60.56/~jnz1568/getInfo.php?workbook=12_04.xlsx&amp;sheet=U0&amp;row=8823&amp;col=7&amp;number=0.0346&amp;sourceID=14","0.0346")</f>
        <v>0.0346</v>
      </c>
    </row>
    <row r="8824" spans="1:7">
      <c r="A8824" s="3">
        <v>12</v>
      </c>
      <c r="B8824" s="3">
        <v>4</v>
      </c>
      <c r="C8824" s="3">
        <v>5</v>
      </c>
      <c r="D8824" s="3">
        <v>65</v>
      </c>
      <c r="E8824" s="3">
        <v>1</v>
      </c>
      <c r="F8824" s="4" t="str">
        <f>HYPERLINK("http://141.218.60.56/~jnz1568/getInfo.php?workbook=12_04.xlsx&amp;sheet=U0&amp;row=8824&amp;col=6&amp;number=3&amp;sourceID=14","3")</f>
        <v>3</v>
      </c>
      <c r="G8824" s="4" t="str">
        <f>HYPERLINK("http://141.218.60.56/~jnz1568/getInfo.php?workbook=12_04.xlsx&amp;sheet=U0&amp;row=8824&amp;col=7&amp;number=0.00922&amp;sourceID=14","0.00922")</f>
        <v>0.00922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HYPERLINK("http://141.218.60.56/~jnz1568/getInfo.php?workbook=12_04.xlsx&amp;sheet=U0&amp;row=8825&amp;col=6&amp;number=3.1&amp;sourceID=14","3.1")</f>
        <v>3.1</v>
      </c>
      <c r="G8825" s="4" t="str">
        <f>HYPERLINK("http://141.218.60.56/~jnz1568/getInfo.php?workbook=12_04.xlsx&amp;sheet=U0&amp;row=8825&amp;col=7&amp;number=0.00922&amp;sourceID=14","0.00922")</f>
        <v>0.00922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HYPERLINK("http://141.218.60.56/~jnz1568/getInfo.php?workbook=12_04.xlsx&amp;sheet=U0&amp;row=8826&amp;col=6&amp;number=3.2&amp;sourceID=14","3.2")</f>
        <v>3.2</v>
      </c>
      <c r="G8826" s="4" t="str">
        <f>HYPERLINK("http://141.218.60.56/~jnz1568/getInfo.php?workbook=12_04.xlsx&amp;sheet=U0&amp;row=8826&amp;col=7&amp;number=0.00921&amp;sourceID=14","0.00921")</f>
        <v>0.00921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HYPERLINK("http://141.218.60.56/~jnz1568/getInfo.php?workbook=12_04.xlsx&amp;sheet=U0&amp;row=8827&amp;col=6&amp;number=3.3&amp;sourceID=14","3.3")</f>
        <v>3.3</v>
      </c>
      <c r="G8827" s="4" t="str">
        <f>HYPERLINK("http://141.218.60.56/~jnz1568/getInfo.php?workbook=12_04.xlsx&amp;sheet=U0&amp;row=8827&amp;col=7&amp;number=0.0092&amp;sourceID=14","0.0092")</f>
        <v>0.0092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HYPERLINK("http://141.218.60.56/~jnz1568/getInfo.php?workbook=12_04.xlsx&amp;sheet=U0&amp;row=8828&amp;col=6&amp;number=3.4&amp;sourceID=14","3.4")</f>
        <v>3.4</v>
      </c>
      <c r="G8828" s="4" t="str">
        <f>HYPERLINK("http://141.218.60.56/~jnz1568/getInfo.php?workbook=12_04.xlsx&amp;sheet=U0&amp;row=8828&amp;col=7&amp;number=0.00919&amp;sourceID=14","0.00919")</f>
        <v>0.00919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HYPERLINK("http://141.218.60.56/~jnz1568/getInfo.php?workbook=12_04.xlsx&amp;sheet=U0&amp;row=8829&amp;col=6&amp;number=3.5&amp;sourceID=14","3.5")</f>
        <v>3.5</v>
      </c>
      <c r="G8829" s="4" t="str">
        <f>HYPERLINK("http://141.218.60.56/~jnz1568/getInfo.php?workbook=12_04.xlsx&amp;sheet=U0&amp;row=8829&amp;col=7&amp;number=0.00917&amp;sourceID=14","0.00917")</f>
        <v>0.00917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HYPERLINK("http://141.218.60.56/~jnz1568/getInfo.php?workbook=12_04.xlsx&amp;sheet=U0&amp;row=8830&amp;col=6&amp;number=3.6&amp;sourceID=14","3.6")</f>
        <v>3.6</v>
      </c>
      <c r="G8830" s="4" t="str">
        <f>HYPERLINK("http://141.218.60.56/~jnz1568/getInfo.php?workbook=12_04.xlsx&amp;sheet=U0&amp;row=8830&amp;col=7&amp;number=0.00915&amp;sourceID=14","0.00915")</f>
        <v>0.00915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HYPERLINK("http://141.218.60.56/~jnz1568/getInfo.php?workbook=12_04.xlsx&amp;sheet=U0&amp;row=8831&amp;col=6&amp;number=3.7&amp;sourceID=14","3.7")</f>
        <v>3.7</v>
      </c>
      <c r="G8831" s="4" t="str">
        <f>HYPERLINK("http://141.218.60.56/~jnz1568/getInfo.php?workbook=12_04.xlsx&amp;sheet=U0&amp;row=8831&amp;col=7&amp;number=0.00913&amp;sourceID=14","0.00913")</f>
        <v>0.00913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HYPERLINK("http://141.218.60.56/~jnz1568/getInfo.php?workbook=12_04.xlsx&amp;sheet=U0&amp;row=8832&amp;col=6&amp;number=3.8&amp;sourceID=14","3.8")</f>
        <v>3.8</v>
      </c>
      <c r="G8832" s="4" t="str">
        <f>HYPERLINK("http://141.218.60.56/~jnz1568/getInfo.php?workbook=12_04.xlsx&amp;sheet=U0&amp;row=8832&amp;col=7&amp;number=0.0091&amp;sourceID=14","0.0091")</f>
        <v>0.0091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HYPERLINK("http://141.218.60.56/~jnz1568/getInfo.php?workbook=12_04.xlsx&amp;sheet=U0&amp;row=8833&amp;col=6&amp;number=3.9&amp;sourceID=14","3.9")</f>
        <v>3.9</v>
      </c>
      <c r="G8833" s="4" t="str">
        <f>HYPERLINK("http://141.218.60.56/~jnz1568/getInfo.php?workbook=12_04.xlsx&amp;sheet=U0&amp;row=8833&amp;col=7&amp;number=0.00906&amp;sourceID=14","0.00906")</f>
        <v>0.00906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HYPERLINK("http://141.218.60.56/~jnz1568/getInfo.php?workbook=12_04.xlsx&amp;sheet=U0&amp;row=8834&amp;col=6&amp;number=4&amp;sourceID=14","4")</f>
        <v>4</v>
      </c>
      <c r="G8834" s="4" t="str">
        <f>HYPERLINK("http://141.218.60.56/~jnz1568/getInfo.php?workbook=12_04.xlsx&amp;sheet=U0&amp;row=8834&amp;col=7&amp;number=0.00901&amp;sourceID=14","0.00901")</f>
        <v>0.00901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HYPERLINK("http://141.218.60.56/~jnz1568/getInfo.php?workbook=12_04.xlsx&amp;sheet=U0&amp;row=8835&amp;col=6&amp;number=4.1&amp;sourceID=14","4.1")</f>
        <v>4.1</v>
      </c>
      <c r="G8835" s="4" t="str">
        <f>HYPERLINK("http://141.218.60.56/~jnz1568/getInfo.php?workbook=12_04.xlsx&amp;sheet=U0&amp;row=8835&amp;col=7&amp;number=0.00895&amp;sourceID=14","0.00895")</f>
        <v>0.00895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HYPERLINK("http://141.218.60.56/~jnz1568/getInfo.php?workbook=12_04.xlsx&amp;sheet=U0&amp;row=8836&amp;col=6&amp;number=4.2&amp;sourceID=14","4.2")</f>
        <v>4.2</v>
      </c>
      <c r="G8836" s="4" t="str">
        <f>HYPERLINK("http://141.218.60.56/~jnz1568/getInfo.php?workbook=12_04.xlsx&amp;sheet=U0&amp;row=8836&amp;col=7&amp;number=0.00887&amp;sourceID=14","0.00887")</f>
        <v>0.00887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HYPERLINK("http://141.218.60.56/~jnz1568/getInfo.php?workbook=12_04.xlsx&amp;sheet=U0&amp;row=8837&amp;col=6&amp;number=4.3&amp;sourceID=14","4.3")</f>
        <v>4.3</v>
      </c>
      <c r="G8837" s="4" t="str">
        <f>HYPERLINK("http://141.218.60.56/~jnz1568/getInfo.php?workbook=12_04.xlsx&amp;sheet=U0&amp;row=8837&amp;col=7&amp;number=0.00877&amp;sourceID=14","0.00877")</f>
        <v>0.00877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HYPERLINK("http://141.218.60.56/~jnz1568/getInfo.php?workbook=12_04.xlsx&amp;sheet=U0&amp;row=8838&amp;col=6&amp;number=4.4&amp;sourceID=14","4.4")</f>
        <v>4.4</v>
      </c>
      <c r="G8838" s="4" t="str">
        <f>HYPERLINK("http://141.218.60.56/~jnz1568/getInfo.php?workbook=12_04.xlsx&amp;sheet=U0&amp;row=8838&amp;col=7&amp;number=0.00865&amp;sourceID=14","0.00865")</f>
        <v>0.00865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HYPERLINK("http://141.218.60.56/~jnz1568/getInfo.php?workbook=12_04.xlsx&amp;sheet=U0&amp;row=8839&amp;col=6&amp;number=4.5&amp;sourceID=14","4.5")</f>
        <v>4.5</v>
      </c>
      <c r="G8839" s="4" t="str">
        <f>HYPERLINK("http://141.218.60.56/~jnz1568/getInfo.php?workbook=12_04.xlsx&amp;sheet=U0&amp;row=8839&amp;col=7&amp;number=0.0085&amp;sourceID=14","0.0085")</f>
        <v>0.0085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HYPERLINK("http://141.218.60.56/~jnz1568/getInfo.php?workbook=12_04.xlsx&amp;sheet=U0&amp;row=8840&amp;col=6&amp;number=4.6&amp;sourceID=14","4.6")</f>
        <v>4.6</v>
      </c>
      <c r="G8840" s="4" t="str">
        <f>HYPERLINK("http://141.218.60.56/~jnz1568/getInfo.php?workbook=12_04.xlsx&amp;sheet=U0&amp;row=8840&amp;col=7&amp;number=0.00831&amp;sourceID=14","0.00831")</f>
        <v>0.00831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HYPERLINK("http://141.218.60.56/~jnz1568/getInfo.php?workbook=12_04.xlsx&amp;sheet=U0&amp;row=8841&amp;col=6&amp;number=4.7&amp;sourceID=14","4.7")</f>
        <v>4.7</v>
      </c>
      <c r="G8841" s="4" t="str">
        <f>HYPERLINK("http://141.218.60.56/~jnz1568/getInfo.php?workbook=12_04.xlsx&amp;sheet=U0&amp;row=8841&amp;col=7&amp;number=0.00809&amp;sourceID=14","0.00809")</f>
        <v>0.00809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HYPERLINK("http://141.218.60.56/~jnz1568/getInfo.php?workbook=12_04.xlsx&amp;sheet=U0&amp;row=8842&amp;col=6&amp;number=4.8&amp;sourceID=14","4.8")</f>
        <v>4.8</v>
      </c>
      <c r="G8842" s="4" t="str">
        <f>HYPERLINK("http://141.218.60.56/~jnz1568/getInfo.php?workbook=12_04.xlsx&amp;sheet=U0&amp;row=8842&amp;col=7&amp;number=0.00781&amp;sourceID=14","0.00781")</f>
        <v>0.00781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HYPERLINK("http://141.218.60.56/~jnz1568/getInfo.php?workbook=12_04.xlsx&amp;sheet=U0&amp;row=8843&amp;col=6&amp;number=4.9&amp;sourceID=14","4.9")</f>
        <v>4.9</v>
      </c>
      <c r="G8843" s="4" t="str">
        <f>HYPERLINK("http://141.218.60.56/~jnz1568/getInfo.php?workbook=12_04.xlsx&amp;sheet=U0&amp;row=8843&amp;col=7&amp;number=0.00748&amp;sourceID=14","0.00748")</f>
        <v>0.00748</v>
      </c>
    </row>
    <row r="8844" spans="1:7">
      <c r="A8844" s="3">
        <v>12</v>
      </c>
      <c r="B8844" s="3">
        <v>4</v>
      </c>
      <c r="C8844" s="3">
        <v>5</v>
      </c>
      <c r="D8844" s="3">
        <v>66</v>
      </c>
      <c r="E8844" s="3">
        <v>1</v>
      </c>
      <c r="F8844" s="4" t="str">
        <f>HYPERLINK("http://141.218.60.56/~jnz1568/getInfo.php?workbook=12_04.xlsx&amp;sheet=U0&amp;row=8844&amp;col=6&amp;number=3&amp;sourceID=14","3")</f>
        <v>3</v>
      </c>
      <c r="G8844" s="4" t="str">
        <f>HYPERLINK("http://141.218.60.56/~jnz1568/getInfo.php?workbook=12_04.xlsx&amp;sheet=U0&amp;row=8844&amp;col=7&amp;number=0.00668&amp;sourceID=14","0.00668")</f>
        <v>0.00668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HYPERLINK("http://141.218.60.56/~jnz1568/getInfo.php?workbook=12_04.xlsx&amp;sheet=U0&amp;row=8845&amp;col=6&amp;number=3.1&amp;sourceID=14","3.1")</f>
        <v>3.1</v>
      </c>
      <c r="G8845" s="4" t="str">
        <f>HYPERLINK("http://141.218.60.56/~jnz1568/getInfo.php?workbook=12_04.xlsx&amp;sheet=U0&amp;row=8845&amp;col=7&amp;number=0.00668&amp;sourceID=14","0.00668")</f>
        <v>0.00668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HYPERLINK("http://141.218.60.56/~jnz1568/getInfo.php?workbook=12_04.xlsx&amp;sheet=U0&amp;row=8846&amp;col=6&amp;number=3.2&amp;sourceID=14","3.2")</f>
        <v>3.2</v>
      </c>
      <c r="G8846" s="4" t="str">
        <f>HYPERLINK("http://141.218.60.56/~jnz1568/getInfo.php?workbook=12_04.xlsx&amp;sheet=U0&amp;row=8846&amp;col=7&amp;number=0.00667&amp;sourceID=14","0.00667")</f>
        <v>0.00667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HYPERLINK("http://141.218.60.56/~jnz1568/getInfo.php?workbook=12_04.xlsx&amp;sheet=U0&amp;row=8847&amp;col=6&amp;number=3.3&amp;sourceID=14","3.3")</f>
        <v>3.3</v>
      </c>
      <c r="G8847" s="4" t="str">
        <f>HYPERLINK("http://141.218.60.56/~jnz1568/getInfo.php?workbook=12_04.xlsx&amp;sheet=U0&amp;row=8847&amp;col=7&amp;number=0.00666&amp;sourceID=14","0.00666")</f>
        <v>0.00666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HYPERLINK("http://141.218.60.56/~jnz1568/getInfo.php?workbook=12_04.xlsx&amp;sheet=U0&amp;row=8848&amp;col=6&amp;number=3.4&amp;sourceID=14","3.4")</f>
        <v>3.4</v>
      </c>
      <c r="G8848" s="4" t="str">
        <f>HYPERLINK("http://141.218.60.56/~jnz1568/getInfo.php?workbook=12_04.xlsx&amp;sheet=U0&amp;row=8848&amp;col=7&amp;number=0.00665&amp;sourceID=14","0.00665")</f>
        <v>0.00665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HYPERLINK("http://141.218.60.56/~jnz1568/getInfo.php?workbook=12_04.xlsx&amp;sheet=U0&amp;row=8849&amp;col=6&amp;number=3.5&amp;sourceID=14","3.5")</f>
        <v>3.5</v>
      </c>
      <c r="G8849" s="4" t="str">
        <f>HYPERLINK("http://141.218.60.56/~jnz1568/getInfo.php?workbook=12_04.xlsx&amp;sheet=U0&amp;row=8849&amp;col=7&amp;number=0.00663&amp;sourceID=14","0.00663")</f>
        <v>0.00663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HYPERLINK("http://141.218.60.56/~jnz1568/getInfo.php?workbook=12_04.xlsx&amp;sheet=U0&amp;row=8850&amp;col=6&amp;number=3.6&amp;sourceID=14","3.6")</f>
        <v>3.6</v>
      </c>
      <c r="G8850" s="4" t="str">
        <f>HYPERLINK("http://141.218.60.56/~jnz1568/getInfo.php?workbook=12_04.xlsx&amp;sheet=U0&amp;row=8850&amp;col=7&amp;number=0.00662&amp;sourceID=14","0.00662")</f>
        <v>0.00662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HYPERLINK("http://141.218.60.56/~jnz1568/getInfo.php?workbook=12_04.xlsx&amp;sheet=U0&amp;row=8851&amp;col=6&amp;number=3.7&amp;sourceID=14","3.7")</f>
        <v>3.7</v>
      </c>
      <c r="G8851" s="4" t="str">
        <f>HYPERLINK("http://141.218.60.56/~jnz1568/getInfo.php?workbook=12_04.xlsx&amp;sheet=U0&amp;row=8851&amp;col=7&amp;number=0.00659&amp;sourceID=14","0.00659")</f>
        <v>0.00659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HYPERLINK("http://141.218.60.56/~jnz1568/getInfo.php?workbook=12_04.xlsx&amp;sheet=U0&amp;row=8852&amp;col=6&amp;number=3.8&amp;sourceID=14","3.8")</f>
        <v>3.8</v>
      </c>
      <c r="G8852" s="4" t="str">
        <f>HYPERLINK("http://141.218.60.56/~jnz1568/getInfo.php?workbook=12_04.xlsx&amp;sheet=U0&amp;row=8852&amp;col=7&amp;number=0.00656&amp;sourceID=14","0.00656")</f>
        <v>0.00656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HYPERLINK("http://141.218.60.56/~jnz1568/getInfo.php?workbook=12_04.xlsx&amp;sheet=U0&amp;row=8853&amp;col=6&amp;number=3.9&amp;sourceID=14","3.9")</f>
        <v>3.9</v>
      </c>
      <c r="G8853" s="4" t="str">
        <f>HYPERLINK("http://141.218.60.56/~jnz1568/getInfo.php?workbook=12_04.xlsx&amp;sheet=U0&amp;row=8853&amp;col=7&amp;number=0.00653&amp;sourceID=14","0.00653")</f>
        <v>0.00653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HYPERLINK("http://141.218.60.56/~jnz1568/getInfo.php?workbook=12_04.xlsx&amp;sheet=U0&amp;row=8854&amp;col=6&amp;number=4&amp;sourceID=14","4")</f>
        <v>4</v>
      </c>
      <c r="G8854" s="4" t="str">
        <f>HYPERLINK("http://141.218.60.56/~jnz1568/getInfo.php?workbook=12_04.xlsx&amp;sheet=U0&amp;row=8854&amp;col=7&amp;number=0.00648&amp;sourceID=14","0.00648")</f>
        <v>0.00648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HYPERLINK("http://141.218.60.56/~jnz1568/getInfo.php?workbook=12_04.xlsx&amp;sheet=U0&amp;row=8855&amp;col=6&amp;number=4.1&amp;sourceID=14","4.1")</f>
        <v>4.1</v>
      </c>
      <c r="G8855" s="4" t="str">
        <f>HYPERLINK("http://141.218.60.56/~jnz1568/getInfo.php?workbook=12_04.xlsx&amp;sheet=U0&amp;row=8855&amp;col=7&amp;number=0.00642&amp;sourceID=14","0.00642")</f>
        <v>0.00642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HYPERLINK("http://141.218.60.56/~jnz1568/getInfo.php?workbook=12_04.xlsx&amp;sheet=U0&amp;row=8856&amp;col=6&amp;number=4.2&amp;sourceID=14","4.2")</f>
        <v>4.2</v>
      </c>
      <c r="G8856" s="4" t="str">
        <f>HYPERLINK("http://141.218.60.56/~jnz1568/getInfo.php?workbook=12_04.xlsx&amp;sheet=U0&amp;row=8856&amp;col=7&amp;number=0.00635&amp;sourceID=14","0.00635")</f>
        <v>0.00635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HYPERLINK("http://141.218.60.56/~jnz1568/getInfo.php?workbook=12_04.xlsx&amp;sheet=U0&amp;row=8857&amp;col=6&amp;number=4.3&amp;sourceID=14","4.3")</f>
        <v>4.3</v>
      </c>
      <c r="G8857" s="4" t="str">
        <f>HYPERLINK("http://141.218.60.56/~jnz1568/getInfo.php?workbook=12_04.xlsx&amp;sheet=U0&amp;row=8857&amp;col=7&amp;number=0.00626&amp;sourceID=14","0.00626")</f>
        <v>0.00626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HYPERLINK("http://141.218.60.56/~jnz1568/getInfo.php?workbook=12_04.xlsx&amp;sheet=U0&amp;row=8858&amp;col=6&amp;number=4.4&amp;sourceID=14","4.4")</f>
        <v>4.4</v>
      </c>
      <c r="G8858" s="4" t="str">
        <f>HYPERLINK("http://141.218.60.56/~jnz1568/getInfo.php?workbook=12_04.xlsx&amp;sheet=U0&amp;row=8858&amp;col=7&amp;number=0.00615&amp;sourceID=14","0.00615")</f>
        <v>0.00615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HYPERLINK("http://141.218.60.56/~jnz1568/getInfo.php?workbook=12_04.xlsx&amp;sheet=U0&amp;row=8859&amp;col=6&amp;number=4.5&amp;sourceID=14","4.5")</f>
        <v>4.5</v>
      </c>
      <c r="G8859" s="4" t="str">
        <f>HYPERLINK("http://141.218.60.56/~jnz1568/getInfo.php?workbook=12_04.xlsx&amp;sheet=U0&amp;row=8859&amp;col=7&amp;number=0.00601&amp;sourceID=14","0.00601")</f>
        <v>0.00601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HYPERLINK("http://141.218.60.56/~jnz1568/getInfo.php?workbook=12_04.xlsx&amp;sheet=U0&amp;row=8860&amp;col=6&amp;number=4.6&amp;sourceID=14","4.6")</f>
        <v>4.6</v>
      </c>
      <c r="G8860" s="4" t="str">
        <f>HYPERLINK("http://141.218.60.56/~jnz1568/getInfo.php?workbook=12_04.xlsx&amp;sheet=U0&amp;row=8860&amp;col=7&amp;number=0.00584&amp;sourceID=14","0.00584")</f>
        <v>0.00584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HYPERLINK("http://141.218.60.56/~jnz1568/getInfo.php?workbook=12_04.xlsx&amp;sheet=U0&amp;row=8861&amp;col=6&amp;number=4.7&amp;sourceID=14","4.7")</f>
        <v>4.7</v>
      </c>
      <c r="G8861" s="4" t="str">
        <f>HYPERLINK("http://141.218.60.56/~jnz1568/getInfo.php?workbook=12_04.xlsx&amp;sheet=U0&amp;row=8861&amp;col=7&amp;number=0.00563&amp;sourceID=14","0.00563")</f>
        <v>0.00563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HYPERLINK("http://141.218.60.56/~jnz1568/getInfo.php?workbook=12_04.xlsx&amp;sheet=U0&amp;row=8862&amp;col=6&amp;number=4.8&amp;sourceID=14","4.8")</f>
        <v>4.8</v>
      </c>
      <c r="G8862" s="4" t="str">
        <f>HYPERLINK("http://141.218.60.56/~jnz1568/getInfo.php?workbook=12_04.xlsx&amp;sheet=U0&amp;row=8862&amp;col=7&amp;number=0.00538&amp;sourceID=14","0.00538")</f>
        <v>0.00538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HYPERLINK("http://141.218.60.56/~jnz1568/getInfo.php?workbook=12_04.xlsx&amp;sheet=U0&amp;row=8863&amp;col=6&amp;number=4.9&amp;sourceID=14","4.9")</f>
        <v>4.9</v>
      </c>
      <c r="G8863" s="4" t="str">
        <f>HYPERLINK("http://141.218.60.56/~jnz1568/getInfo.php?workbook=12_04.xlsx&amp;sheet=U0&amp;row=8863&amp;col=7&amp;number=0.00507&amp;sourceID=14","0.00507")</f>
        <v>0.00507</v>
      </c>
    </row>
    <row r="8864" spans="1:7">
      <c r="A8864" s="3">
        <v>12</v>
      </c>
      <c r="B8864" s="3">
        <v>4</v>
      </c>
      <c r="C8864" s="3">
        <v>5</v>
      </c>
      <c r="D8864" s="3">
        <v>67</v>
      </c>
      <c r="E8864" s="3">
        <v>1</v>
      </c>
      <c r="F8864" s="4" t="str">
        <f>HYPERLINK("http://141.218.60.56/~jnz1568/getInfo.php?workbook=12_04.xlsx&amp;sheet=U0&amp;row=8864&amp;col=6&amp;number=3&amp;sourceID=14","3")</f>
        <v>3</v>
      </c>
      <c r="G8864" s="4" t="str">
        <f>HYPERLINK("http://141.218.60.56/~jnz1568/getInfo.php?workbook=12_04.xlsx&amp;sheet=U0&amp;row=8864&amp;col=7&amp;number=0.00826&amp;sourceID=14","0.00826")</f>
        <v>0.00826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HYPERLINK("http://141.218.60.56/~jnz1568/getInfo.php?workbook=12_04.xlsx&amp;sheet=U0&amp;row=8865&amp;col=6&amp;number=3.1&amp;sourceID=14","3.1")</f>
        <v>3.1</v>
      </c>
      <c r="G8865" s="4" t="str">
        <f>HYPERLINK("http://141.218.60.56/~jnz1568/getInfo.php?workbook=12_04.xlsx&amp;sheet=U0&amp;row=8865&amp;col=7&amp;number=0.00825&amp;sourceID=14","0.00825")</f>
        <v>0.00825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HYPERLINK("http://141.218.60.56/~jnz1568/getInfo.php?workbook=12_04.xlsx&amp;sheet=U0&amp;row=8866&amp;col=6&amp;number=3.2&amp;sourceID=14","3.2")</f>
        <v>3.2</v>
      </c>
      <c r="G8866" s="4" t="str">
        <f>HYPERLINK("http://141.218.60.56/~jnz1568/getInfo.php?workbook=12_04.xlsx&amp;sheet=U0&amp;row=8866&amp;col=7&amp;number=0.00823&amp;sourceID=14","0.00823")</f>
        <v>0.00823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HYPERLINK("http://141.218.60.56/~jnz1568/getInfo.php?workbook=12_04.xlsx&amp;sheet=U0&amp;row=8867&amp;col=6&amp;number=3.3&amp;sourceID=14","3.3")</f>
        <v>3.3</v>
      </c>
      <c r="G8867" s="4" t="str">
        <f>HYPERLINK("http://141.218.60.56/~jnz1568/getInfo.php?workbook=12_04.xlsx&amp;sheet=U0&amp;row=8867&amp;col=7&amp;number=0.00822&amp;sourceID=14","0.00822")</f>
        <v>0.00822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HYPERLINK("http://141.218.60.56/~jnz1568/getInfo.php?workbook=12_04.xlsx&amp;sheet=U0&amp;row=8868&amp;col=6&amp;number=3.4&amp;sourceID=14","3.4")</f>
        <v>3.4</v>
      </c>
      <c r="G8868" s="4" t="str">
        <f>HYPERLINK("http://141.218.60.56/~jnz1568/getInfo.php?workbook=12_04.xlsx&amp;sheet=U0&amp;row=8868&amp;col=7&amp;number=0.0082&amp;sourceID=14","0.0082")</f>
        <v>0.0082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HYPERLINK("http://141.218.60.56/~jnz1568/getInfo.php?workbook=12_04.xlsx&amp;sheet=U0&amp;row=8869&amp;col=6&amp;number=3.5&amp;sourceID=14","3.5")</f>
        <v>3.5</v>
      </c>
      <c r="G8869" s="4" t="str">
        <f>HYPERLINK("http://141.218.60.56/~jnz1568/getInfo.php?workbook=12_04.xlsx&amp;sheet=U0&amp;row=8869&amp;col=7&amp;number=0.00818&amp;sourceID=14","0.00818")</f>
        <v>0.00818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HYPERLINK("http://141.218.60.56/~jnz1568/getInfo.php?workbook=12_04.xlsx&amp;sheet=U0&amp;row=8870&amp;col=6&amp;number=3.6&amp;sourceID=14","3.6")</f>
        <v>3.6</v>
      </c>
      <c r="G8870" s="4" t="str">
        <f>HYPERLINK("http://141.218.60.56/~jnz1568/getInfo.php?workbook=12_04.xlsx&amp;sheet=U0&amp;row=8870&amp;col=7&amp;number=0.00815&amp;sourceID=14","0.00815")</f>
        <v>0.00815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HYPERLINK("http://141.218.60.56/~jnz1568/getInfo.php?workbook=12_04.xlsx&amp;sheet=U0&amp;row=8871&amp;col=6&amp;number=3.7&amp;sourceID=14","3.7")</f>
        <v>3.7</v>
      </c>
      <c r="G8871" s="4" t="str">
        <f>HYPERLINK("http://141.218.60.56/~jnz1568/getInfo.php?workbook=12_04.xlsx&amp;sheet=U0&amp;row=8871&amp;col=7&amp;number=0.00811&amp;sourceID=14","0.00811")</f>
        <v>0.00811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HYPERLINK("http://141.218.60.56/~jnz1568/getInfo.php?workbook=12_04.xlsx&amp;sheet=U0&amp;row=8872&amp;col=6&amp;number=3.8&amp;sourceID=14","3.8")</f>
        <v>3.8</v>
      </c>
      <c r="G8872" s="4" t="str">
        <f>HYPERLINK("http://141.218.60.56/~jnz1568/getInfo.php?workbook=12_04.xlsx&amp;sheet=U0&amp;row=8872&amp;col=7&amp;number=0.00806&amp;sourceID=14","0.00806")</f>
        <v>0.00806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HYPERLINK("http://141.218.60.56/~jnz1568/getInfo.php?workbook=12_04.xlsx&amp;sheet=U0&amp;row=8873&amp;col=6&amp;number=3.9&amp;sourceID=14","3.9")</f>
        <v>3.9</v>
      </c>
      <c r="G8873" s="4" t="str">
        <f>HYPERLINK("http://141.218.60.56/~jnz1568/getInfo.php?workbook=12_04.xlsx&amp;sheet=U0&amp;row=8873&amp;col=7&amp;number=0.00801&amp;sourceID=14","0.00801")</f>
        <v>0.00801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HYPERLINK("http://141.218.60.56/~jnz1568/getInfo.php?workbook=12_04.xlsx&amp;sheet=U0&amp;row=8874&amp;col=6&amp;number=4&amp;sourceID=14","4")</f>
        <v>4</v>
      </c>
      <c r="G8874" s="4" t="str">
        <f>HYPERLINK("http://141.218.60.56/~jnz1568/getInfo.php?workbook=12_04.xlsx&amp;sheet=U0&amp;row=8874&amp;col=7&amp;number=0.00793&amp;sourceID=14","0.00793")</f>
        <v>0.00793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HYPERLINK("http://141.218.60.56/~jnz1568/getInfo.php?workbook=12_04.xlsx&amp;sheet=U0&amp;row=8875&amp;col=6&amp;number=4.1&amp;sourceID=14","4.1")</f>
        <v>4.1</v>
      </c>
      <c r="G8875" s="4" t="str">
        <f>HYPERLINK("http://141.218.60.56/~jnz1568/getInfo.php?workbook=12_04.xlsx&amp;sheet=U0&amp;row=8875&amp;col=7&amp;number=0.00784&amp;sourceID=14","0.00784")</f>
        <v>0.00784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HYPERLINK("http://141.218.60.56/~jnz1568/getInfo.php?workbook=12_04.xlsx&amp;sheet=U0&amp;row=8876&amp;col=6&amp;number=4.2&amp;sourceID=14","4.2")</f>
        <v>4.2</v>
      </c>
      <c r="G8876" s="4" t="str">
        <f>HYPERLINK("http://141.218.60.56/~jnz1568/getInfo.php?workbook=12_04.xlsx&amp;sheet=U0&amp;row=8876&amp;col=7&amp;number=0.00772&amp;sourceID=14","0.00772")</f>
        <v>0.00772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HYPERLINK("http://141.218.60.56/~jnz1568/getInfo.php?workbook=12_04.xlsx&amp;sheet=U0&amp;row=8877&amp;col=6&amp;number=4.3&amp;sourceID=14","4.3")</f>
        <v>4.3</v>
      </c>
      <c r="G8877" s="4" t="str">
        <f>HYPERLINK("http://141.218.60.56/~jnz1568/getInfo.php?workbook=12_04.xlsx&amp;sheet=U0&amp;row=8877&amp;col=7&amp;number=0.00758&amp;sourceID=14","0.00758")</f>
        <v>0.00758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HYPERLINK("http://141.218.60.56/~jnz1568/getInfo.php?workbook=12_04.xlsx&amp;sheet=U0&amp;row=8878&amp;col=6&amp;number=4.4&amp;sourceID=14","4.4")</f>
        <v>4.4</v>
      </c>
      <c r="G8878" s="4" t="str">
        <f>HYPERLINK("http://141.218.60.56/~jnz1568/getInfo.php?workbook=12_04.xlsx&amp;sheet=U0&amp;row=8878&amp;col=7&amp;number=0.0074&amp;sourceID=14","0.0074")</f>
        <v>0.0074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HYPERLINK("http://141.218.60.56/~jnz1568/getInfo.php?workbook=12_04.xlsx&amp;sheet=U0&amp;row=8879&amp;col=6&amp;number=4.5&amp;sourceID=14","4.5")</f>
        <v>4.5</v>
      </c>
      <c r="G8879" s="4" t="str">
        <f>HYPERLINK("http://141.218.60.56/~jnz1568/getInfo.php?workbook=12_04.xlsx&amp;sheet=U0&amp;row=8879&amp;col=7&amp;number=0.00718&amp;sourceID=14","0.00718")</f>
        <v>0.00718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HYPERLINK("http://141.218.60.56/~jnz1568/getInfo.php?workbook=12_04.xlsx&amp;sheet=U0&amp;row=8880&amp;col=6&amp;number=4.6&amp;sourceID=14","4.6")</f>
        <v>4.6</v>
      </c>
      <c r="G8880" s="4" t="str">
        <f>HYPERLINK("http://141.218.60.56/~jnz1568/getInfo.php?workbook=12_04.xlsx&amp;sheet=U0&amp;row=8880&amp;col=7&amp;number=0.0069&amp;sourceID=14","0.0069")</f>
        <v>0.0069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HYPERLINK("http://141.218.60.56/~jnz1568/getInfo.php?workbook=12_04.xlsx&amp;sheet=U0&amp;row=8881&amp;col=6&amp;number=4.7&amp;sourceID=14","4.7")</f>
        <v>4.7</v>
      </c>
      <c r="G8881" s="4" t="str">
        <f>HYPERLINK("http://141.218.60.56/~jnz1568/getInfo.php?workbook=12_04.xlsx&amp;sheet=U0&amp;row=8881&amp;col=7&amp;number=0.00656&amp;sourceID=14","0.00656")</f>
        <v>0.00656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HYPERLINK("http://141.218.60.56/~jnz1568/getInfo.php?workbook=12_04.xlsx&amp;sheet=U0&amp;row=8882&amp;col=6&amp;number=4.8&amp;sourceID=14","4.8")</f>
        <v>4.8</v>
      </c>
      <c r="G8882" s="4" t="str">
        <f>HYPERLINK("http://141.218.60.56/~jnz1568/getInfo.php?workbook=12_04.xlsx&amp;sheet=U0&amp;row=8882&amp;col=7&amp;number=0.00615&amp;sourceID=14","0.00615")</f>
        <v>0.00615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HYPERLINK("http://141.218.60.56/~jnz1568/getInfo.php?workbook=12_04.xlsx&amp;sheet=U0&amp;row=8883&amp;col=6&amp;number=4.9&amp;sourceID=14","4.9")</f>
        <v>4.9</v>
      </c>
      <c r="G8883" s="4" t="str">
        <f>HYPERLINK("http://141.218.60.56/~jnz1568/getInfo.php?workbook=12_04.xlsx&amp;sheet=U0&amp;row=8883&amp;col=7&amp;number=0.00566&amp;sourceID=14","0.00566")</f>
        <v>0.00566</v>
      </c>
    </row>
    <row r="8884" spans="1:7">
      <c r="A8884" s="3">
        <v>12</v>
      </c>
      <c r="B8884" s="3">
        <v>4</v>
      </c>
      <c r="C8884" s="3">
        <v>5</v>
      </c>
      <c r="D8884" s="3">
        <v>68</v>
      </c>
      <c r="E8884" s="3">
        <v>1</v>
      </c>
      <c r="F8884" s="4" t="str">
        <f>HYPERLINK("http://141.218.60.56/~jnz1568/getInfo.php?workbook=12_04.xlsx&amp;sheet=U0&amp;row=8884&amp;col=6&amp;number=3&amp;sourceID=14","3")</f>
        <v>3</v>
      </c>
      <c r="G8884" s="4" t="str">
        <f>HYPERLINK("http://141.218.60.56/~jnz1568/getInfo.php?workbook=12_04.xlsx&amp;sheet=U0&amp;row=8884&amp;col=7&amp;number=0.00964&amp;sourceID=14","0.00964")</f>
        <v>0.00964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HYPERLINK("http://141.218.60.56/~jnz1568/getInfo.php?workbook=12_04.xlsx&amp;sheet=U0&amp;row=8885&amp;col=6&amp;number=3.1&amp;sourceID=14","3.1")</f>
        <v>3.1</v>
      </c>
      <c r="G8885" s="4" t="str">
        <f>HYPERLINK("http://141.218.60.56/~jnz1568/getInfo.php?workbook=12_04.xlsx&amp;sheet=U0&amp;row=8885&amp;col=7&amp;number=0.00963&amp;sourceID=14","0.00963")</f>
        <v>0.00963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HYPERLINK("http://141.218.60.56/~jnz1568/getInfo.php?workbook=12_04.xlsx&amp;sheet=U0&amp;row=8886&amp;col=6&amp;number=3.2&amp;sourceID=14","3.2")</f>
        <v>3.2</v>
      </c>
      <c r="G8886" s="4" t="str">
        <f>HYPERLINK("http://141.218.60.56/~jnz1568/getInfo.php?workbook=12_04.xlsx&amp;sheet=U0&amp;row=8886&amp;col=7&amp;number=0.00961&amp;sourceID=14","0.00961")</f>
        <v>0.00961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HYPERLINK("http://141.218.60.56/~jnz1568/getInfo.php?workbook=12_04.xlsx&amp;sheet=U0&amp;row=8887&amp;col=6&amp;number=3.3&amp;sourceID=14","3.3")</f>
        <v>3.3</v>
      </c>
      <c r="G8887" s="4" t="str">
        <f>HYPERLINK("http://141.218.60.56/~jnz1568/getInfo.php?workbook=12_04.xlsx&amp;sheet=U0&amp;row=8887&amp;col=7&amp;number=0.00959&amp;sourceID=14","0.00959")</f>
        <v>0.00959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HYPERLINK("http://141.218.60.56/~jnz1568/getInfo.php?workbook=12_04.xlsx&amp;sheet=U0&amp;row=8888&amp;col=6&amp;number=3.4&amp;sourceID=14","3.4")</f>
        <v>3.4</v>
      </c>
      <c r="G8888" s="4" t="str">
        <f>HYPERLINK("http://141.218.60.56/~jnz1568/getInfo.php?workbook=12_04.xlsx&amp;sheet=U0&amp;row=8888&amp;col=7&amp;number=0.00956&amp;sourceID=14","0.00956")</f>
        <v>0.00956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HYPERLINK("http://141.218.60.56/~jnz1568/getInfo.php?workbook=12_04.xlsx&amp;sheet=U0&amp;row=8889&amp;col=6&amp;number=3.5&amp;sourceID=14","3.5")</f>
        <v>3.5</v>
      </c>
      <c r="G8889" s="4" t="str">
        <f>HYPERLINK("http://141.218.60.56/~jnz1568/getInfo.php?workbook=12_04.xlsx&amp;sheet=U0&amp;row=8889&amp;col=7&amp;number=0.00953&amp;sourceID=14","0.00953")</f>
        <v>0.00953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HYPERLINK("http://141.218.60.56/~jnz1568/getInfo.php?workbook=12_04.xlsx&amp;sheet=U0&amp;row=8890&amp;col=6&amp;number=3.6&amp;sourceID=14","3.6")</f>
        <v>3.6</v>
      </c>
      <c r="G8890" s="4" t="str">
        <f>HYPERLINK("http://141.218.60.56/~jnz1568/getInfo.php?workbook=12_04.xlsx&amp;sheet=U0&amp;row=8890&amp;col=7&amp;number=0.00949&amp;sourceID=14","0.00949")</f>
        <v>0.00949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HYPERLINK("http://141.218.60.56/~jnz1568/getInfo.php?workbook=12_04.xlsx&amp;sheet=U0&amp;row=8891&amp;col=6&amp;number=3.7&amp;sourceID=14","3.7")</f>
        <v>3.7</v>
      </c>
      <c r="G8891" s="4" t="str">
        <f>HYPERLINK("http://141.218.60.56/~jnz1568/getInfo.php?workbook=12_04.xlsx&amp;sheet=U0&amp;row=8891&amp;col=7&amp;number=0.00944&amp;sourceID=14","0.00944")</f>
        <v>0.00944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HYPERLINK("http://141.218.60.56/~jnz1568/getInfo.php?workbook=12_04.xlsx&amp;sheet=U0&amp;row=8892&amp;col=6&amp;number=3.8&amp;sourceID=14","3.8")</f>
        <v>3.8</v>
      </c>
      <c r="G8892" s="4" t="str">
        <f>HYPERLINK("http://141.218.60.56/~jnz1568/getInfo.php?workbook=12_04.xlsx&amp;sheet=U0&amp;row=8892&amp;col=7&amp;number=0.00937&amp;sourceID=14","0.00937")</f>
        <v>0.00937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HYPERLINK("http://141.218.60.56/~jnz1568/getInfo.php?workbook=12_04.xlsx&amp;sheet=U0&amp;row=8893&amp;col=6&amp;number=3.9&amp;sourceID=14","3.9")</f>
        <v>3.9</v>
      </c>
      <c r="G8893" s="4" t="str">
        <f>HYPERLINK("http://141.218.60.56/~jnz1568/getInfo.php?workbook=12_04.xlsx&amp;sheet=U0&amp;row=8893&amp;col=7&amp;number=0.00929&amp;sourceID=14","0.00929")</f>
        <v>0.00929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HYPERLINK("http://141.218.60.56/~jnz1568/getInfo.php?workbook=12_04.xlsx&amp;sheet=U0&amp;row=8894&amp;col=6&amp;number=4&amp;sourceID=14","4")</f>
        <v>4</v>
      </c>
      <c r="G8894" s="4" t="str">
        <f>HYPERLINK("http://141.218.60.56/~jnz1568/getInfo.php?workbook=12_04.xlsx&amp;sheet=U0&amp;row=8894&amp;col=7&amp;number=0.00919&amp;sourceID=14","0.00919")</f>
        <v>0.00919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HYPERLINK("http://141.218.60.56/~jnz1568/getInfo.php?workbook=12_04.xlsx&amp;sheet=U0&amp;row=8895&amp;col=6&amp;number=4.1&amp;sourceID=14","4.1")</f>
        <v>4.1</v>
      </c>
      <c r="G8895" s="4" t="str">
        <f>HYPERLINK("http://141.218.60.56/~jnz1568/getInfo.php?workbook=12_04.xlsx&amp;sheet=U0&amp;row=8895&amp;col=7&amp;number=0.00907&amp;sourceID=14","0.00907")</f>
        <v>0.00907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HYPERLINK("http://141.218.60.56/~jnz1568/getInfo.php?workbook=12_04.xlsx&amp;sheet=U0&amp;row=8896&amp;col=6&amp;number=4.2&amp;sourceID=14","4.2")</f>
        <v>4.2</v>
      </c>
      <c r="G8896" s="4" t="str">
        <f>HYPERLINK("http://141.218.60.56/~jnz1568/getInfo.php?workbook=12_04.xlsx&amp;sheet=U0&amp;row=8896&amp;col=7&amp;number=0.00891&amp;sourceID=14","0.00891")</f>
        <v>0.00891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HYPERLINK("http://141.218.60.56/~jnz1568/getInfo.php?workbook=12_04.xlsx&amp;sheet=U0&amp;row=8897&amp;col=6&amp;number=4.3&amp;sourceID=14","4.3")</f>
        <v>4.3</v>
      </c>
      <c r="G8897" s="4" t="str">
        <f>HYPERLINK("http://141.218.60.56/~jnz1568/getInfo.php?workbook=12_04.xlsx&amp;sheet=U0&amp;row=8897&amp;col=7&amp;number=0.00871&amp;sourceID=14","0.00871")</f>
        <v>0.00871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HYPERLINK("http://141.218.60.56/~jnz1568/getInfo.php?workbook=12_04.xlsx&amp;sheet=U0&amp;row=8898&amp;col=6&amp;number=4.4&amp;sourceID=14","4.4")</f>
        <v>4.4</v>
      </c>
      <c r="G8898" s="4" t="str">
        <f>HYPERLINK("http://141.218.60.56/~jnz1568/getInfo.php?workbook=12_04.xlsx&amp;sheet=U0&amp;row=8898&amp;col=7&amp;number=0.00847&amp;sourceID=14","0.00847")</f>
        <v>0.00847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HYPERLINK("http://141.218.60.56/~jnz1568/getInfo.php?workbook=12_04.xlsx&amp;sheet=U0&amp;row=8899&amp;col=6&amp;number=4.5&amp;sourceID=14","4.5")</f>
        <v>4.5</v>
      </c>
      <c r="G8899" s="4" t="str">
        <f>HYPERLINK("http://141.218.60.56/~jnz1568/getInfo.php?workbook=12_04.xlsx&amp;sheet=U0&amp;row=8899&amp;col=7&amp;number=0.00817&amp;sourceID=14","0.00817")</f>
        <v>0.00817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HYPERLINK("http://141.218.60.56/~jnz1568/getInfo.php?workbook=12_04.xlsx&amp;sheet=U0&amp;row=8900&amp;col=6&amp;number=4.6&amp;sourceID=14","4.6")</f>
        <v>4.6</v>
      </c>
      <c r="G8900" s="4" t="str">
        <f>HYPERLINK("http://141.218.60.56/~jnz1568/getInfo.php?workbook=12_04.xlsx&amp;sheet=U0&amp;row=8900&amp;col=7&amp;number=0.0078&amp;sourceID=14","0.0078")</f>
        <v>0.0078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HYPERLINK("http://141.218.60.56/~jnz1568/getInfo.php?workbook=12_04.xlsx&amp;sheet=U0&amp;row=8901&amp;col=6&amp;number=4.7&amp;sourceID=14","4.7")</f>
        <v>4.7</v>
      </c>
      <c r="G8901" s="4" t="str">
        <f>HYPERLINK("http://141.218.60.56/~jnz1568/getInfo.php?workbook=12_04.xlsx&amp;sheet=U0&amp;row=8901&amp;col=7&amp;number=0.00735&amp;sourceID=14","0.00735")</f>
        <v>0.00735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HYPERLINK("http://141.218.60.56/~jnz1568/getInfo.php?workbook=12_04.xlsx&amp;sheet=U0&amp;row=8902&amp;col=6&amp;number=4.8&amp;sourceID=14","4.8")</f>
        <v>4.8</v>
      </c>
      <c r="G8902" s="4" t="str">
        <f>HYPERLINK("http://141.218.60.56/~jnz1568/getInfo.php?workbook=12_04.xlsx&amp;sheet=U0&amp;row=8902&amp;col=7&amp;number=0.00681&amp;sourceID=14","0.00681")</f>
        <v>0.00681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HYPERLINK("http://141.218.60.56/~jnz1568/getInfo.php?workbook=12_04.xlsx&amp;sheet=U0&amp;row=8903&amp;col=6&amp;number=4.9&amp;sourceID=14","4.9")</f>
        <v>4.9</v>
      </c>
      <c r="G8903" s="4" t="str">
        <f>HYPERLINK("http://141.218.60.56/~jnz1568/getInfo.php?workbook=12_04.xlsx&amp;sheet=U0&amp;row=8903&amp;col=7&amp;number=0.00619&amp;sourceID=14","0.00619")</f>
        <v>0.00619</v>
      </c>
    </row>
    <row r="8904" spans="1:7">
      <c r="A8904" s="3">
        <v>12</v>
      </c>
      <c r="B8904" s="3">
        <v>4</v>
      </c>
      <c r="C8904" s="3">
        <v>5</v>
      </c>
      <c r="D8904" s="3">
        <v>69</v>
      </c>
      <c r="E8904" s="3">
        <v>1</v>
      </c>
      <c r="F8904" s="4" t="str">
        <f>HYPERLINK("http://141.218.60.56/~jnz1568/getInfo.php?workbook=12_04.xlsx&amp;sheet=U0&amp;row=8904&amp;col=6&amp;number=3&amp;sourceID=14","3")</f>
        <v>3</v>
      </c>
      <c r="G8904" s="4" t="str">
        <f>HYPERLINK("http://141.218.60.56/~jnz1568/getInfo.php?workbook=12_04.xlsx&amp;sheet=U0&amp;row=8904&amp;col=7&amp;number=0.00473&amp;sourceID=14","0.00473")</f>
        <v>0.00473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HYPERLINK("http://141.218.60.56/~jnz1568/getInfo.php?workbook=12_04.xlsx&amp;sheet=U0&amp;row=8905&amp;col=6&amp;number=3.1&amp;sourceID=14","3.1")</f>
        <v>3.1</v>
      </c>
      <c r="G8905" s="4" t="str">
        <f>HYPERLINK("http://141.218.60.56/~jnz1568/getInfo.php?workbook=12_04.xlsx&amp;sheet=U0&amp;row=8905&amp;col=7&amp;number=0.00473&amp;sourceID=14","0.00473")</f>
        <v>0.00473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HYPERLINK("http://141.218.60.56/~jnz1568/getInfo.php?workbook=12_04.xlsx&amp;sheet=U0&amp;row=8906&amp;col=6&amp;number=3.2&amp;sourceID=14","3.2")</f>
        <v>3.2</v>
      </c>
      <c r="G8906" s="4" t="str">
        <f>HYPERLINK("http://141.218.60.56/~jnz1568/getInfo.php?workbook=12_04.xlsx&amp;sheet=U0&amp;row=8906&amp;col=7&amp;number=0.00472&amp;sourceID=14","0.00472")</f>
        <v>0.00472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HYPERLINK("http://141.218.60.56/~jnz1568/getInfo.php?workbook=12_04.xlsx&amp;sheet=U0&amp;row=8907&amp;col=6&amp;number=3.3&amp;sourceID=14","3.3")</f>
        <v>3.3</v>
      </c>
      <c r="G8907" s="4" t="str">
        <f>HYPERLINK("http://141.218.60.56/~jnz1568/getInfo.php?workbook=12_04.xlsx&amp;sheet=U0&amp;row=8907&amp;col=7&amp;number=0.00471&amp;sourceID=14","0.00471")</f>
        <v>0.00471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HYPERLINK("http://141.218.60.56/~jnz1568/getInfo.php?workbook=12_04.xlsx&amp;sheet=U0&amp;row=8908&amp;col=6&amp;number=3.4&amp;sourceID=14","3.4")</f>
        <v>3.4</v>
      </c>
      <c r="G8908" s="4" t="str">
        <f>HYPERLINK("http://141.218.60.56/~jnz1568/getInfo.php?workbook=12_04.xlsx&amp;sheet=U0&amp;row=8908&amp;col=7&amp;number=0.0047&amp;sourceID=14","0.0047")</f>
        <v>0.0047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HYPERLINK("http://141.218.60.56/~jnz1568/getInfo.php?workbook=12_04.xlsx&amp;sheet=U0&amp;row=8909&amp;col=6&amp;number=3.5&amp;sourceID=14","3.5")</f>
        <v>3.5</v>
      </c>
      <c r="G8909" s="4" t="str">
        <f>HYPERLINK("http://141.218.60.56/~jnz1568/getInfo.php?workbook=12_04.xlsx&amp;sheet=U0&amp;row=8909&amp;col=7&amp;number=0.00469&amp;sourceID=14","0.00469")</f>
        <v>0.00469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HYPERLINK("http://141.218.60.56/~jnz1568/getInfo.php?workbook=12_04.xlsx&amp;sheet=U0&amp;row=8910&amp;col=6&amp;number=3.6&amp;sourceID=14","3.6")</f>
        <v>3.6</v>
      </c>
      <c r="G8910" s="4" t="str">
        <f>HYPERLINK("http://141.218.60.56/~jnz1568/getInfo.php?workbook=12_04.xlsx&amp;sheet=U0&amp;row=8910&amp;col=7&amp;number=0.00468&amp;sourceID=14","0.00468")</f>
        <v>0.00468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HYPERLINK("http://141.218.60.56/~jnz1568/getInfo.php?workbook=12_04.xlsx&amp;sheet=U0&amp;row=8911&amp;col=6&amp;number=3.7&amp;sourceID=14","3.7")</f>
        <v>3.7</v>
      </c>
      <c r="G8911" s="4" t="str">
        <f>HYPERLINK("http://141.218.60.56/~jnz1568/getInfo.php?workbook=12_04.xlsx&amp;sheet=U0&amp;row=8911&amp;col=7&amp;number=0.00466&amp;sourceID=14","0.00466")</f>
        <v>0.00466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HYPERLINK("http://141.218.60.56/~jnz1568/getInfo.php?workbook=12_04.xlsx&amp;sheet=U0&amp;row=8912&amp;col=6&amp;number=3.8&amp;sourceID=14","3.8")</f>
        <v>3.8</v>
      </c>
      <c r="G8912" s="4" t="str">
        <f>HYPERLINK("http://141.218.60.56/~jnz1568/getInfo.php?workbook=12_04.xlsx&amp;sheet=U0&amp;row=8912&amp;col=7&amp;number=0.00464&amp;sourceID=14","0.00464")</f>
        <v>0.00464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HYPERLINK("http://141.218.60.56/~jnz1568/getInfo.php?workbook=12_04.xlsx&amp;sheet=U0&amp;row=8913&amp;col=6&amp;number=3.9&amp;sourceID=14","3.9")</f>
        <v>3.9</v>
      </c>
      <c r="G8913" s="4" t="str">
        <f>HYPERLINK("http://141.218.60.56/~jnz1568/getInfo.php?workbook=12_04.xlsx&amp;sheet=U0&amp;row=8913&amp;col=7&amp;number=0.00461&amp;sourceID=14","0.00461")</f>
        <v>0.00461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HYPERLINK("http://141.218.60.56/~jnz1568/getInfo.php?workbook=12_04.xlsx&amp;sheet=U0&amp;row=8914&amp;col=6&amp;number=4&amp;sourceID=14","4")</f>
        <v>4</v>
      </c>
      <c r="G8914" s="4" t="str">
        <f>HYPERLINK("http://141.218.60.56/~jnz1568/getInfo.php?workbook=12_04.xlsx&amp;sheet=U0&amp;row=8914&amp;col=7&amp;number=0.00457&amp;sourceID=14","0.00457")</f>
        <v>0.00457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HYPERLINK("http://141.218.60.56/~jnz1568/getInfo.php?workbook=12_04.xlsx&amp;sheet=U0&amp;row=8915&amp;col=6&amp;number=4.1&amp;sourceID=14","4.1")</f>
        <v>4.1</v>
      </c>
      <c r="G8915" s="4" t="str">
        <f>HYPERLINK("http://141.218.60.56/~jnz1568/getInfo.php?workbook=12_04.xlsx&amp;sheet=U0&amp;row=8915&amp;col=7&amp;number=0.00452&amp;sourceID=14","0.00452")</f>
        <v>0.00452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HYPERLINK("http://141.218.60.56/~jnz1568/getInfo.php?workbook=12_04.xlsx&amp;sheet=U0&amp;row=8916&amp;col=6&amp;number=4.2&amp;sourceID=14","4.2")</f>
        <v>4.2</v>
      </c>
      <c r="G8916" s="4" t="str">
        <f>HYPERLINK("http://141.218.60.56/~jnz1568/getInfo.php?workbook=12_04.xlsx&amp;sheet=U0&amp;row=8916&amp;col=7&amp;number=0.00447&amp;sourceID=14","0.00447")</f>
        <v>0.00447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HYPERLINK("http://141.218.60.56/~jnz1568/getInfo.php?workbook=12_04.xlsx&amp;sheet=U0&amp;row=8917&amp;col=6&amp;number=4.3&amp;sourceID=14","4.3")</f>
        <v>4.3</v>
      </c>
      <c r="G8917" s="4" t="str">
        <f>HYPERLINK("http://141.218.60.56/~jnz1568/getInfo.php?workbook=12_04.xlsx&amp;sheet=U0&amp;row=8917&amp;col=7&amp;number=0.0044&amp;sourceID=14","0.0044")</f>
        <v>0.0044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HYPERLINK("http://141.218.60.56/~jnz1568/getInfo.php?workbook=12_04.xlsx&amp;sheet=U0&amp;row=8918&amp;col=6&amp;number=4.4&amp;sourceID=14","4.4")</f>
        <v>4.4</v>
      </c>
      <c r="G8918" s="4" t="str">
        <f>HYPERLINK("http://141.218.60.56/~jnz1568/getInfo.php?workbook=12_04.xlsx&amp;sheet=U0&amp;row=8918&amp;col=7&amp;number=0.00431&amp;sourceID=14","0.00431")</f>
        <v>0.00431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HYPERLINK("http://141.218.60.56/~jnz1568/getInfo.php?workbook=12_04.xlsx&amp;sheet=U0&amp;row=8919&amp;col=6&amp;number=4.5&amp;sourceID=14","4.5")</f>
        <v>4.5</v>
      </c>
      <c r="G8919" s="4" t="str">
        <f>HYPERLINK("http://141.218.60.56/~jnz1568/getInfo.php?workbook=12_04.xlsx&amp;sheet=U0&amp;row=8919&amp;col=7&amp;number=0.00419&amp;sourceID=14","0.00419")</f>
        <v>0.00419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HYPERLINK("http://141.218.60.56/~jnz1568/getInfo.php?workbook=12_04.xlsx&amp;sheet=U0&amp;row=8920&amp;col=6&amp;number=4.6&amp;sourceID=14","4.6")</f>
        <v>4.6</v>
      </c>
      <c r="G8920" s="4" t="str">
        <f>HYPERLINK("http://141.218.60.56/~jnz1568/getInfo.php?workbook=12_04.xlsx&amp;sheet=U0&amp;row=8920&amp;col=7&amp;number=0.00406&amp;sourceID=14","0.00406")</f>
        <v>0.00406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HYPERLINK("http://141.218.60.56/~jnz1568/getInfo.php?workbook=12_04.xlsx&amp;sheet=U0&amp;row=8921&amp;col=6&amp;number=4.7&amp;sourceID=14","4.7")</f>
        <v>4.7</v>
      </c>
      <c r="G8921" s="4" t="str">
        <f>HYPERLINK("http://141.218.60.56/~jnz1568/getInfo.php?workbook=12_04.xlsx&amp;sheet=U0&amp;row=8921&amp;col=7&amp;number=0.00389&amp;sourceID=14","0.00389")</f>
        <v>0.00389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HYPERLINK("http://141.218.60.56/~jnz1568/getInfo.php?workbook=12_04.xlsx&amp;sheet=U0&amp;row=8922&amp;col=6&amp;number=4.8&amp;sourceID=14","4.8")</f>
        <v>4.8</v>
      </c>
      <c r="G8922" s="4" t="str">
        <f>HYPERLINK("http://141.218.60.56/~jnz1568/getInfo.php?workbook=12_04.xlsx&amp;sheet=U0&amp;row=8922&amp;col=7&amp;number=0.00368&amp;sourceID=14","0.00368")</f>
        <v>0.00368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HYPERLINK("http://141.218.60.56/~jnz1568/getInfo.php?workbook=12_04.xlsx&amp;sheet=U0&amp;row=8923&amp;col=6&amp;number=4.9&amp;sourceID=14","4.9")</f>
        <v>4.9</v>
      </c>
      <c r="G8923" s="4" t="str">
        <f>HYPERLINK("http://141.218.60.56/~jnz1568/getInfo.php?workbook=12_04.xlsx&amp;sheet=U0&amp;row=8923&amp;col=7&amp;number=0.00344&amp;sourceID=14","0.00344")</f>
        <v>0.00344</v>
      </c>
    </row>
    <row r="8924" spans="1:7">
      <c r="A8924" s="3">
        <v>12</v>
      </c>
      <c r="B8924" s="3">
        <v>4</v>
      </c>
      <c r="C8924" s="3">
        <v>5</v>
      </c>
      <c r="D8924" s="3">
        <v>70</v>
      </c>
      <c r="E8924" s="3">
        <v>1</v>
      </c>
      <c r="F8924" s="4" t="str">
        <f>HYPERLINK("http://141.218.60.56/~jnz1568/getInfo.php?workbook=12_04.xlsx&amp;sheet=U0&amp;row=8924&amp;col=6&amp;number=3&amp;sourceID=14","3")</f>
        <v>3</v>
      </c>
      <c r="G8924" s="4" t="str">
        <f>HYPERLINK("http://141.218.60.56/~jnz1568/getInfo.php?workbook=12_04.xlsx&amp;sheet=U0&amp;row=8924&amp;col=7&amp;number=0.00128&amp;sourceID=14","0.00128")</f>
        <v>0.00128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HYPERLINK("http://141.218.60.56/~jnz1568/getInfo.php?workbook=12_04.xlsx&amp;sheet=U0&amp;row=8925&amp;col=6&amp;number=3.1&amp;sourceID=14","3.1")</f>
        <v>3.1</v>
      </c>
      <c r="G8925" s="4" t="str">
        <f>HYPERLINK("http://141.218.60.56/~jnz1568/getInfo.php?workbook=12_04.xlsx&amp;sheet=U0&amp;row=8925&amp;col=7&amp;number=0.00127&amp;sourceID=14","0.00127")</f>
        <v>0.00127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HYPERLINK("http://141.218.60.56/~jnz1568/getInfo.php?workbook=12_04.xlsx&amp;sheet=U0&amp;row=8926&amp;col=6&amp;number=3.2&amp;sourceID=14","3.2")</f>
        <v>3.2</v>
      </c>
      <c r="G8926" s="4" t="str">
        <f>HYPERLINK("http://141.218.60.56/~jnz1568/getInfo.php?workbook=12_04.xlsx&amp;sheet=U0&amp;row=8926&amp;col=7&amp;number=0.00127&amp;sourceID=14","0.00127")</f>
        <v>0.00127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HYPERLINK("http://141.218.60.56/~jnz1568/getInfo.php?workbook=12_04.xlsx&amp;sheet=U0&amp;row=8927&amp;col=6&amp;number=3.3&amp;sourceID=14","3.3")</f>
        <v>3.3</v>
      </c>
      <c r="G8927" s="4" t="str">
        <f>HYPERLINK("http://141.218.60.56/~jnz1568/getInfo.php?workbook=12_04.xlsx&amp;sheet=U0&amp;row=8927&amp;col=7&amp;number=0.00127&amp;sourceID=14","0.00127")</f>
        <v>0.00127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HYPERLINK("http://141.218.60.56/~jnz1568/getInfo.php?workbook=12_04.xlsx&amp;sheet=U0&amp;row=8928&amp;col=6&amp;number=3.4&amp;sourceID=14","3.4")</f>
        <v>3.4</v>
      </c>
      <c r="G8928" s="4" t="str">
        <f>HYPERLINK("http://141.218.60.56/~jnz1568/getInfo.php?workbook=12_04.xlsx&amp;sheet=U0&amp;row=8928&amp;col=7&amp;number=0.00127&amp;sourceID=14","0.00127")</f>
        <v>0.00127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HYPERLINK("http://141.218.60.56/~jnz1568/getInfo.php?workbook=12_04.xlsx&amp;sheet=U0&amp;row=8929&amp;col=6&amp;number=3.5&amp;sourceID=14","3.5")</f>
        <v>3.5</v>
      </c>
      <c r="G8929" s="4" t="str">
        <f>HYPERLINK("http://141.218.60.56/~jnz1568/getInfo.php?workbook=12_04.xlsx&amp;sheet=U0&amp;row=8929&amp;col=7&amp;number=0.00127&amp;sourceID=14","0.00127")</f>
        <v>0.00127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HYPERLINK("http://141.218.60.56/~jnz1568/getInfo.php?workbook=12_04.xlsx&amp;sheet=U0&amp;row=8930&amp;col=6&amp;number=3.6&amp;sourceID=14","3.6")</f>
        <v>3.6</v>
      </c>
      <c r="G8930" s="4" t="str">
        <f>HYPERLINK("http://141.218.60.56/~jnz1568/getInfo.php?workbook=12_04.xlsx&amp;sheet=U0&amp;row=8930&amp;col=7&amp;number=0.00126&amp;sourceID=14","0.00126")</f>
        <v>0.00126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HYPERLINK("http://141.218.60.56/~jnz1568/getInfo.php?workbook=12_04.xlsx&amp;sheet=U0&amp;row=8931&amp;col=6&amp;number=3.7&amp;sourceID=14","3.7")</f>
        <v>3.7</v>
      </c>
      <c r="G8931" s="4" t="str">
        <f>HYPERLINK("http://141.218.60.56/~jnz1568/getInfo.php?workbook=12_04.xlsx&amp;sheet=U0&amp;row=8931&amp;col=7&amp;number=0.00126&amp;sourceID=14","0.00126")</f>
        <v>0.00126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HYPERLINK("http://141.218.60.56/~jnz1568/getInfo.php?workbook=12_04.xlsx&amp;sheet=U0&amp;row=8932&amp;col=6&amp;number=3.8&amp;sourceID=14","3.8")</f>
        <v>3.8</v>
      </c>
      <c r="G8932" s="4" t="str">
        <f>HYPERLINK("http://141.218.60.56/~jnz1568/getInfo.php?workbook=12_04.xlsx&amp;sheet=U0&amp;row=8932&amp;col=7&amp;number=0.00125&amp;sourceID=14","0.00125")</f>
        <v>0.00125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HYPERLINK("http://141.218.60.56/~jnz1568/getInfo.php?workbook=12_04.xlsx&amp;sheet=U0&amp;row=8933&amp;col=6&amp;number=3.9&amp;sourceID=14","3.9")</f>
        <v>3.9</v>
      </c>
      <c r="G8933" s="4" t="str">
        <f>HYPERLINK("http://141.218.60.56/~jnz1568/getInfo.php?workbook=12_04.xlsx&amp;sheet=U0&amp;row=8933&amp;col=7&amp;number=0.00124&amp;sourceID=14","0.00124")</f>
        <v>0.00124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HYPERLINK("http://141.218.60.56/~jnz1568/getInfo.php?workbook=12_04.xlsx&amp;sheet=U0&amp;row=8934&amp;col=6&amp;number=4&amp;sourceID=14","4")</f>
        <v>4</v>
      </c>
      <c r="G8934" s="4" t="str">
        <f>HYPERLINK("http://141.218.60.56/~jnz1568/getInfo.php?workbook=12_04.xlsx&amp;sheet=U0&amp;row=8934&amp;col=7&amp;number=0.00124&amp;sourceID=14","0.00124")</f>
        <v>0.00124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HYPERLINK("http://141.218.60.56/~jnz1568/getInfo.php?workbook=12_04.xlsx&amp;sheet=U0&amp;row=8935&amp;col=6&amp;number=4.1&amp;sourceID=14","4.1")</f>
        <v>4.1</v>
      </c>
      <c r="G8935" s="4" t="str">
        <f>HYPERLINK("http://141.218.60.56/~jnz1568/getInfo.php?workbook=12_04.xlsx&amp;sheet=U0&amp;row=8935&amp;col=7&amp;number=0.00122&amp;sourceID=14","0.00122")</f>
        <v>0.00122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HYPERLINK("http://141.218.60.56/~jnz1568/getInfo.php?workbook=12_04.xlsx&amp;sheet=U0&amp;row=8936&amp;col=6&amp;number=4.2&amp;sourceID=14","4.2")</f>
        <v>4.2</v>
      </c>
      <c r="G8936" s="4" t="str">
        <f>HYPERLINK("http://141.218.60.56/~jnz1568/getInfo.php?workbook=12_04.xlsx&amp;sheet=U0&amp;row=8936&amp;col=7&amp;number=0.00121&amp;sourceID=14","0.00121")</f>
        <v>0.00121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HYPERLINK("http://141.218.60.56/~jnz1568/getInfo.php?workbook=12_04.xlsx&amp;sheet=U0&amp;row=8937&amp;col=6&amp;number=4.3&amp;sourceID=14","4.3")</f>
        <v>4.3</v>
      </c>
      <c r="G8937" s="4" t="str">
        <f>HYPERLINK("http://141.218.60.56/~jnz1568/getInfo.php?workbook=12_04.xlsx&amp;sheet=U0&amp;row=8937&amp;col=7&amp;number=0.00119&amp;sourceID=14","0.00119")</f>
        <v>0.00119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HYPERLINK("http://141.218.60.56/~jnz1568/getInfo.php?workbook=12_04.xlsx&amp;sheet=U0&amp;row=8938&amp;col=6&amp;number=4.4&amp;sourceID=14","4.4")</f>
        <v>4.4</v>
      </c>
      <c r="G8938" s="4" t="str">
        <f>HYPERLINK("http://141.218.60.56/~jnz1568/getInfo.php?workbook=12_04.xlsx&amp;sheet=U0&amp;row=8938&amp;col=7&amp;number=0.00117&amp;sourceID=14","0.00117")</f>
        <v>0.00117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HYPERLINK("http://141.218.60.56/~jnz1568/getInfo.php?workbook=12_04.xlsx&amp;sheet=U0&amp;row=8939&amp;col=6&amp;number=4.5&amp;sourceID=14","4.5")</f>
        <v>4.5</v>
      </c>
      <c r="G8939" s="4" t="str">
        <f>HYPERLINK("http://141.218.60.56/~jnz1568/getInfo.php?workbook=12_04.xlsx&amp;sheet=U0&amp;row=8939&amp;col=7&amp;number=0.00114&amp;sourceID=14","0.00114")</f>
        <v>0.00114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HYPERLINK("http://141.218.60.56/~jnz1568/getInfo.php?workbook=12_04.xlsx&amp;sheet=U0&amp;row=8940&amp;col=6&amp;number=4.6&amp;sourceID=14","4.6")</f>
        <v>4.6</v>
      </c>
      <c r="G8940" s="4" t="str">
        <f>HYPERLINK("http://141.218.60.56/~jnz1568/getInfo.php?workbook=12_04.xlsx&amp;sheet=U0&amp;row=8940&amp;col=7&amp;number=0.0011&amp;sourceID=14","0.0011")</f>
        <v>0.0011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HYPERLINK("http://141.218.60.56/~jnz1568/getInfo.php?workbook=12_04.xlsx&amp;sheet=U0&amp;row=8941&amp;col=6&amp;number=4.7&amp;sourceID=14","4.7")</f>
        <v>4.7</v>
      </c>
      <c r="G8941" s="4" t="str">
        <f>HYPERLINK("http://141.218.60.56/~jnz1568/getInfo.php?workbook=12_04.xlsx&amp;sheet=U0&amp;row=8941&amp;col=7&amp;number=0.00106&amp;sourceID=14","0.00106")</f>
        <v>0.00106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HYPERLINK("http://141.218.60.56/~jnz1568/getInfo.php?workbook=12_04.xlsx&amp;sheet=U0&amp;row=8942&amp;col=6&amp;number=4.8&amp;sourceID=14","4.8")</f>
        <v>4.8</v>
      </c>
      <c r="G8942" s="4" t="str">
        <f>HYPERLINK("http://141.218.60.56/~jnz1568/getInfo.php?workbook=12_04.xlsx&amp;sheet=U0&amp;row=8942&amp;col=7&amp;number=0.00101&amp;sourceID=14","0.00101")</f>
        <v>0.00101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HYPERLINK("http://141.218.60.56/~jnz1568/getInfo.php?workbook=12_04.xlsx&amp;sheet=U0&amp;row=8943&amp;col=6&amp;number=4.9&amp;sourceID=14","4.9")</f>
        <v>4.9</v>
      </c>
      <c r="G8943" s="4" t="str">
        <f>HYPERLINK("http://141.218.60.56/~jnz1568/getInfo.php?workbook=12_04.xlsx&amp;sheet=U0&amp;row=8943&amp;col=7&amp;number=0.000939&amp;sourceID=14","0.000939")</f>
        <v>0.000939</v>
      </c>
    </row>
    <row r="8944" spans="1:7">
      <c r="A8944" s="3">
        <v>12</v>
      </c>
      <c r="B8944" s="3">
        <v>4</v>
      </c>
      <c r="C8944" s="3">
        <v>5</v>
      </c>
      <c r="D8944" s="3">
        <v>71</v>
      </c>
      <c r="E8944" s="3">
        <v>1</v>
      </c>
      <c r="F8944" s="4" t="str">
        <f>HYPERLINK("http://141.218.60.56/~jnz1568/getInfo.php?workbook=12_04.xlsx&amp;sheet=U0&amp;row=8944&amp;col=6&amp;number=3&amp;sourceID=14","3")</f>
        <v>3</v>
      </c>
      <c r="G8944" s="4" t="str">
        <f>HYPERLINK("http://141.218.60.56/~jnz1568/getInfo.php?workbook=12_04.xlsx&amp;sheet=U0&amp;row=8944&amp;col=7&amp;number=0.00395&amp;sourceID=14","0.00395")</f>
        <v>0.00395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HYPERLINK("http://141.218.60.56/~jnz1568/getInfo.php?workbook=12_04.xlsx&amp;sheet=U0&amp;row=8945&amp;col=6&amp;number=3.1&amp;sourceID=14","3.1")</f>
        <v>3.1</v>
      </c>
      <c r="G8945" s="4" t="str">
        <f>HYPERLINK("http://141.218.60.56/~jnz1568/getInfo.php?workbook=12_04.xlsx&amp;sheet=U0&amp;row=8945&amp;col=7&amp;number=0.00395&amp;sourceID=14","0.00395")</f>
        <v>0.00395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HYPERLINK("http://141.218.60.56/~jnz1568/getInfo.php?workbook=12_04.xlsx&amp;sheet=U0&amp;row=8946&amp;col=6&amp;number=3.2&amp;sourceID=14","3.2")</f>
        <v>3.2</v>
      </c>
      <c r="G8946" s="4" t="str">
        <f>HYPERLINK("http://141.218.60.56/~jnz1568/getInfo.php?workbook=12_04.xlsx&amp;sheet=U0&amp;row=8946&amp;col=7&amp;number=0.00394&amp;sourceID=14","0.00394")</f>
        <v>0.00394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HYPERLINK("http://141.218.60.56/~jnz1568/getInfo.php?workbook=12_04.xlsx&amp;sheet=U0&amp;row=8947&amp;col=6&amp;number=3.3&amp;sourceID=14","3.3")</f>
        <v>3.3</v>
      </c>
      <c r="G8947" s="4" t="str">
        <f>HYPERLINK("http://141.218.60.56/~jnz1568/getInfo.php?workbook=12_04.xlsx&amp;sheet=U0&amp;row=8947&amp;col=7&amp;number=0.00394&amp;sourceID=14","0.00394")</f>
        <v>0.00394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HYPERLINK("http://141.218.60.56/~jnz1568/getInfo.php?workbook=12_04.xlsx&amp;sheet=U0&amp;row=8948&amp;col=6&amp;number=3.4&amp;sourceID=14","3.4")</f>
        <v>3.4</v>
      </c>
      <c r="G8948" s="4" t="str">
        <f>HYPERLINK("http://141.218.60.56/~jnz1568/getInfo.php?workbook=12_04.xlsx&amp;sheet=U0&amp;row=8948&amp;col=7&amp;number=0.00393&amp;sourceID=14","0.00393")</f>
        <v>0.00393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HYPERLINK("http://141.218.60.56/~jnz1568/getInfo.php?workbook=12_04.xlsx&amp;sheet=U0&amp;row=8949&amp;col=6&amp;number=3.5&amp;sourceID=14","3.5")</f>
        <v>3.5</v>
      </c>
      <c r="G8949" s="4" t="str">
        <f>HYPERLINK("http://141.218.60.56/~jnz1568/getInfo.php?workbook=12_04.xlsx&amp;sheet=U0&amp;row=8949&amp;col=7&amp;number=0.00392&amp;sourceID=14","0.00392")</f>
        <v>0.00392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HYPERLINK("http://141.218.60.56/~jnz1568/getInfo.php?workbook=12_04.xlsx&amp;sheet=U0&amp;row=8950&amp;col=6&amp;number=3.6&amp;sourceID=14","3.6")</f>
        <v>3.6</v>
      </c>
      <c r="G8950" s="4" t="str">
        <f>HYPERLINK("http://141.218.60.56/~jnz1568/getInfo.php?workbook=12_04.xlsx&amp;sheet=U0&amp;row=8950&amp;col=7&amp;number=0.00391&amp;sourceID=14","0.00391")</f>
        <v>0.00391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HYPERLINK("http://141.218.60.56/~jnz1568/getInfo.php?workbook=12_04.xlsx&amp;sheet=U0&amp;row=8951&amp;col=6&amp;number=3.7&amp;sourceID=14","3.7")</f>
        <v>3.7</v>
      </c>
      <c r="G8951" s="4" t="str">
        <f>HYPERLINK("http://141.218.60.56/~jnz1568/getInfo.php?workbook=12_04.xlsx&amp;sheet=U0&amp;row=8951&amp;col=7&amp;number=0.0039&amp;sourceID=14","0.0039")</f>
        <v>0.0039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HYPERLINK("http://141.218.60.56/~jnz1568/getInfo.php?workbook=12_04.xlsx&amp;sheet=U0&amp;row=8952&amp;col=6&amp;number=3.8&amp;sourceID=14","3.8")</f>
        <v>3.8</v>
      </c>
      <c r="G8952" s="4" t="str">
        <f>HYPERLINK("http://141.218.60.56/~jnz1568/getInfo.php?workbook=12_04.xlsx&amp;sheet=U0&amp;row=8952&amp;col=7&amp;number=0.00388&amp;sourceID=14","0.00388")</f>
        <v>0.00388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HYPERLINK("http://141.218.60.56/~jnz1568/getInfo.php?workbook=12_04.xlsx&amp;sheet=U0&amp;row=8953&amp;col=6&amp;number=3.9&amp;sourceID=14","3.9")</f>
        <v>3.9</v>
      </c>
      <c r="G8953" s="4" t="str">
        <f>HYPERLINK("http://141.218.60.56/~jnz1568/getInfo.php?workbook=12_04.xlsx&amp;sheet=U0&amp;row=8953&amp;col=7&amp;number=0.00386&amp;sourceID=14","0.00386")</f>
        <v>0.00386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HYPERLINK("http://141.218.60.56/~jnz1568/getInfo.php?workbook=12_04.xlsx&amp;sheet=U0&amp;row=8954&amp;col=6&amp;number=4&amp;sourceID=14","4")</f>
        <v>4</v>
      </c>
      <c r="G8954" s="4" t="str">
        <f>HYPERLINK("http://141.218.60.56/~jnz1568/getInfo.php?workbook=12_04.xlsx&amp;sheet=U0&amp;row=8954&amp;col=7&amp;number=0.00383&amp;sourceID=14","0.00383")</f>
        <v>0.00383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HYPERLINK("http://141.218.60.56/~jnz1568/getInfo.php?workbook=12_04.xlsx&amp;sheet=U0&amp;row=8955&amp;col=6&amp;number=4.1&amp;sourceID=14","4.1")</f>
        <v>4.1</v>
      </c>
      <c r="G8955" s="4" t="str">
        <f>HYPERLINK("http://141.218.60.56/~jnz1568/getInfo.php?workbook=12_04.xlsx&amp;sheet=U0&amp;row=8955&amp;col=7&amp;number=0.00379&amp;sourceID=14","0.00379")</f>
        <v>0.00379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HYPERLINK("http://141.218.60.56/~jnz1568/getInfo.php?workbook=12_04.xlsx&amp;sheet=U0&amp;row=8956&amp;col=6&amp;number=4.2&amp;sourceID=14","4.2")</f>
        <v>4.2</v>
      </c>
      <c r="G8956" s="4" t="str">
        <f>HYPERLINK("http://141.218.60.56/~jnz1568/getInfo.php?workbook=12_04.xlsx&amp;sheet=U0&amp;row=8956&amp;col=7&amp;number=0.00375&amp;sourceID=14","0.00375")</f>
        <v>0.00375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HYPERLINK("http://141.218.60.56/~jnz1568/getInfo.php?workbook=12_04.xlsx&amp;sheet=U0&amp;row=8957&amp;col=6&amp;number=4.3&amp;sourceID=14","4.3")</f>
        <v>4.3</v>
      </c>
      <c r="G8957" s="4" t="str">
        <f>HYPERLINK("http://141.218.60.56/~jnz1568/getInfo.php?workbook=12_04.xlsx&amp;sheet=U0&amp;row=8957&amp;col=7&amp;number=0.00369&amp;sourceID=14","0.00369")</f>
        <v>0.00369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HYPERLINK("http://141.218.60.56/~jnz1568/getInfo.php?workbook=12_04.xlsx&amp;sheet=U0&amp;row=8958&amp;col=6&amp;number=4.4&amp;sourceID=14","4.4")</f>
        <v>4.4</v>
      </c>
      <c r="G8958" s="4" t="str">
        <f>HYPERLINK("http://141.218.60.56/~jnz1568/getInfo.php?workbook=12_04.xlsx&amp;sheet=U0&amp;row=8958&amp;col=7&amp;number=0.00362&amp;sourceID=14","0.00362")</f>
        <v>0.00362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HYPERLINK("http://141.218.60.56/~jnz1568/getInfo.php?workbook=12_04.xlsx&amp;sheet=U0&amp;row=8959&amp;col=6&amp;number=4.5&amp;sourceID=14","4.5")</f>
        <v>4.5</v>
      </c>
      <c r="G8959" s="4" t="str">
        <f>HYPERLINK("http://141.218.60.56/~jnz1568/getInfo.php?workbook=12_04.xlsx&amp;sheet=U0&amp;row=8959&amp;col=7&amp;number=0.00353&amp;sourceID=14","0.00353")</f>
        <v>0.00353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HYPERLINK("http://141.218.60.56/~jnz1568/getInfo.php?workbook=12_04.xlsx&amp;sheet=U0&amp;row=8960&amp;col=6&amp;number=4.6&amp;sourceID=14","4.6")</f>
        <v>4.6</v>
      </c>
      <c r="G8960" s="4" t="str">
        <f>HYPERLINK("http://141.218.60.56/~jnz1568/getInfo.php?workbook=12_04.xlsx&amp;sheet=U0&amp;row=8960&amp;col=7&amp;number=0.00342&amp;sourceID=14","0.00342")</f>
        <v>0.00342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HYPERLINK("http://141.218.60.56/~jnz1568/getInfo.php?workbook=12_04.xlsx&amp;sheet=U0&amp;row=8961&amp;col=6&amp;number=4.7&amp;sourceID=14","4.7")</f>
        <v>4.7</v>
      </c>
      <c r="G8961" s="4" t="str">
        <f>HYPERLINK("http://141.218.60.56/~jnz1568/getInfo.php?workbook=12_04.xlsx&amp;sheet=U0&amp;row=8961&amp;col=7&amp;number=0.00329&amp;sourceID=14","0.00329")</f>
        <v>0.00329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HYPERLINK("http://141.218.60.56/~jnz1568/getInfo.php?workbook=12_04.xlsx&amp;sheet=U0&amp;row=8962&amp;col=6&amp;number=4.8&amp;sourceID=14","4.8")</f>
        <v>4.8</v>
      </c>
      <c r="G8962" s="4" t="str">
        <f>HYPERLINK("http://141.218.60.56/~jnz1568/getInfo.php?workbook=12_04.xlsx&amp;sheet=U0&amp;row=8962&amp;col=7&amp;number=0.00312&amp;sourceID=14","0.00312")</f>
        <v>0.00312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HYPERLINK("http://141.218.60.56/~jnz1568/getInfo.php?workbook=12_04.xlsx&amp;sheet=U0&amp;row=8963&amp;col=6&amp;number=4.9&amp;sourceID=14","4.9")</f>
        <v>4.9</v>
      </c>
      <c r="G8963" s="4" t="str">
        <f>HYPERLINK("http://141.218.60.56/~jnz1568/getInfo.php?workbook=12_04.xlsx&amp;sheet=U0&amp;row=8963&amp;col=7&amp;number=0.00292&amp;sourceID=14","0.00292")</f>
        <v>0.00292</v>
      </c>
    </row>
    <row r="8964" spans="1:7">
      <c r="A8964" s="3">
        <v>12</v>
      </c>
      <c r="B8964" s="3">
        <v>4</v>
      </c>
      <c r="C8964" s="3">
        <v>5</v>
      </c>
      <c r="D8964" s="3">
        <v>72</v>
      </c>
      <c r="E8964" s="3">
        <v>1</v>
      </c>
      <c r="F8964" s="4" t="str">
        <f>HYPERLINK("http://141.218.60.56/~jnz1568/getInfo.php?workbook=12_04.xlsx&amp;sheet=U0&amp;row=8964&amp;col=6&amp;number=3&amp;sourceID=14","3")</f>
        <v>3</v>
      </c>
      <c r="G8964" s="4" t="str">
        <f>HYPERLINK("http://141.218.60.56/~jnz1568/getInfo.php?workbook=12_04.xlsx&amp;sheet=U0&amp;row=8964&amp;col=7&amp;number=0.00633&amp;sourceID=14","0.00633")</f>
        <v>0.00633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HYPERLINK("http://141.218.60.56/~jnz1568/getInfo.php?workbook=12_04.xlsx&amp;sheet=U0&amp;row=8965&amp;col=6&amp;number=3.1&amp;sourceID=14","3.1")</f>
        <v>3.1</v>
      </c>
      <c r="G8965" s="4" t="str">
        <f>HYPERLINK("http://141.218.60.56/~jnz1568/getInfo.php?workbook=12_04.xlsx&amp;sheet=U0&amp;row=8965&amp;col=7&amp;number=0.00632&amp;sourceID=14","0.00632")</f>
        <v>0.00632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HYPERLINK("http://141.218.60.56/~jnz1568/getInfo.php?workbook=12_04.xlsx&amp;sheet=U0&amp;row=8966&amp;col=6&amp;number=3.2&amp;sourceID=14","3.2")</f>
        <v>3.2</v>
      </c>
      <c r="G8966" s="4" t="str">
        <f>HYPERLINK("http://141.218.60.56/~jnz1568/getInfo.php?workbook=12_04.xlsx&amp;sheet=U0&amp;row=8966&amp;col=7&amp;number=0.00631&amp;sourceID=14","0.00631")</f>
        <v>0.00631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HYPERLINK("http://141.218.60.56/~jnz1568/getInfo.php?workbook=12_04.xlsx&amp;sheet=U0&amp;row=8967&amp;col=6&amp;number=3.3&amp;sourceID=14","3.3")</f>
        <v>3.3</v>
      </c>
      <c r="G8967" s="4" t="str">
        <f>HYPERLINK("http://141.218.60.56/~jnz1568/getInfo.php?workbook=12_04.xlsx&amp;sheet=U0&amp;row=8967&amp;col=7&amp;number=0.0063&amp;sourceID=14","0.0063")</f>
        <v>0.0063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HYPERLINK("http://141.218.60.56/~jnz1568/getInfo.php?workbook=12_04.xlsx&amp;sheet=U0&amp;row=8968&amp;col=6&amp;number=3.4&amp;sourceID=14","3.4")</f>
        <v>3.4</v>
      </c>
      <c r="G8968" s="4" t="str">
        <f>HYPERLINK("http://141.218.60.56/~jnz1568/getInfo.php?workbook=12_04.xlsx&amp;sheet=U0&amp;row=8968&amp;col=7&amp;number=0.00629&amp;sourceID=14","0.00629")</f>
        <v>0.00629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HYPERLINK("http://141.218.60.56/~jnz1568/getInfo.php?workbook=12_04.xlsx&amp;sheet=U0&amp;row=8969&amp;col=6&amp;number=3.5&amp;sourceID=14","3.5")</f>
        <v>3.5</v>
      </c>
      <c r="G8969" s="4" t="str">
        <f>HYPERLINK("http://141.218.60.56/~jnz1568/getInfo.php?workbook=12_04.xlsx&amp;sheet=U0&amp;row=8969&amp;col=7&amp;number=0.00628&amp;sourceID=14","0.00628")</f>
        <v>0.00628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HYPERLINK("http://141.218.60.56/~jnz1568/getInfo.php?workbook=12_04.xlsx&amp;sheet=U0&amp;row=8970&amp;col=6&amp;number=3.6&amp;sourceID=14","3.6")</f>
        <v>3.6</v>
      </c>
      <c r="G8970" s="4" t="str">
        <f>HYPERLINK("http://141.218.60.56/~jnz1568/getInfo.php?workbook=12_04.xlsx&amp;sheet=U0&amp;row=8970&amp;col=7&amp;number=0.00626&amp;sourceID=14","0.00626")</f>
        <v>0.00626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HYPERLINK("http://141.218.60.56/~jnz1568/getInfo.php?workbook=12_04.xlsx&amp;sheet=U0&amp;row=8971&amp;col=6&amp;number=3.7&amp;sourceID=14","3.7")</f>
        <v>3.7</v>
      </c>
      <c r="G8971" s="4" t="str">
        <f>HYPERLINK("http://141.218.60.56/~jnz1568/getInfo.php?workbook=12_04.xlsx&amp;sheet=U0&amp;row=8971&amp;col=7&amp;number=0.00623&amp;sourceID=14","0.00623")</f>
        <v>0.00623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HYPERLINK("http://141.218.60.56/~jnz1568/getInfo.php?workbook=12_04.xlsx&amp;sheet=U0&amp;row=8972&amp;col=6&amp;number=3.8&amp;sourceID=14","3.8")</f>
        <v>3.8</v>
      </c>
      <c r="G8972" s="4" t="str">
        <f>HYPERLINK("http://141.218.60.56/~jnz1568/getInfo.php?workbook=12_04.xlsx&amp;sheet=U0&amp;row=8972&amp;col=7&amp;number=0.0062&amp;sourceID=14","0.0062")</f>
        <v>0.0062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HYPERLINK("http://141.218.60.56/~jnz1568/getInfo.php?workbook=12_04.xlsx&amp;sheet=U0&amp;row=8973&amp;col=6&amp;number=3.9&amp;sourceID=14","3.9")</f>
        <v>3.9</v>
      </c>
      <c r="G8973" s="4" t="str">
        <f>HYPERLINK("http://141.218.60.56/~jnz1568/getInfo.php?workbook=12_04.xlsx&amp;sheet=U0&amp;row=8973&amp;col=7&amp;number=0.00617&amp;sourceID=14","0.00617")</f>
        <v>0.00617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HYPERLINK("http://141.218.60.56/~jnz1568/getInfo.php?workbook=12_04.xlsx&amp;sheet=U0&amp;row=8974&amp;col=6&amp;number=4&amp;sourceID=14","4")</f>
        <v>4</v>
      </c>
      <c r="G8974" s="4" t="str">
        <f>HYPERLINK("http://141.218.60.56/~jnz1568/getInfo.php?workbook=12_04.xlsx&amp;sheet=U0&amp;row=8974&amp;col=7&amp;number=0.00612&amp;sourceID=14","0.00612")</f>
        <v>0.00612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HYPERLINK("http://141.218.60.56/~jnz1568/getInfo.php?workbook=12_04.xlsx&amp;sheet=U0&amp;row=8975&amp;col=6&amp;number=4.1&amp;sourceID=14","4.1")</f>
        <v>4.1</v>
      </c>
      <c r="G8975" s="4" t="str">
        <f>HYPERLINK("http://141.218.60.56/~jnz1568/getInfo.php?workbook=12_04.xlsx&amp;sheet=U0&amp;row=8975&amp;col=7&amp;number=0.00606&amp;sourceID=14","0.00606")</f>
        <v>0.00606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HYPERLINK("http://141.218.60.56/~jnz1568/getInfo.php?workbook=12_04.xlsx&amp;sheet=U0&amp;row=8976&amp;col=6&amp;number=4.2&amp;sourceID=14","4.2")</f>
        <v>4.2</v>
      </c>
      <c r="G8976" s="4" t="str">
        <f>HYPERLINK("http://141.218.60.56/~jnz1568/getInfo.php?workbook=12_04.xlsx&amp;sheet=U0&amp;row=8976&amp;col=7&amp;number=0.00599&amp;sourceID=14","0.00599")</f>
        <v>0.00599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HYPERLINK("http://141.218.60.56/~jnz1568/getInfo.php?workbook=12_04.xlsx&amp;sheet=U0&amp;row=8977&amp;col=6&amp;number=4.3&amp;sourceID=14","4.3")</f>
        <v>4.3</v>
      </c>
      <c r="G8977" s="4" t="str">
        <f>HYPERLINK("http://141.218.60.56/~jnz1568/getInfo.php?workbook=12_04.xlsx&amp;sheet=U0&amp;row=8977&amp;col=7&amp;number=0.0059&amp;sourceID=14","0.0059")</f>
        <v>0.0059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HYPERLINK("http://141.218.60.56/~jnz1568/getInfo.php?workbook=12_04.xlsx&amp;sheet=U0&amp;row=8978&amp;col=6&amp;number=4.4&amp;sourceID=14","4.4")</f>
        <v>4.4</v>
      </c>
      <c r="G8978" s="4" t="str">
        <f>HYPERLINK("http://141.218.60.56/~jnz1568/getInfo.php?workbook=12_04.xlsx&amp;sheet=U0&amp;row=8978&amp;col=7&amp;number=0.00578&amp;sourceID=14","0.00578")</f>
        <v>0.00578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HYPERLINK("http://141.218.60.56/~jnz1568/getInfo.php?workbook=12_04.xlsx&amp;sheet=U0&amp;row=8979&amp;col=6&amp;number=4.5&amp;sourceID=14","4.5")</f>
        <v>4.5</v>
      </c>
      <c r="G8979" s="4" t="str">
        <f>HYPERLINK("http://141.218.60.56/~jnz1568/getInfo.php?workbook=12_04.xlsx&amp;sheet=U0&amp;row=8979&amp;col=7&amp;number=0.00564&amp;sourceID=14","0.00564")</f>
        <v>0.00564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HYPERLINK("http://141.218.60.56/~jnz1568/getInfo.php?workbook=12_04.xlsx&amp;sheet=U0&amp;row=8980&amp;col=6&amp;number=4.6&amp;sourceID=14","4.6")</f>
        <v>4.6</v>
      </c>
      <c r="G8980" s="4" t="str">
        <f>HYPERLINK("http://141.218.60.56/~jnz1568/getInfo.php?workbook=12_04.xlsx&amp;sheet=U0&amp;row=8980&amp;col=7&amp;number=0.00546&amp;sourceID=14","0.00546")</f>
        <v>0.00546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HYPERLINK("http://141.218.60.56/~jnz1568/getInfo.php?workbook=12_04.xlsx&amp;sheet=U0&amp;row=8981&amp;col=6&amp;number=4.7&amp;sourceID=14","4.7")</f>
        <v>4.7</v>
      </c>
      <c r="G8981" s="4" t="str">
        <f>HYPERLINK("http://141.218.60.56/~jnz1568/getInfo.php?workbook=12_04.xlsx&amp;sheet=U0&amp;row=8981&amp;col=7&amp;number=0.00525&amp;sourceID=14","0.00525")</f>
        <v>0.00525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HYPERLINK("http://141.218.60.56/~jnz1568/getInfo.php?workbook=12_04.xlsx&amp;sheet=U0&amp;row=8982&amp;col=6&amp;number=4.8&amp;sourceID=14","4.8")</f>
        <v>4.8</v>
      </c>
      <c r="G8982" s="4" t="str">
        <f>HYPERLINK("http://141.218.60.56/~jnz1568/getInfo.php?workbook=12_04.xlsx&amp;sheet=U0&amp;row=8982&amp;col=7&amp;number=0.00498&amp;sourceID=14","0.00498")</f>
        <v>0.00498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HYPERLINK("http://141.218.60.56/~jnz1568/getInfo.php?workbook=12_04.xlsx&amp;sheet=U0&amp;row=8983&amp;col=6&amp;number=4.9&amp;sourceID=14","4.9")</f>
        <v>4.9</v>
      </c>
      <c r="G8983" s="4" t="str">
        <f>HYPERLINK("http://141.218.60.56/~jnz1568/getInfo.php?workbook=12_04.xlsx&amp;sheet=U0&amp;row=8983&amp;col=7&amp;number=0.00467&amp;sourceID=14","0.00467")</f>
        <v>0.00467</v>
      </c>
    </row>
    <row r="8984" spans="1:7">
      <c r="A8984" s="3">
        <v>12</v>
      </c>
      <c r="B8984" s="3">
        <v>4</v>
      </c>
      <c r="C8984" s="3">
        <v>5</v>
      </c>
      <c r="D8984" s="3">
        <v>73</v>
      </c>
      <c r="E8984" s="3">
        <v>1</v>
      </c>
      <c r="F8984" s="4" t="str">
        <f>HYPERLINK("http://141.218.60.56/~jnz1568/getInfo.php?workbook=12_04.xlsx&amp;sheet=U0&amp;row=8984&amp;col=6&amp;number=3&amp;sourceID=14","3")</f>
        <v>3</v>
      </c>
      <c r="G8984" s="4" t="str">
        <f>HYPERLINK("http://141.218.60.56/~jnz1568/getInfo.php?workbook=12_04.xlsx&amp;sheet=U0&amp;row=8984&amp;col=7&amp;number=0.00615&amp;sourceID=14","0.00615")</f>
        <v>0.00615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HYPERLINK("http://141.218.60.56/~jnz1568/getInfo.php?workbook=12_04.xlsx&amp;sheet=U0&amp;row=8985&amp;col=6&amp;number=3.1&amp;sourceID=14","3.1")</f>
        <v>3.1</v>
      </c>
      <c r="G8985" s="4" t="str">
        <f>HYPERLINK("http://141.218.60.56/~jnz1568/getInfo.php?workbook=12_04.xlsx&amp;sheet=U0&amp;row=8985&amp;col=7&amp;number=0.00615&amp;sourceID=14","0.00615")</f>
        <v>0.00615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HYPERLINK("http://141.218.60.56/~jnz1568/getInfo.php?workbook=12_04.xlsx&amp;sheet=U0&amp;row=8986&amp;col=6&amp;number=3.2&amp;sourceID=14","3.2")</f>
        <v>3.2</v>
      </c>
      <c r="G8986" s="4" t="str">
        <f>HYPERLINK("http://141.218.60.56/~jnz1568/getInfo.php?workbook=12_04.xlsx&amp;sheet=U0&amp;row=8986&amp;col=7&amp;number=0.00614&amp;sourceID=14","0.00614")</f>
        <v>0.00614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HYPERLINK("http://141.218.60.56/~jnz1568/getInfo.php?workbook=12_04.xlsx&amp;sheet=U0&amp;row=8987&amp;col=6&amp;number=3.3&amp;sourceID=14","3.3")</f>
        <v>3.3</v>
      </c>
      <c r="G8987" s="4" t="str">
        <f>HYPERLINK("http://141.218.60.56/~jnz1568/getInfo.php?workbook=12_04.xlsx&amp;sheet=U0&amp;row=8987&amp;col=7&amp;number=0.00614&amp;sourceID=14","0.00614")</f>
        <v>0.00614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HYPERLINK("http://141.218.60.56/~jnz1568/getInfo.php?workbook=12_04.xlsx&amp;sheet=U0&amp;row=8988&amp;col=6&amp;number=3.4&amp;sourceID=14","3.4")</f>
        <v>3.4</v>
      </c>
      <c r="G8988" s="4" t="str">
        <f>HYPERLINK("http://141.218.60.56/~jnz1568/getInfo.php?workbook=12_04.xlsx&amp;sheet=U0&amp;row=8988&amp;col=7&amp;number=0.00613&amp;sourceID=14","0.00613")</f>
        <v>0.00613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HYPERLINK("http://141.218.60.56/~jnz1568/getInfo.php?workbook=12_04.xlsx&amp;sheet=U0&amp;row=8989&amp;col=6&amp;number=3.5&amp;sourceID=14","3.5")</f>
        <v>3.5</v>
      </c>
      <c r="G8989" s="4" t="str">
        <f>HYPERLINK("http://141.218.60.56/~jnz1568/getInfo.php?workbook=12_04.xlsx&amp;sheet=U0&amp;row=8989&amp;col=7&amp;number=0.00612&amp;sourceID=14","0.00612")</f>
        <v>0.00612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HYPERLINK("http://141.218.60.56/~jnz1568/getInfo.php?workbook=12_04.xlsx&amp;sheet=U0&amp;row=8990&amp;col=6&amp;number=3.6&amp;sourceID=14","3.6")</f>
        <v>3.6</v>
      </c>
      <c r="G8990" s="4" t="str">
        <f>HYPERLINK("http://141.218.60.56/~jnz1568/getInfo.php?workbook=12_04.xlsx&amp;sheet=U0&amp;row=8990&amp;col=7&amp;number=0.0061&amp;sourceID=14","0.0061")</f>
        <v>0.0061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HYPERLINK("http://141.218.60.56/~jnz1568/getInfo.php?workbook=12_04.xlsx&amp;sheet=U0&amp;row=8991&amp;col=6&amp;number=3.7&amp;sourceID=14","3.7")</f>
        <v>3.7</v>
      </c>
      <c r="G8991" s="4" t="str">
        <f>HYPERLINK("http://141.218.60.56/~jnz1568/getInfo.php?workbook=12_04.xlsx&amp;sheet=U0&amp;row=8991&amp;col=7&amp;number=0.00609&amp;sourceID=14","0.00609")</f>
        <v>0.00609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HYPERLINK("http://141.218.60.56/~jnz1568/getInfo.php?workbook=12_04.xlsx&amp;sheet=U0&amp;row=8992&amp;col=6&amp;number=3.8&amp;sourceID=14","3.8")</f>
        <v>3.8</v>
      </c>
      <c r="G8992" s="4" t="str">
        <f>HYPERLINK("http://141.218.60.56/~jnz1568/getInfo.php?workbook=12_04.xlsx&amp;sheet=U0&amp;row=8992&amp;col=7&amp;number=0.00607&amp;sourceID=14","0.00607")</f>
        <v>0.00607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HYPERLINK("http://141.218.60.56/~jnz1568/getInfo.php?workbook=12_04.xlsx&amp;sheet=U0&amp;row=8993&amp;col=6&amp;number=3.9&amp;sourceID=14","3.9")</f>
        <v>3.9</v>
      </c>
      <c r="G8993" s="4" t="str">
        <f>HYPERLINK("http://141.218.60.56/~jnz1568/getInfo.php?workbook=12_04.xlsx&amp;sheet=U0&amp;row=8993&amp;col=7&amp;number=0.00604&amp;sourceID=14","0.00604")</f>
        <v>0.00604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HYPERLINK("http://141.218.60.56/~jnz1568/getInfo.php?workbook=12_04.xlsx&amp;sheet=U0&amp;row=8994&amp;col=6&amp;number=4&amp;sourceID=14","4")</f>
        <v>4</v>
      </c>
      <c r="G8994" s="4" t="str">
        <f>HYPERLINK("http://141.218.60.56/~jnz1568/getInfo.php?workbook=12_04.xlsx&amp;sheet=U0&amp;row=8994&amp;col=7&amp;number=0.00601&amp;sourceID=14","0.00601")</f>
        <v>0.00601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HYPERLINK("http://141.218.60.56/~jnz1568/getInfo.php?workbook=12_04.xlsx&amp;sheet=U0&amp;row=8995&amp;col=6&amp;number=4.1&amp;sourceID=14","4.1")</f>
        <v>4.1</v>
      </c>
      <c r="G8995" s="4" t="str">
        <f>HYPERLINK("http://141.218.60.56/~jnz1568/getInfo.php?workbook=12_04.xlsx&amp;sheet=U0&amp;row=8995&amp;col=7&amp;number=0.00596&amp;sourceID=14","0.00596")</f>
        <v>0.00596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HYPERLINK("http://141.218.60.56/~jnz1568/getInfo.php?workbook=12_04.xlsx&amp;sheet=U0&amp;row=8996&amp;col=6&amp;number=4.2&amp;sourceID=14","4.2")</f>
        <v>4.2</v>
      </c>
      <c r="G8996" s="4" t="str">
        <f>HYPERLINK("http://141.218.60.56/~jnz1568/getInfo.php?workbook=12_04.xlsx&amp;sheet=U0&amp;row=8996&amp;col=7&amp;number=0.00591&amp;sourceID=14","0.00591")</f>
        <v>0.00591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HYPERLINK("http://141.218.60.56/~jnz1568/getInfo.php?workbook=12_04.xlsx&amp;sheet=U0&amp;row=8997&amp;col=6&amp;number=4.3&amp;sourceID=14","4.3")</f>
        <v>4.3</v>
      </c>
      <c r="G8997" s="4" t="str">
        <f>HYPERLINK("http://141.218.60.56/~jnz1568/getInfo.php?workbook=12_04.xlsx&amp;sheet=U0&amp;row=8997&amp;col=7&amp;number=0.00585&amp;sourceID=14","0.00585")</f>
        <v>0.00585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HYPERLINK("http://141.218.60.56/~jnz1568/getInfo.php?workbook=12_04.xlsx&amp;sheet=U0&amp;row=8998&amp;col=6&amp;number=4.4&amp;sourceID=14","4.4")</f>
        <v>4.4</v>
      </c>
      <c r="G8998" s="4" t="str">
        <f>HYPERLINK("http://141.218.60.56/~jnz1568/getInfo.php?workbook=12_04.xlsx&amp;sheet=U0&amp;row=8998&amp;col=7&amp;number=0.00576&amp;sourceID=14","0.00576")</f>
        <v>0.00576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HYPERLINK("http://141.218.60.56/~jnz1568/getInfo.php?workbook=12_04.xlsx&amp;sheet=U0&amp;row=8999&amp;col=6&amp;number=4.5&amp;sourceID=14","4.5")</f>
        <v>4.5</v>
      </c>
      <c r="G8999" s="4" t="str">
        <f>HYPERLINK("http://141.218.60.56/~jnz1568/getInfo.php?workbook=12_04.xlsx&amp;sheet=U0&amp;row=8999&amp;col=7&amp;number=0.00566&amp;sourceID=14","0.00566")</f>
        <v>0.00566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HYPERLINK("http://141.218.60.56/~jnz1568/getInfo.php?workbook=12_04.xlsx&amp;sheet=U0&amp;row=9000&amp;col=6&amp;number=4.6&amp;sourceID=14","4.6")</f>
        <v>4.6</v>
      </c>
      <c r="G9000" s="4" t="str">
        <f>HYPERLINK("http://141.218.60.56/~jnz1568/getInfo.php?workbook=12_04.xlsx&amp;sheet=U0&amp;row=9000&amp;col=7&amp;number=0.00554&amp;sourceID=14","0.00554")</f>
        <v>0.00554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HYPERLINK("http://141.218.60.56/~jnz1568/getInfo.php?workbook=12_04.xlsx&amp;sheet=U0&amp;row=9001&amp;col=6&amp;number=4.7&amp;sourceID=14","4.7")</f>
        <v>4.7</v>
      </c>
      <c r="G9001" s="4" t="str">
        <f>HYPERLINK("http://141.218.60.56/~jnz1568/getInfo.php?workbook=12_04.xlsx&amp;sheet=U0&amp;row=9001&amp;col=7&amp;number=0.00539&amp;sourceID=14","0.00539")</f>
        <v>0.00539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HYPERLINK("http://141.218.60.56/~jnz1568/getInfo.php?workbook=12_04.xlsx&amp;sheet=U0&amp;row=9002&amp;col=6&amp;number=4.8&amp;sourceID=14","4.8")</f>
        <v>4.8</v>
      </c>
      <c r="G9002" s="4" t="str">
        <f>HYPERLINK("http://141.218.60.56/~jnz1568/getInfo.php?workbook=12_04.xlsx&amp;sheet=U0&amp;row=9002&amp;col=7&amp;number=0.00521&amp;sourceID=14","0.00521")</f>
        <v>0.00521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HYPERLINK("http://141.218.60.56/~jnz1568/getInfo.php?workbook=12_04.xlsx&amp;sheet=U0&amp;row=9003&amp;col=6&amp;number=4.9&amp;sourceID=14","4.9")</f>
        <v>4.9</v>
      </c>
      <c r="G9003" s="4" t="str">
        <f>HYPERLINK("http://141.218.60.56/~jnz1568/getInfo.php?workbook=12_04.xlsx&amp;sheet=U0&amp;row=9003&amp;col=7&amp;number=0.00501&amp;sourceID=14","0.00501")</f>
        <v>0.00501</v>
      </c>
    </row>
    <row r="9004" spans="1:7">
      <c r="A9004" s="3">
        <v>12</v>
      </c>
      <c r="B9004" s="3">
        <v>4</v>
      </c>
      <c r="C9004" s="3">
        <v>5</v>
      </c>
      <c r="D9004" s="3">
        <v>74</v>
      </c>
      <c r="E9004" s="3">
        <v>1</v>
      </c>
      <c r="F9004" s="4" t="str">
        <f>HYPERLINK("http://141.218.60.56/~jnz1568/getInfo.php?workbook=12_04.xlsx&amp;sheet=U0&amp;row=9004&amp;col=6&amp;number=3&amp;sourceID=14","3")</f>
        <v>3</v>
      </c>
      <c r="G9004" s="4" t="str">
        <f>HYPERLINK("http://141.218.60.56/~jnz1568/getInfo.php?workbook=12_04.xlsx&amp;sheet=U0&amp;row=9004&amp;col=7&amp;number=0.00619&amp;sourceID=14","0.00619")</f>
        <v>0.00619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HYPERLINK("http://141.218.60.56/~jnz1568/getInfo.php?workbook=12_04.xlsx&amp;sheet=U0&amp;row=9005&amp;col=6&amp;number=3.1&amp;sourceID=14","3.1")</f>
        <v>3.1</v>
      </c>
      <c r="G9005" s="4" t="str">
        <f>HYPERLINK("http://141.218.60.56/~jnz1568/getInfo.php?workbook=12_04.xlsx&amp;sheet=U0&amp;row=9005&amp;col=7&amp;number=0.00618&amp;sourceID=14","0.00618")</f>
        <v>0.00618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HYPERLINK("http://141.218.60.56/~jnz1568/getInfo.php?workbook=12_04.xlsx&amp;sheet=U0&amp;row=9006&amp;col=6&amp;number=3.2&amp;sourceID=14","3.2")</f>
        <v>3.2</v>
      </c>
      <c r="G9006" s="4" t="str">
        <f>HYPERLINK("http://141.218.60.56/~jnz1568/getInfo.php?workbook=12_04.xlsx&amp;sheet=U0&amp;row=9006&amp;col=7&amp;number=0.00618&amp;sourceID=14","0.00618")</f>
        <v>0.00618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HYPERLINK("http://141.218.60.56/~jnz1568/getInfo.php?workbook=12_04.xlsx&amp;sheet=U0&amp;row=9007&amp;col=6&amp;number=3.3&amp;sourceID=14","3.3")</f>
        <v>3.3</v>
      </c>
      <c r="G9007" s="4" t="str">
        <f>HYPERLINK("http://141.218.60.56/~jnz1568/getInfo.php?workbook=12_04.xlsx&amp;sheet=U0&amp;row=9007&amp;col=7&amp;number=0.00617&amp;sourceID=14","0.00617")</f>
        <v>0.00617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HYPERLINK("http://141.218.60.56/~jnz1568/getInfo.php?workbook=12_04.xlsx&amp;sheet=U0&amp;row=9008&amp;col=6&amp;number=3.4&amp;sourceID=14","3.4")</f>
        <v>3.4</v>
      </c>
      <c r="G9008" s="4" t="str">
        <f>HYPERLINK("http://141.218.60.56/~jnz1568/getInfo.php?workbook=12_04.xlsx&amp;sheet=U0&amp;row=9008&amp;col=7&amp;number=0.00616&amp;sourceID=14","0.00616")</f>
        <v>0.00616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HYPERLINK("http://141.218.60.56/~jnz1568/getInfo.php?workbook=12_04.xlsx&amp;sheet=U0&amp;row=9009&amp;col=6&amp;number=3.5&amp;sourceID=14","3.5")</f>
        <v>3.5</v>
      </c>
      <c r="G9009" s="4" t="str">
        <f>HYPERLINK("http://141.218.60.56/~jnz1568/getInfo.php?workbook=12_04.xlsx&amp;sheet=U0&amp;row=9009&amp;col=7&amp;number=0.00615&amp;sourceID=14","0.00615")</f>
        <v>0.00615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HYPERLINK("http://141.218.60.56/~jnz1568/getInfo.php?workbook=12_04.xlsx&amp;sheet=U0&amp;row=9010&amp;col=6&amp;number=3.6&amp;sourceID=14","3.6")</f>
        <v>3.6</v>
      </c>
      <c r="G9010" s="4" t="str">
        <f>HYPERLINK("http://141.218.60.56/~jnz1568/getInfo.php?workbook=12_04.xlsx&amp;sheet=U0&amp;row=9010&amp;col=7&amp;number=0.00613&amp;sourceID=14","0.00613")</f>
        <v>0.00613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HYPERLINK("http://141.218.60.56/~jnz1568/getInfo.php?workbook=12_04.xlsx&amp;sheet=U0&amp;row=9011&amp;col=6&amp;number=3.7&amp;sourceID=14","3.7")</f>
        <v>3.7</v>
      </c>
      <c r="G9011" s="4" t="str">
        <f>HYPERLINK("http://141.218.60.56/~jnz1568/getInfo.php?workbook=12_04.xlsx&amp;sheet=U0&amp;row=9011&amp;col=7&amp;number=0.00611&amp;sourceID=14","0.00611")</f>
        <v>0.00611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HYPERLINK("http://141.218.60.56/~jnz1568/getInfo.php?workbook=12_04.xlsx&amp;sheet=U0&amp;row=9012&amp;col=6&amp;number=3.8&amp;sourceID=14","3.8")</f>
        <v>3.8</v>
      </c>
      <c r="G9012" s="4" t="str">
        <f>HYPERLINK("http://141.218.60.56/~jnz1568/getInfo.php?workbook=12_04.xlsx&amp;sheet=U0&amp;row=9012&amp;col=7&amp;number=0.00608&amp;sourceID=14","0.00608")</f>
        <v>0.00608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HYPERLINK("http://141.218.60.56/~jnz1568/getInfo.php?workbook=12_04.xlsx&amp;sheet=U0&amp;row=9013&amp;col=6&amp;number=3.9&amp;sourceID=14","3.9")</f>
        <v>3.9</v>
      </c>
      <c r="G9013" s="4" t="str">
        <f>HYPERLINK("http://141.218.60.56/~jnz1568/getInfo.php?workbook=12_04.xlsx&amp;sheet=U0&amp;row=9013&amp;col=7&amp;number=0.00605&amp;sourceID=14","0.00605")</f>
        <v>0.00605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HYPERLINK("http://141.218.60.56/~jnz1568/getInfo.php?workbook=12_04.xlsx&amp;sheet=U0&amp;row=9014&amp;col=6&amp;number=4&amp;sourceID=14","4")</f>
        <v>4</v>
      </c>
      <c r="G9014" s="4" t="str">
        <f>HYPERLINK("http://141.218.60.56/~jnz1568/getInfo.php?workbook=12_04.xlsx&amp;sheet=U0&amp;row=9014&amp;col=7&amp;number=0.00601&amp;sourceID=14","0.00601")</f>
        <v>0.00601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HYPERLINK("http://141.218.60.56/~jnz1568/getInfo.php?workbook=12_04.xlsx&amp;sheet=U0&amp;row=9015&amp;col=6&amp;number=4.1&amp;sourceID=14","4.1")</f>
        <v>4.1</v>
      </c>
      <c r="G9015" s="4" t="str">
        <f>HYPERLINK("http://141.218.60.56/~jnz1568/getInfo.php?workbook=12_04.xlsx&amp;sheet=U0&amp;row=9015&amp;col=7&amp;number=0.00596&amp;sourceID=14","0.00596")</f>
        <v>0.00596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HYPERLINK("http://141.218.60.56/~jnz1568/getInfo.php?workbook=12_04.xlsx&amp;sheet=U0&amp;row=9016&amp;col=6&amp;number=4.2&amp;sourceID=14","4.2")</f>
        <v>4.2</v>
      </c>
      <c r="G9016" s="4" t="str">
        <f>HYPERLINK("http://141.218.60.56/~jnz1568/getInfo.php?workbook=12_04.xlsx&amp;sheet=U0&amp;row=9016&amp;col=7&amp;number=0.0059&amp;sourceID=14","0.0059")</f>
        <v>0.0059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HYPERLINK("http://141.218.60.56/~jnz1568/getInfo.php?workbook=12_04.xlsx&amp;sheet=U0&amp;row=9017&amp;col=6&amp;number=4.3&amp;sourceID=14","4.3")</f>
        <v>4.3</v>
      </c>
      <c r="G9017" s="4" t="str">
        <f>HYPERLINK("http://141.218.60.56/~jnz1568/getInfo.php?workbook=12_04.xlsx&amp;sheet=U0&amp;row=9017&amp;col=7&amp;number=0.00582&amp;sourceID=14","0.00582")</f>
        <v>0.00582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HYPERLINK("http://141.218.60.56/~jnz1568/getInfo.php?workbook=12_04.xlsx&amp;sheet=U0&amp;row=9018&amp;col=6&amp;number=4.4&amp;sourceID=14","4.4")</f>
        <v>4.4</v>
      </c>
      <c r="G9018" s="4" t="str">
        <f>HYPERLINK("http://141.218.60.56/~jnz1568/getInfo.php?workbook=12_04.xlsx&amp;sheet=U0&amp;row=9018&amp;col=7&amp;number=0.00573&amp;sourceID=14","0.00573")</f>
        <v>0.00573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HYPERLINK("http://141.218.60.56/~jnz1568/getInfo.php?workbook=12_04.xlsx&amp;sheet=U0&amp;row=9019&amp;col=6&amp;number=4.5&amp;sourceID=14","4.5")</f>
        <v>4.5</v>
      </c>
      <c r="G9019" s="4" t="str">
        <f>HYPERLINK("http://141.218.60.56/~jnz1568/getInfo.php?workbook=12_04.xlsx&amp;sheet=U0&amp;row=9019&amp;col=7&amp;number=0.00561&amp;sourceID=14","0.00561")</f>
        <v>0.00561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HYPERLINK("http://141.218.60.56/~jnz1568/getInfo.php?workbook=12_04.xlsx&amp;sheet=U0&amp;row=9020&amp;col=6&amp;number=4.6&amp;sourceID=14","4.6")</f>
        <v>4.6</v>
      </c>
      <c r="G9020" s="4" t="str">
        <f>HYPERLINK("http://141.218.60.56/~jnz1568/getInfo.php?workbook=12_04.xlsx&amp;sheet=U0&amp;row=9020&amp;col=7&amp;number=0.00546&amp;sourceID=14","0.00546")</f>
        <v>0.00546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HYPERLINK("http://141.218.60.56/~jnz1568/getInfo.php?workbook=12_04.xlsx&amp;sheet=U0&amp;row=9021&amp;col=6&amp;number=4.7&amp;sourceID=14","4.7")</f>
        <v>4.7</v>
      </c>
      <c r="G9021" s="4" t="str">
        <f>HYPERLINK("http://141.218.60.56/~jnz1568/getInfo.php?workbook=12_04.xlsx&amp;sheet=U0&amp;row=9021&amp;col=7&amp;number=0.00529&amp;sourceID=14","0.00529")</f>
        <v>0.00529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HYPERLINK("http://141.218.60.56/~jnz1568/getInfo.php?workbook=12_04.xlsx&amp;sheet=U0&amp;row=9022&amp;col=6&amp;number=4.8&amp;sourceID=14","4.8")</f>
        <v>4.8</v>
      </c>
      <c r="G9022" s="4" t="str">
        <f>HYPERLINK("http://141.218.60.56/~jnz1568/getInfo.php?workbook=12_04.xlsx&amp;sheet=U0&amp;row=9022&amp;col=7&amp;number=0.00507&amp;sourceID=14","0.00507")</f>
        <v>0.00507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HYPERLINK("http://141.218.60.56/~jnz1568/getInfo.php?workbook=12_04.xlsx&amp;sheet=U0&amp;row=9023&amp;col=6&amp;number=4.9&amp;sourceID=14","4.9")</f>
        <v>4.9</v>
      </c>
      <c r="G9023" s="4" t="str">
        <f>HYPERLINK("http://141.218.60.56/~jnz1568/getInfo.php?workbook=12_04.xlsx&amp;sheet=U0&amp;row=9023&amp;col=7&amp;number=0.00483&amp;sourceID=14","0.00483")</f>
        <v>0.00483</v>
      </c>
    </row>
    <row r="9024" spans="1:7">
      <c r="A9024" s="3">
        <v>12</v>
      </c>
      <c r="B9024" s="3">
        <v>4</v>
      </c>
      <c r="C9024" s="3">
        <v>5</v>
      </c>
      <c r="D9024" s="3">
        <v>75</v>
      </c>
      <c r="E9024" s="3">
        <v>1</v>
      </c>
      <c r="F9024" s="4" t="str">
        <f>HYPERLINK("http://141.218.60.56/~jnz1568/getInfo.php?workbook=12_04.xlsx&amp;sheet=U0&amp;row=9024&amp;col=6&amp;number=3&amp;sourceID=14","3")</f>
        <v>3</v>
      </c>
      <c r="G9024" s="4" t="str">
        <f>HYPERLINK("http://141.218.60.56/~jnz1568/getInfo.php?workbook=12_04.xlsx&amp;sheet=U0&amp;row=9024&amp;col=7&amp;number=0.00834&amp;sourceID=14","0.00834")</f>
        <v>0.00834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HYPERLINK("http://141.218.60.56/~jnz1568/getInfo.php?workbook=12_04.xlsx&amp;sheet=U0&amp;row=9025&amp;col=6&amp;number=3.1&amp;sourceID=14","3.1")</f>
        <v>3.1</v>
      </c>
      <c r="G9025" s="4" t="str">
        <f>HYPERLINK("http://141.218.60.56/~jnz1568/getInfo.php?workbook=12_04.xlsx&amp;sheet=U0&amp;row=9025&amp;col=7&amp;number=0.00833&amp;sourceID=14","0.00833")</f>
        <v>0.00833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HYPERLINK("http://141.218.60.56/~jnz1568/getInfo.php?workbook=12_04.xlsx&amp;sheet=U0&amp;row=9026&amp;col=6&amp;number=3.2&amp;sourceID=14","3.2")</f>
        <v>3.2</v>
      </c>
      <c r="G9026" s="4" t="str">
        <f>HYPERLINK("http://141.218.60.56/~jnz1568/getInfo.php?workbook=12_04.xlsx&amp;sheet=U0&amp;row=9026&amp;col=7&amp;number=0.00833&amp;sourceID=14","0.00833")</f>
        <v>0.00833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HYPERLINK("http://141.218.60.56/~jnz1568/getInfo.php?workbook=12_04.xlsx&amp;sheet=U0&amp;row=9027&amp;col=6&amp;number=3.3&amp;sourceID=14","3.3")</f>
        <v>3.3</v>
      </c>
      <c r="G9027" s="4" t="str">
        <f>HYPERLINK("http://141.218.60.56/~jnz1568/getInfo.php?workbook=12_04.xlsx&amp;sheet=U0&amp;row=9027&amp;col=7&amp;number=0.00832&amp;sourceID=14","0.00832")</f>
        <v>0.00832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HYPERLINK("http://141.218.60.56/~jnz1568/getInfo.php?workbook=12_04.xlsx&amp;sheet=U0&amp;row=9028&amp;col=6&amp;number=3.4&amp;sourceID=14","3.4")</f>
        <v>3.4</v>
      </c>
      <c r="G9028" s="4" t="str">
        <f>HYPERLINK("http://141.218.60.56/~jnz1568/getInfo.php?workbook=12_04.xlsx&amp;sheet=U0&amp;row=9028&amp;col=7&amp;number=0.00831&amp;sourceID=14","0.00831")</f>
        <v>0.00831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HYPERLINK("http://141.218.60.56/~jnz1568/getInfo.php?workbook=12_04.xlsx&amp;sheet=U0&amp;row=9029&amp;col=6&amp;number=3.5&amp;sourceID=14","3.5")</f>
        <v>3.5</v>
      </c>
      <c r="G9029" s="4" t="str">
        <f>HYPERLINK("http://141.218.60.56/~jnz1568/getInfo.php?workbook=12_04.xlsx&amp;sheet=U0&amp;row=9029&amp;col=7&amp;number=0.0083&amp;sourceID=14","0.0083")</f>
        <v>0.0083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HYPERLINK("http://141.218.60.56/~jnz1568/getInfo.php?workbook=12_04.xlsx&amp;sheet=U0&amp;row=9030&amp;col=6&amp;number=3.6&amp;sourceID=14","3.6")</f>
        <v>3.6</v>
      </c>
      <c r="G9030" s="4" t="str">
        <f>HYPERLINK("http://141.218.60.56/~jnz1568/getInfo.php?workbook=12_04.xlsx&amp;sheet=U0&amp;row=9030&amp;col=7&amp;number=0.00829&amp;sourceID=14","0.00829")</f>
        <v>0.00829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HYPERLINK("http://141.218.60.56/~jnz1568/getInfo.php?workbook=12_04.xlsx&amp;sheet=U0&amp;row=9031&amp;col=6&amp;number=3.7&amp;sourceID=14","3.7")</f>
        <v>3.7</v>
      </c>
      <c r="G9031" s="4" t="str">
        <f>HYPERLINK("http://141.218.60.56/~jnz1568/getInfo.php?workbook=12_04.xlsx&amp;sheet=U0&amp;row=9031&amp;col=7&amp;number=0.00827&amp;sourceID=14","0.00827")</f>
        <v>0.00827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HYPERLINK("http://141.218.60.56/~jnz1568/getInfo.php?workbook=12_04.xlsx&amp;sheet=U0&amp;row=9032&amp;col=6&amp;number=3.8&amp;sourceID=14","3.8")</f>
        <v>3.8</v>
      </c>
      <c r="G9032" s="4" t="str">
        <f>HYPERLINK("http://141.218.60.56/~jnz1568/getInfo.php?workbook=12_04.xlsx&amp;sheet=U0&amp;row=9032&amp;col=7&amp;number=0.00825&amp;sourceID=14","0.00825")</f>
        <v>0.00825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HYPERLINK("http://141.218.60.56/~jnz1568/getInfo.php?workbook=12_04.xlsx&amp;sheet=U0&amp;row=9033&amp;col=6&amp;number=3.9&amp;sourceID=14","3.9")</f>
        <v>3.9</v>
      </c>
      <c r="G9033" s="4" t="str">
        <f>HYPERLINK("http://141.218.60.56/~jnz1568/getInfo.php?workbook=12_04.xlsx&amp;sheet=U0&amp;row=9033&amp;col=7&amp;number=0.00822&amp;sourceID=14","0.00822")</f>
        <v>0.00822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HYPERLINK("http://141.218.60.56/~jnz1568/getInfo.php?workbook=12_04.xlsx&amp;sheet=U0&amp;row=9034&amp;col=6&amp;number=4&amp;sourceID=14","4")</f>
        <v>4</v>
      </c>
      <c r="G9034" s="4" t="str">
        <f>HYPERLINK("http://141.218.60.56/~jnz1568/getInfo.php?workbook=12_04.xlsx&amp;sheet=U0&amp;row=9034&amp;col=7&amp;number=0.00818&amp;sourceID=14","0.00818")</f>
        <v>0.00818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HYPERLINK("http://141.218.60.56/~jnz1568/getInfo.php?workbook=12_04.xlsx&amp;sheet=U0&amp;row=9035&amp;col=6&amp;number=4.1&amp;sourceID=14","4.1")</f>
        <v>4.1</v>
      </c>
      <c r="G9035" s="4" t="str">
        <f>HYPERLINK("http://141.218.60.56/~jnz1568/getInfo.php?workbook=12_04.xlsx&amp;sheet=U0&amp;row=9035&amp;col=7&amp;number=0.00814&amp;sourceID=14","0.00814")</f>
        <v>0.00814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HYPERLINK("http://141.218.60.56/~jnz1568/getInfo.php?workbook=12_04.xlsx&amp;sheet=U0&amp;row=9036&amp;col=6&amp;number=4.2&amp;sourceID=14","4.2")</f>
        <v>4.2</v>
      </c>
      <c r="G9036" s="4" t="str">
        <f>HYPERLINK("http://141.218.60.56/~jnz1568/getInfo.php?workbook=12_04.xlsx&amp;sheet=U0&amp;row=9036&amp;col=7&amp;number=0.00808&amp;sourceID=14","0.00808")</f>
        <v>0.00808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HYPERLINK("http://141.218.60.56/~jnz1568/getInfo.php?workbook=12_04.xlsx&amp;sheet=U0&amp;row=9037&amp;col=6&amp;number=4.3&amp;sourceID=14","4.3")</f>
        <v>4.3</v>
      </c>
      <c r="G9037" s="4" t="str">
        <f>HYPERLINK("http://141.218.60.56/~jnz1568/getInfo.php?workbook=12_04.xlsx&amp;sheet=U0&amp;row=9037&amp;col=7&amp;number=0.00802&amp;sourceID=14","0.00802")</f>
        <v>0.00802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HYPERLINK("http://141.218.60.56/~jnz1568/getInfo.php?workbook=12_04.xlsx&amp;sheet=U0&amp;row=9038&amp;col=6&amp;number=4.4&amp;sourceID=14","4.4")</f>
        <v>4.4</v>
      </c>
      <c r="G9038" s="4" t="str">
        <f>HYPERLINK("http://141.218.60.56/~jnz1568/getInfo.php?workbook=12_04.xlsx&amp;sheet=U0&amp;row=9038&amp;col=7&amp;number=0.00793&amp;sourceID=14","0.00793")</f>
        <v>0.00793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HYPERLINK("http://141.218.60.56/~jnz1568/getInfo.php?workbook=12_04.xlsx&amp;sheet=U0&amp;row=9039&amp;col=6&amp;number=4.5&amp;sourceID=14","4.5")</f>
        <v>4.5</v>
      </c>
      <c r="G9039" s="4" t="str">
        <f>HYPERLINK("http://141.218.60.56/~jnz1568/getInfo.php?workbook=12_04.xlsx&amp;sheet=U0&amp;row=9039&amp;col=7&amp;number=0.00782&amp;sourceID=14","0.00782")</f>
        <v>0.00782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HYPERLINK("http://141.218.60.56/~jnz1568/getInfo.php?workbook=12_04.xlsx&amp;sheet=U0&amp;row=9040&amp;col=6&amp;number=4.6&amp;sourceID=14","4.6")</f>
        <v>4.6</v>
      </c>
      <c r="G9040" s="4" t="str">
        <f>HYPERLINK("http://141.218.60.56/~jnz1568/getInfo.php?workbook=12_04.xlsx&amp;sheet=U0&amp;row=9040&amp;col=7&amp;number=0.0077&amp;sourceID=14","0.0077")</f>
        <v>0.0077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HYPERLINK("http://141.218.60.56/~jnz1568/getInfo.php?workbook=12_04.xlsx&amp;sheet=U0&amp;row=9041&amp;col=6&amp;number=4.7&amp;sourceID=14","4.7")</f>
        <v>4.7</v>
      </c>
      <c r="G9041" s="4" t="str">
        <f>HYPERLINK("http://141.218.60.56/~jnz1568/getInfo.php?workbook=12_04.xlsx&amp;sheet=U0&amp;row=9041&amp;col=7&amp;number=0.00754&amp;sourceID=14","0.00754")</f>
        <v>0.00754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HYPERLINK("http://141.218.60.56/~jnz1568/getInfo.php?workbook=12_04.xlsx&amp;sheet=U0&amp;row=9042&amp;col=6&amp;number=4.8&amp;sourceID=14","4.8")</f>
        <v>4.8</v>
      </c>
      <c r="G9042" s="4" t="str">
        <f>HYPERLINK("http://141.218.60.56/~jnz1568/getInfo.php?workbook=12_04.xlsx&amp;sheet=U0&amp;row=9042&amp;col=7&amp;number=0.00736&amp;sourceID=14","0.00736")</f>
        <v>0.00736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HYPERLINK("http://141.218.60.56/~jnz1568/getInfo.php?workbook=12_04.xlsx&amp;sheet=U0&amp;row=9043&amp;col=6&amp;number=4.9&amp;sourceID=14","4.9")</f>
        <v>4.9</v>
      </c>
      <c r="G9043" s="4" t="str">
        <f>HYPERLINK("http://141.218.60.56/~jnz1568/getInfo.php?workbook=12_04.xlsx&amp;sheet=U0&amp;row=9043&amp;col=7&amp;number=0.00714&amp;sourceID=14","0.00714")</f>
        <v>0.00714</v>
      </c>
    </row>
    <row r="9044" spans="1:7">
      <c r="A9044" s="3">
        <v>12</v>
      </c>
      <c r="B9044" s="3">
        <v>4</v>
      </c>
      <c r="C9044" s="3">
        <v>5</v>
      </c>
      <c r="D9044" s="3">
        <v>76</v>
      </c>
      <c r="E9044" s="3">
        <v>1</v>
      </c>
      <c r="F9044" s="4" t="str">
        <f>HYPERLINK("http://141.218.60.56/~jnz1568/getInfo.php?workbook=12_04.xlsx&amp;sheet=U0&amp;row=9044&amp;col=6&amp;number=3&amp;sourceID=14","3")</f>
        <v>3</v>
      </c>
      <c r="G9044" s="4" t="str">
        <f>HYPERLINK("http://141.218.60.56/~jnz1568/getInfo.php?workbook=12_04.xlsx&amp;sheet=U0&amp;row=9044&amp;col=7&amp;number=0.0163&amp;sourceID=14","0.0163")</f>
        <v>0.0163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HYPERLINK("http://141.218.60.56/~jnz1568/getInfo.php?workbook=12_04.xlsx&amp;sheet=U0&amp;row=9045&amp;col=6&amp;number=3.1&amp;sourceID=14","3.1")</f>
        <v>3.1</v>
      </c>
      <c r="G9045" s="4" t="str">
        <f>HYPERLINK("http://141.218.60.56/~jnz1568/getInfo.php?workbook=12_04.xlsx&amp;sheet=U0&amp;row=9045&amp;col=7&amp;number=0.0163&amp;sourceID=14","0.0163")</f>
        <v>0.0163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HYPERLINK("http://141.218.60.56/~jnz1568/getInfo.php?workbook=12_04.xlsx&amp;sheet=U0&amp;row=9046&amp;col=6&amp;number=3.2&amp;sourceID=14","3.2")</f>
        <v>3.2</v>
      </c>
      <c r="G9046" s="4" t="str">
        <f>HYPERLINK("http://141.218.60.56/~jnz1568/getInfo.php?workbook=12_04.xlsx&amp;sheet=U0&amp;row=9046&amp;col=7&amp;number=0.0163&amp;sourceID=14","0.0163")</f>
        <v>0.0163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HYPERLINK("http://141.218.60.56/~jnz1568/getInfo.php?workbook=12_04.xlsx&amp;sheet=U0&amp;row=9047&amp;col=6&amp;number=3.3&amp;sourceID=14","3.3")</f>
        <v>3.3</v>
      </c>
      <c r="G9047" s="4" t="str">
        <f>HYPERLINK("http://141.218.60.56/~jnz1568/getInfo.php?workbook=12_04.xlsx&amp;sheet=U0&amp;row=9047&amp;col=7&amp;number=0.0163&amp;sourceID=14","0.0163")</f>
        <v>0.0163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HYPERLINK("http://141.218.60.56/~jnz1568/getInfo.php?workbook=12_04.xlsx&amp;sheet=U0&amp;row=9048&amp;col=6&amp;number=3.4&amp;sourceID=14","3.4")</f>
        <v>3.4</v>
      </c>
      <c r="G9048" s="4" t="str">
        <f>HYPERLINK("http://141.218.60.56/~jnz1568/getInfo.php?workbook=12_04.xlsx&amp;sheet=U0&amp;row=9048&amp;col=7&amp;number=0.0163&amp;sourceID=14","0.0163")</f>
        <v>0.0163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HYPERLINK("http://141.218.60.56/~jnz1568/getInfo.php?workbook=12_04.xlsx&amp;sheet=U0&amp;row=9049&amp;col=6&amp;number=3.5&amp;sourceID=14","3.5")</f>
        <v>3.5</v>
      </c>
      <c r="G9049" s="4" t="str">
        <f>HYPERLINK("http://141.218.60.56/~jnz1568/getInfo.php?workbook=12_04.xlsx&amp;sheet=U0&amp;row=9049&amp;col=7&amp;number=0.0163&amp;sourceID=14","0.0163")</f>
        <v>0.0163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HYPERLINK("http://141.218.60.56/~jnz1568/getInfo.php?workbook=12_04.xlsx&amp;sheet=U0&amp;row=9050&amp;col=6&amp;number=3.6&amp;sourceID=14","3.6")</f>
        <v>3.6</v>
      </c>
      <c r="G9050" s="4" t="str">
        <f>HYPERLINK("http://141.218.60.56/~jnz1568/getInfo.php?workbook=12_04.xlsx&amp;sheet=U0&amp;row=9050&amp;col=7&amp;number=0.0163&amp;sourceID=14","0.0163")</f>
        <v>0.0163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HYPERLINK("http://141.218.60.56/~jnz1568/getInfo.php?workbook=12_04.xlsx&amp;sheet=U0&amp;row=9051&amp;col=6&amp;number=3.7&amp;sourceID=14","3.7")</f>
        <v>3.7</v>
      </c>
      <c r="G9051" s="4" t="str">
        <f>HYPERLINK("http://141.218.60.56/~jnz1568/getInfo.php?workbook=12_04.xlsx&amp;sheet=U0&amp;row=9051&amp;col=7&amp;number=0.0163&amp;sourceID=14","0.0163")</f>
        <v>0.0163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HYPERLINK("http://141.218.60.56/~jnz1568/getInfo.php?workbook=12_04.xlsx&amp;sheet=U0&amp;row=9052&amp;col=6&amp;number=3.8&amp;sourceID=14","3.8")</f>
        <v>3.8</v>
      </c>
      <c r="G9052" s="4" t="str">
        <f>HYPERLINK("http://141.218.60.56/~jnz1568/getInfo.php?workbook=12_04.xlsx&amp;sheet=U0&amp;row=9052&amp;col=7&amp;number=0.0162&amp;sourceID=14","0.0162")</f>
        <v>0.0162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HYPERLINK("http://141.218.60.56/~jnz1568/getInfo.php?workbook=12_04.xlsx&amp;sheet=U0&amp;row=9053&amp;col=6&amp;number=3.9&amp;sourceID=14","3.9")</f>
        <v>3.9</v>
      </c>
      <c r="G9053" s="4" t="str">
        <f>HYPERLINK("http://141.218.60.56/~jnz1568/getInfo.php?workbook=12_04.xlsx&amp;sheet=U0&amp;row=9053&amp;col=7&amp;number=0.0162&amp;sourceID=14","0.0162")</f>
        <v>0.0162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HYPERLINK("http://141.218.60.56/~jnz1568/getInfo.php?workbook=12_04.xlsx&amp;sheet=U0&amp;row=9054&amp;col=6&amp;number=4&amp;sourceID=14","4")</f>
        <v>4</v>
      </c>
      <c r="G9054" s="4" t="str">
        <f>HYPERLINK("http://141.218.60.56/~jnz1568/getInfo.php?workbook=12_04.xlsx&amp;sheet=U0&amp;row=9054&amp;col=7&amp;number=0.0162&amp;sourceID=14","0.0162")</f>
        <v>0.0162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HYPERLINK("http://141.218.60.56/~jnz1568/getInfo.php?workbook=12_04.xlsx&amp;sheet=U0&amp;row=9055&amp;col=6&amp;number=4.1&amp;sourceID=14","4.1")</f>
        <v>4.1</v>
      </c>
      <c r="G9055" s="4" t="str">
        <f>HYPERLINK("http://141.218.60.56/~jnz1568/getInfo.php?workbook=12_04.xlsx&amp;sheet=U0&amp;row=9055&amp;col=7&amp;number=0.0161&amp;sourceID=14","0.0161")</f>
        <v>0.0161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HYPERLINK("http://141.218.60.56/~jnz1568/getInfo.php?workbook=12_04.xlsx&amp;sheet=U0&amp;row=9056&amp;col=6&amp;number=4.2&amp;sourceID=14","4.2")</f>
        <v>4.2</v>
      </c>
      <c r="G9056" s="4" t="str">
        <f>HYPERLINK("http://141.218.60.56/~jnz1568/getInfo.php?workbook=12_04.xlsx&amp;sheet=U0&amp;row=9056&amp;col=7&amp;number=0.0161&amp;sourceID=14","0.0161")</f>
        <v>0.0161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HYPERLINK("http://141.218.60.56/~jnz1568/getInfo.php?workbook=12_04.xlsx&amp;sheet=U0&amp;row=9057&amp;col=6&amp;number=4.3&amp;sourceID=14","4.3")</f>
        <v>4.3</v>
      </c>
      <c r="G9057" s="4" t="str">
        <f>HYPERLINK("http://141.218.60.56/~jnz1568/getInfo.php?workbook=12_04.xlsx&amp;sheet=U0&amp;row=9057&amp;col=7&amp;number=0.016&amp;sourceID=14","0.016")</f>
        <v>0.016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HYPERLINK("http://141.218.60.56/~jnz1568/getInfo.php?workbook=12_04.xlsx&amp;sheet=U0&amp;row=9058&amp;col=6&amp;number=4.4&amp;sourceID=14","4.4")</f>
        <v>4.4</v>
      </c>
      <c r="G9058" s="4" t="str">
        <f>HYPERLINK("http://141.218.60.56/~jnz1568/getInfo.php?workbook=12_04.xlsx&amp;sheet=U0&amp;row=9058&amp;col=7&amp;number=0.0159&amp;sourceID=14","0.0159")</f>
        <v>0.0159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HYPERLINK("http://141.218.60.56/~jnz1568/getInfo.php?workbook=12_04.xlsx&amp;sheet=U0&amp;row=9059&amp;col=6&amp;number=4.5&amp;sourceID=14","4.5")</f>
        <v>4.5</v>
      </c>
      <c r="G9059" s="4" t="str">
        <f>HYPERLINK("http://141.218.60.56/~jnz1568/getInfo.php?workbook=12_04.xlsx&amp;sheet=U0&amp;row=9059&amp;col=7&amp;number=0.0158&amp;sourceID=14","0.0158")</f>
        <v>0.0158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HYPERLINK("http://141.218.60.56/~jnz1568/getInfo.php?workbook=12_04.xlsx&amp;sheet=U0&amp;row=9060&amp;col=6&amp;number=4.6&amp;sourceID=14","4.6")</f>
        <v>4.6</v>
      </c>
      <c r="G9060" s="4" t="str">
        <f>HYPERLINK("http://141.218.60.56/~jnz1568/getInfo.php?workbook=12_04.xlsx&amp;sheet=U0&amp;row=9060&amp;col=7&amp;number=0.0157&amp;sourceID=14","0.0157")</f>
        <v>0.0157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HYPERLINK("http://141.218.60.56/~jnz1568/getInfo.php?workbook=12_04.xlsx&amp;sheet=U0&amp;row=9061&amp;col=6&amp;number=4.7&amp;sourceID=14","4.7")</f>
        <v>4.7</v>
      </c>
      <c r="G9061" s="4" t="str">
        <f>HYPERLINK("http://141.218.60.56/~jnz1568/getInfo.php?workbook=12_04.xlsx&amp;sheet=U0&amp;row=9061&amp;col=7&amp;number=0.0155&amp;sourceID=14","0.0155")</f>
        <v>0.0155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HYPERLINK("http://141.218.60.56/~jnz1568/getInfo.php?workbook=12_04.xlsx&amp;sheet=U0&amp;row=9062&amp;col=6&amp;number=4.8&amp;sourceID=14","4.8")</f>
        <v>4.8</v>
      </c>
      <c r="G9062" s="4" t="str">
        <f>HYPERLINK("http://141.218.60.56/~jnz1568/getInfo.php?workbook=12_04.xlsx&amp;sheet=U0&amp;row=9062&amp;col=7&amp;number=0.0153&amp;sourceID=14","0.0153")</f>
        <v>0.0153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HYPERLINK("http://141.218.60.56/~jnz1568/getInfo.php?workbook=12_04.xlsx&amp;sheet=U0&amp;row=9063&amp;col=6&amp;number=4.9&amp;sourceID=14","4.9")</f>
        <v>4.9</v>
      </c>
      <c r="G9063" s="4" t="str">
        <f>HYPERLINK("http://141.218.60.56/~jnz1568/getInfo.php?workbook=12_04.xlsx&amp;sheet=U0&amp;row=9063&amp;col=7&amp;number=0.0151&amp;sourceID=14","0.0151")</f>
        <v>0.0151</v>
      </c>
    </row>
    <row r="9064" spans="1:7">
      <c r="A9064" s="3">
        <v>12</v>
      </c>
      <c r="B9064" s="3">
        <v>4</v>
      </c>
      <c r="C9064" s="3">
        <v>5</v>
      </c>
      <c r="D9064" s="3">
        <v>77</v>
      </c>
      <c r="E9064" s="3">
        <v>1</v>
      </c>
      <c r="F9064" s="4" t="str">
        <f>HYPERLINK("http://141.218.60.56/~jnz1568/getInfo.php?workbook=12_04.xlsx&amp;sheet=U0&amp;row=9064&amp;col=6&amp;number=3&amp;sourceID=14","3")</f>
        <v>3</v>
      </c>
      <c r="G9064" s="4" t="str">
        <f>HYPERLINK("http://141.218.60.56/~jnz1568/getInfo.php?workbook=12_04.xlsx&amp;sheet=U0&amp;row=9064&amp;col=7&amp;number=0.00757&amp;sourceID=14","0.00757")</f>
        <v>0.00757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HYPERLINK("http://141.218.60.56/~jnz1568/getInfo.php?workbook=12_04.xlsx&amp;sheet=U0&amp;row=9065&amp;col=6&amp;number=3.1&amp;sourceID=14","3.1")</f>
        <v>3.1</v>
      </c>
      <c r="G9065" s="4" t="str">
        <f>HYPERLINK("http://141.218.60.56/~jnz1568/getInfo.php?workbook=12_04.xlsx&amp;sheet=U0&amp;row=9065&amp;col=7&amp;number=0.00757&amp;sourceID=14","0.00757")</f>
        <v>0.00757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HYPERLINK("http://141.218.60.56/~jnz1568/getInfo.php?workbook=12_04.xlsx&amp;sheet=U0&amp;row=9066&amp;col=6&amp;number=3.2&amp;sourceID=14","3.2")</f>
        <v>3.2</v>
      </c>
      <c r="G9066" s="4" t="str">
        <f>HYPERLINK("http://141.218.60.56/~jnz1568/getInfo.php?workbook=12_04.xlsx&amp;sheet=U0&amp;row=9066&amp;col=7&amp;number=0.00756&amp;sourceID=14","0.00756")</f>
        <v>0.00756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HYPERLINK("http://141.218.60.56/~jnz1568/getInfo.php?workbook=12_04.xlsx&amp;sheet=U0&amp;row=9067&amp;col=6&amp;number=3.3&amp;sourceID=14","3.3")</f>
        <v>3.3</v>
      </c>
      <c r="G9067" s="4" t="str">
        <f>HYPERLINK("http://141.218.60.56/~jnz1568/getInfo.php?workbook=12_04.xlsx&amp;sheet=U0&amp;row=9067&amp;col=7&amp;number=0.00755&amp;sourceID=14","0.00755")</f>
        <v>0.00755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HYPERLINK("http://141.218.60.56/~jnz1568/getInfo.php?workbook=12_04.xlsx&amp;sheet=U0&amp;row=9068&amp;col=6&amp;number=3.4&amp;sourceID=14","3.4")</f>
        <v>3.4</v>
      </c>
      <c r="G9068" s="4" t="str">
        <f>HYPERLINK("http://141.218.60.56/~jnz1568/getInfo.php?workbook=12_04.xlsx&amp;sheet=U0&amp;row=9068&amp;col=7&amp;number=0.00754&amp;sourceID=14","0.00754")</f>
        <v>0.00754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HYPERLINK("http://141.218.60.56/~jnz1568/getInfo.php?workbook=12_04.xlsx&amp;sheet=U0&amp;row=9069&amp;col=6&amp;number=3.5&amp;sourceID=14","3.5")</f>
        <v>3.5</v>
      </c>
      <c r="G9069" s="4" t="str">
        <f>HYPERLINK("http://141.218.60.56/~jnz1568/getInfo.php?workbook=12_04.xlsx&amp;sheet=U0&amp;row=9069&amp;col=7&amp;number=0.00753&amp;sourceID=14","0.00753")</f>
        <v>0.00753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HYPERLINK("http://141.218.60.56/~jnz1568/getInfo.php?workbook=12_04.xlsx&amp;sheet=U0&amp;row=9070&amp;col=6&amp;number=3.6&amp;sourceID=14","3.6")</f>
        <v>3.6</v>
      </c>
      <c r="G9070" s="4" t="str">
        <f>HYPERLINK("http://141.218.60.56/~jnz1568/getInfo.php?workbook=12_04.xlsx&amp;sheet=U0&amp;row=9070&amp;col=7&amp;number=0.00751&amp;sourceID=14","0.00751")</f>
        <v>0.00751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HYPERLINK("http://141.218.60.56/~jnz1568/getInfo.php?workbook=12_04.xlsx&amp;sheet=U0&amp;row=9071&amp;col=6&amp;number=3.7&amp;sourceID=14","3.7")</f>
        <v>3.7</v>
      </c>
      <c r="G9071" s="4" t="str">
        <f>HYPERLINK("http://141.218.60.56/~jnz1568/getInfo.php?workbook=12_04.xlsx&amp;sheet=U0&amp;row=9071&amp;col=7&amp;number=0.00749&amp;sourceID=14","0.00749")</f>
        <v>0.00749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HYPERLINK("http://141.218.60.56/~jnz1568/getInfo.php?workbook=12_04.xlsx&amp;sheet=U0&amp;row=9072&amp;col=6&amp;number=3.8&amp;sourceID=14","3.8")</f>
        <v>3.8</v>
      </c>
      <c r="G9072" s="4" t="str">
        <f>HYPERLINK("http://141.218.60.56/~jnz1568/getInfo.php?workbook=12_04.xlsx&amp;sheet=U0&amp;row=9072&amp;col=7&amp;number=0.00746&amp;sourceID=14","0.00746")</f>
        <v>0.00746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HYPERLINK("http://141.218.60.56/~jnz1568/getInfo.php?workbook=12_04.xlsx&amp;sheet=U0&amp;row=9073&amp;col=6&amp;number=3.9&amp;sourceID=14","3.9")</f>
        <v>3.9</v>
      </c>
      <c r="G9073" s="4" t="str">
        <f>HYPERLINK("http://141.218.60.56/~jnz1568/getInfo.php?workbook=12_04.xlsx&amp;sheet=U0&amp;row=9073&amp;col=7&amp;number=0.00743&amp;sourceID=14","0.00743")</f>
        <v>0.00743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HYPERLINK("http://141.218.60.56/~jnz1568/getInfo.php?workbook=12_04.xlsx&amp;sheet=U0&amp;row=9074&amp;col=6&amp;number=4&amp;sourceID=14","4")</f>
        <v>4</v>
      </c>
      <c r="G9074" s="4" t="str">
        <f>HYPERLINK("http://141.218.60.56/~jnz1568/getInfo.php?workbook=12_04.xlsx&amp;sheet=U0&amp;row=9074&amp;col=7&amp;number=0.00738&amp;sourceID=14","0.00738")</f>
        <v>0.00738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HYPERLINK("http://141.218.60.56/~jnz1568/getInfo.php?workbook=12_04.xlsx&amp;sheet=U0&amp;row=9075&amp;col=6&amp;number=4.1&amp;sourceID=14","4.1")</f>
        <v>4.1</v>
      </c>
      <c r="G9075" s="4" t="str">
        <f>HYPERLINK("http://141.218.60.56/~jnz1568/getInfo.php?workbook=12_04.xlsx&amp;sheet=U0&amp;row=9075&amp;col=7&amp;number=0.00733&amp;sourceID=14","0.00733")</f>
        <v>0.00733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HYPERLINK("http://141.218.60.56/~jnz1568/getInfo.php?workbook=12_04.xlsx&amp;sheet=U0&amp;row=9076&amp;col=6&amp;number=4.2&amp;sourceID=14","4.2")</f>
        <v>4.2</v>
      </c>
      <c r="G9076" s="4" t="str">
        <f>HYPERLINK("http://141.218.60.56/~jnz1568/getInfo.php?workbook=12_04.xlsx&amp;sheet=U0&amp;row=9076&amp;col=7&amp;number=0.00726&amp;sourceID=14","0.00726")</f>
        <v>0.00726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HYPERLINK("http://141.218.60.56/~jnz1568/getInfo.php?workbook=12_04.xlsx&amp;sheet=U0&amp;row=9077&amp;col=6&amp;number=4.3&amp;sourceID=14","4.3")</f>
        <v>4.3</v>
      </c>
      <c r="G9077" s="4" t="str">
        <f>HYPERLINK("http://141.218.60.56/~jnz1568/getInfo.php?workbook=12_04.xlsx&amp;sheet=U0&amp;row=9077&amp;col=7&amp;number=0.00718&amp;sourceID=14","0.00718")</f>
        <v>0.00718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HYPERLINK("http://141.218.60.56/~jnz1568/getInfo.php?workbook=12_04.xlsx&amp;sheet=U0&amp;row=9078&amp;col=6&amp;number=4.4&amp;sourceID=14","4.4")</f>
        <v>4.4</v>
      </c>
      <c r="G9078" s="4" t="str">
        <f>HYPERLINK("http://141.218.60.56/~jnz1568/getInfo.php?workbook=12_04.xlsx&amp;sheet=U0&amp;row=9078&amp;col=7&amp;number=0.00708&amp;sourceID=14","0.00708")</f>
        <v>0.00708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HYPERLINK("http://141.218.60.56/~jnz1568/getInfo.php?workbook=12_04.xlsx&amp;sheet=U0&amp;row=9079&amp;col=6&amp;number=4.5&amp;sourceID=14","4.5")</f>
        <v>4.5</v>
      </c>
      <c r="G9079" s="4" t="str">
        <f>HYPERLINK("http://141.218.60.56/~jnz1568/getInfo.php?workbook=12_04.xlsx&amp;sheet=U0&amp;row=9079&amp;col=7&amp;number=0.00695&amp;sourceID=14","0.00695")</f>
        <v>0.00695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HYPERLINK("http://141.218.60.56/~jnz1568/getInfo.php?workbook=12_04.xlsx&amp;sheet=U0&amp;row=9080&amp;col=6&amp;number=4.6&amp;sourceID=14","4.6")</f>
        <v>4.6</v>
      </c>
      <c r="G9080" s="4" t="str">
        <f>HYPERLINK("http://141.218.60.56/~jnz1568/getInfo.php?workbook=12_04.xlsx&amp;sheet=U0&amp;row=9080&amp;col=7&amp;number=0.00679&amp;sourceID=14","0.00679")</f>
        <v>0.00679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HYPERLINK("http://141.218.60.56/~jnz1568/getInfo.php?workbook=12_04.xlsx&amp;sheet=U0&amp;row=9081&amp;col=6&amp;number=4.7&amp;sourceID=14","4.7")</f>
        <v>4.7</v>
      </c>
      <c r="G9081" s="4" t="str">
        <f>HYPERLINK("http://141.218.60.56/~jnz1568/getInfo.php?workbook=12_04.xlsx&amp;sheet=U0&amp;row=9081&amp;col=7&amp;number=0.0066&amp;sourceID=14","0.0066")</f>
        <v>0.0066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HYPERLINK("http://141.218.60.56/~jnz1568/getInfo.php?workbook=12_04.xlsx&amp;sheet=U0&amp;row=9082&amp;col=6&amp;number=4.8&amp;sourceID=14","4.8")</f>
        <v>4.8</v>
      </c>
      <c r="G9082" s="4" t="str">
        <f>HYPERLINK("http://141.218.60.56/~jnz1568/getInfo.php?workbook=12_04.xlsx&amp;sheet=U0&amp;row=9082&amp;col=7&amp;number=0.00636&amp;sourceID=14","0.00636")</f>
        <v>0.00636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HYPERLINK("http://141.218.60.56/~jnz1568/getInfo.php?workbook=12_04.xlsx&amp;sheet=U0&amp;row=9083&amp;col=6&amp;number=4.9&amp;sourceID=14","4.9")</f>
        <v>4.9</v>
      </c>
      <c r="G9083" s="4" t="str">
        <f>HYPERLINK("http://141.218.60.56/~jnz1568/getInfo.php?workbook=12_04.xlsx&amp;sheet=U0&amp;row=9083&amp;col=7&amp;number=0.0061&amp;sourceID=14","0.0061")</f>
        <v>0.0061</v>
      </c>
    </row>
    <row r="9084" spans="1:7">
      <c r="A9084" s="3">
        <v>12</v>
      </c>
      <c r="B9084" s="3">
        <v>4</v>
      </c>
      <c r="C9084" s="3">
        <v>5</v>
      </c>
      <c r="D9084" s="3">
        <v>78</v>
      </c>
      <c r="E9084" s="3">
        <v>1</v>
      </c>
      <c r="F9084" s="4" t="str">
        <f>HYPERLINK("http://141.218.60.56/~jnz1568/getInfo.php?workbook=12_04.xlsx&amp;sheet=U0&amp;row=9084&amp;col=6&amp;number=3&amp;sourceID=14","3")</f>
        <v>3</v>
      </c>
      <c r="G9084" s="4" t="str">
        <f>HYPERLINK("http://141.218.60.56/~jnz1568/getInfo.php?workbook=12_04.xlsx&amp;sheet=U0&amp;row=9084&amp;col=7&amp;number=0.00196&amp;sourceID=14","0.00196")</f>
        <v>0.00196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HYPERLINK("http://141.218.60.56/~jnz1568/getInfo.php?workbook=12_04.xlsx&amp;sheet=U0&amp;row=9085&amp;col=6&amp;number=3.1&amp;sourceID=14","3.1")</f>
        <v>3.1</v>
      </c>
      <c r="G9085" s="4" t="str">
        <f>HYPERLINK("http://141.218.60.56/~jnz1568/getInfo.php?workbook=12_04.xlsx&amp;sheet=U0&amp;row=9085&amp;col=7&amp;number=0.00196&amp;sourceID=14","0.00196")</f>
        <v>0.00196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HYPERLINK("http://141.218.60.56/~jnz1568/getInfo.php?workbook=12_04.xlsx&amp;sheet=U0&amp;row=9086&amp;col=6&amp;number=3.2&amp;sourceID=14","3.2")</f>
        <v>3.2</v>
      </c>
      <c r="G9086" s="4" t="str">
        <f>HYPERLINK("http://141.218.60.56/~jnz1568/getInfo.php?workbook=12_04.xlsx&amp;sheet=U0&amp;row=9086&amp;col=7&amp;number=0.00196&amp;sourceID=14","0.00196")</f>
        <v>0.00196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HYPERLINK("http://141.218.60.56/~jnz1568/getInfo.php?workbook=12_04.xlsx&amp;sheet=U0&amp;row=9087&amp;col=6&amp;number=3.3&amp;sourceID=14","3.3")</f>
        <v>3.3</v>
      </c>
      <c r="G9087" s="4" t="str">
        <f>HYPERLINK("http://141.218.60.56/~jnz1568/getInfo.php?workbook=12_04.xlsx&amp;sheet=U0&amp;row=9087&amp;col=7&amp;number=0.00195&amp;sourceID=14","0.00195")</f>
        <v>0.00195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HYPERLINK("http://141.218.60.56/~jnz1568/getInfo.php?workbook=12_04.xlsx&amp;sheet=U0&amp;row=9088&amp;col=6&amp;number=3.4&amp;sourceID=14","3.4")</f>
        <v>3.4</v>
      </c>
      <c r="G9088" s="4" t="str">
        <f>HYPERLINK("http://141.218.60.56/~jnz1568/getInfo.php?workbook=12_04.xlsx&amp;sheet=U0&amp;row=9088&amp;col=7&amp;number=0.00195&amp;sourceID=14","0.00195")</f>
        <v>0.00195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HYPERLINK("http://141.218.60.56/~jnz1568/getInfo.php?workbook=12_04.xlsx&amp;sheet=U0&amp;row=9089&amp;col=6&amp;number=3.5&amp;sourceID=14","3.5")</f>
        <v>3.5</v>
      </c>
      <c r="G9089" s="4" t="str">
        <f>HYPERLINK("http://141.218.60.56/~jnz1568/getInfo.php?workbook=12_04.xlsx&amp;sheet=U0&amp;row=9089&amp;col=7&amp;number=0.00195&amp;sourceID=14","0.00195")</f>
        <v>0.00195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HYPERLINK("http://141.218.60.56/~jnz1568/getInfo.php?workbook=12_04.xlsx&amp;sheet=U0&amp;row=9090&amp;col=6&amp;number=3.6&amp;sourceID=14","3.6")</f>
        <v>3.6</v>
      </c>
      <c r="G9090" s="4" t="str">
        <f>HYPERLINK("http://141.218.60.56/~jnz1568/getInfo.php?workbook=12_04.xlsx&amp;sheet=U0&amp;row=9090&amp;col=7&amp;number=0.00195&amp;sourceID=14","0.00195")</f>
        <v>0.00195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HYPERLINK("http://141.218.60.56/~jnz1568/getInfo.php?workbook=12_04.xlsx&amp;sheet=U0&amp;row=9091&amp;col=6&amp;number=3.7&amp;sourceID=14","3.7")</f>
        <v>3.7</v>
      </c>
      <c r="G9091" s="4" t="str">
        <f>HYPERLINK("http://141.218.60.56/~jnz1568/getInfo.php?workbook=12_04.xlsx&amp;sheet=U0&amp;row=9091&amp;col=7&amp;number=0.00195&amp;sourceID=14","0.00195")</f>
        <v>0.00195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HYPERLINK("http://141.218.60.56/~jnz1568/getInfo.php?workbook=12_04.xlsx&amp;sheet=U0&amp;row=9092&amp;col=6&amp;number=3.8&amp;sourceID=14","3.8")</f>
        <v>3.8</v>
      </c>
      <c r="G9092" s="4" t="str">
        <f>HYPERLINK("http://141.218.60.56/~jnz1568/getInfo.php?workbook=12_04.xlsx&amp;sheet=U0&amp;row=9092&amp;col=7&amp;number=0.00194&amp;sourceID=14","0.00194")</f>
        <v>0.00194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HYPERLINK("http://141.218.60.56/~jnz1568/getInfo.php?workbook=12_04.xlsx&amp;sheet=U0&amp;row=9093&amp;col=6&amp;number=3.9&amp;sourceID=14","3.9")</f>
        <v>3.9</v>
      </c>
      <c r="G9093" s="4" t="str">
        <f>HYPERLINK("http://141.218.60.56/~jnz1568/getInfo.php?workbook=12_04.xlsx&amp;sheet=U0&amp;row=9093&amp;col=7&amp;number=0.00194&amp;sourceID=14","0.00194")</f>
        <v>0.00194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HYPERLINK("http://141.218.60.56/~jnz1568/getInfo.php?workbook=12_04.xlsx&amp;sheet=U0&amp;row=9094&amp;col=6&amp;number=4&amp;sourceID=14","4")</f>
        <v>4</v>
      </c>
      <c r="G9094" s="4" t="str">
        <f>HYPERLINK("http://141.218.60.56/~jnz1568/getInfo.php?workbook=12_04.xlsx&amp;sheet=U0&amp;row=9094&amp;col=7&amp;number=0.00193&amp;sourceID=14","0.00193")</f>
        <v>0.00193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HYPERLINK("http://141.218.60.56/~jnz1568/getInfo.php?workbook=12_04.xlsx&amp;sheet=U0&amp;row=9095&amp;col=6&amp;number=4.1&amp;sourceID=14","4.1")</f>
        <v>4.1</v>
      </c>
      <c r="G9095" s="4" t="str">
        <f>HYPERLINK("http://141.218.60.56/~jnz1568/getInfo.php?workbook=12_04.xlsx&amp;sheet=U0&amp;row=9095&amp;col=7&amp;number=0.00193&amp;sourceID=14","0.00193")</f>
        <v>0.00193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HYPERLINK("http://141.218.60.56/~jnz1568/getInfo.php?workbook=12_04.xlsx&amp;sheet=U0&amp;row=9096&amp;col=6&amp;number=4.2&amp;sourceID=14","4.2")</f>
        <v>4.2</v>
      </c>
      <c r="G9096" s="4" t="str">
        <f>HYPERLINK("http://141.218.60.56/~jnz1568/getInfo.php?workbook=12_04.xlsx&amp;sheet=U0&amp;row=9096&amp;col=7&amp;number=0.00192&amp;sourceID=14","0.00192")</f>
        <v>0.00192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HYPERLINK("http://141.218.60.56/~jnz1568/getInfo.php?workbook=12_04.xlsx&amp;sheet=U0&amp;row=9097&amp;col=6&amp;number=4.3&amp;sourceID=14","4.3")</f>
        <v>4.3</v>
      </c>
      <c r="G9097" s="4" t="str">
        <f>HYPERLINK("http://141.218.60.56/~jnz1568/getInfo.php?workbook=12_04.xlsx&amp;sheet=U0&amp;row=9097&amp;col=7&amp;number=0.00191&amp;sourceID=14","0.00191")</f>
        <v>0.00191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HYPERLINK("http://141.218.60.56/~jnz1568/getInfo.php?workbook=12_04.xlsx&amp;sheet=U0&amp;row=9098&amp;col=6&amp;number=4.4&amp;sourceID=14","4.4")</f>
        <v>4.4</v>
      </c>
      <c r="G9098" s="4" t="str">
        <f>HYPERLINK("http://141.218.60.56/~jnz1568/getInfo.php?workbook=12_04.xlsx&amp;sheet=U0&amp;row=9098&amp;col=7&amp;number=0.0019&amp;sourceID=14","0.0019")</f>
        <v>0.0019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HYPERLINK("http://141.218.60.56/~jnz1568/getInfo.php?workbook=12_04.xlsx&amp;sheet=U0&amp;row=9099&amp;col=6&amp;number=4.5&amp;sourceID=14","4.5")</f>
        <v>4.5</v>
      </c>
      <c r="G9099" s="4" t="str">
        <f>HYPERLINK("http://141.218.60.56/~jnz1568/getInfo.php?workbook=12_04.xlsx&amp;sheet=U0&amp;row=9099&amp;col=7&amp;number=0.00188&amp;sourceID=14","0.00188")</f>
        <v>0.00188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HYPERLINK("http://141.218.60.56/~jnz1568/getInfo.php?workbook=12_04.xlsx&amp;sheet=U0&amp;row=9100&amp;col=6&amp;number=4.6&amp;sourceID=14","4.6")</f>
        <v>4.6</v>
      </c>
      <c r="G9100" s="4" t="str">
        <f>HYPERLINK("http://141.218.60.56/~jnz1568/getInfo.php?workbook=12_04.xlsx&amp;sheet=U0&amp;row=9100&amp;col=7&amp;number=0.00186&amp;sourceID=14","0.00186")</f>
        <v>0.00186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HYPERLINK("http://141.218.60.56/~jnz1568/getInfo.php?workbook=12_04.xlsx&amp;sheet=U0&amp;row=9101&amp;col=6&amp;number=4.7&amp;sourceID=14","4.7")</f>
        <v>4.7</v>
      </c>
      <c r="G9101" s="4" t="str">
        <f>HYPERLINK("http://141.218.60.56/~jnz1568/getInfo.php?workbook=12_04.xlsx&amp;sheet=U0&amp;row=9101&amp;col=7&amp;number=0.00184&amp;sourceID=14","0.00184")</f>
        <v>0.00184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HYPERLINK("http://141.218.60.56/~jnz1568/getInfo.php?workbook=12_04.xlsx&amp;sheet=U0&amp;row=9102&amp;col=6&amp;number=4.8&amp;sourceID=14","4.8")</f>
        <v>4.8</v>
      </c>
      <c r="G9102" s="4" t="str">
        <f>HYPERLINK("http://141.218.60.56/~jnz1568/getInfo.php?workbook=12_04.xlsx&amp;sheet=U0&amp;row=9102&amp;col=7&amp;number=0.00181&amp;sourceID=14","0.00181")</f>
        <v>0.00181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HYPERLINK("http://141.218.60.56/~jnz1568/getInfo.php?workbook=12_04.xlsx&amp;sheet=U0&amp;row=9103&amp;col=6&amp;number=4.9&amp;sourceID=14","4.9")</f>
        <v>4.9</v>
      </c>
      <c r="G9103" s="4" t="str">
        <f>HYPERLINK("http://141.218.60.56/~jnz1568/getInfo.php?workbook=12_04.xlsx&amp;sheet=U0&amp;row=9103&amp;col=7&amp;number=0.00178&amp;sourceID=14","0.00178")</f>
        <v>0.00178</v>
      </c>
    </row>
    <row r="9104" spans="1:7">
      <c r="A9104" s="3">
        <v>12</v>
      </c>
      <c r="B9104" s="3">
        <v>4</v>
      </c>
      <c r="C9104" s="3">
        <v>5</v>
      </c>
      <c r="D9104" s="3">
        <v>79</v>
      </c>
      <c r="E9104" s="3">
        <v>1</v>
      </c>
      <c r="F9104" s="4" t="str">
        <f>HYPERLINK("http://141.218.60.56/~jnz1568/getInfo.php?workbook=12_04.xlsx&amp;sheet=U0&amp;row=9104&amp;col=6&amp;number=3&amp;sourceID=14","3")</f>
        <v>3</v>
      </c>
      <c r="G9104" s="4" t="str">
        <f>HYPERLINK("http://141.218.60.56/~jnz1568/getInfo.php?workbook=12_04.xlsx&amp;sheet=U0&amp;row=9104&amp;col=7&amp;number=0.00383&amp;sourceID=14","0.00383")</f>
        <v>0.00383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HYPERLINK("http://141.218.60.56/~jnz1568/getInfo.php?workbook=12_04.xlsx&amp;sheet=U0&amp;row=9105&amp;col=6&amp;number=3.1&amp;sourceID=14","3.1")</f>
        <v>3.1</v>
      </c>
      <c r="G9105" s="4" t="str">
        <f>HYPERLINK("http://141.218.60.56/~jnz1568/getInfo.php?workbook=12_04.xlsx&amp;sheet=U0&amp;row=9105&amp;col=7&amp;number=0.00383&amp;sourceID=14","0.00383")</f>
        <v>0.00383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HYPERLINK("http://141.218.60.56/~jnz1568/getInfo.php?workbook=12_04.xlsx&amp;sheet=U0&amp;row=9106&amp;col=6&amp;number=3.2&amp;sourceID=14","3.2")</f>
        <v>3.2</v>
      </c>
      <c r="G9106" s="4" t="str">
        <f>HYPERLINK("http://141.218.60.56/~jnz1568/getInfo.php?workbook=12_04.xlsx&amp;sheet=U0&amp;row=9106&amp;col=7&amp;number=0.00382&amp;sourceID=14","0.00382")</f>
        <v>0.00382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HYPERLINK("http://141.218.60.56/~jnz1568/getInfo.php?workbook=12_04.xlsx&amp;sheet=U0&amp;row=9107&amp;col=6&amp;number=3.3&amp;sourceID=14","3.3")</f>
        <v>3.3</v>
      </c>
      <c r="G9107" s="4" t="str">
        <f>HYPERLINK("http://141.218.60.56/~jnz1568/getInfo.php?workbook=12_04.xlsx&amp;sheet=U0&amp;row=9107&amp;col=7&amp;number=0.00382&amp;sourceID=14","0.00382")</f>
        <v>0.00382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HYPERLINK("http://141.218.60.56/~jnz1568/getInfo.php?workbook=12_04.xlsx&amp;sheet=U0&amp;row=9108&amp;col=6&amp;number=3.4&amp;sourceID=14","3.4")</f>
        <v>3.4</v>
      </c>
      <c r="G9108" s="4" t="str">
        <f>HYPERLINK("http://141.218.60.56/~jnz1568/getInfo.php?workbook=12_04.xlsx&amp;sheet=U0&amp;row=9108&amp;col=7&amp;number=0.00381&amp;sourceID=14","0.00381")</f>
        <v>0.00381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HYPERLINK("http://141.218.60.56/~jnz1568/getInfo.php?workbook=12_04.xlsx&amp;sheet=U0&amp;row=9109&amp;col=6&amp;number=3.5&amp;sourceID=14","3.5")</f>
        <v>3.5</v>
      </c>
      <c r="G9109" s="4" t="str">
        <f>HYPERLINK("http://141.218.60.56/~jnz1568/getInfo.php?workbook=12_04.xlsx&amp;sheet=U0&amp;row=9109&amp;col=7&amp;number=0.0038&amp;sourceID=14","0.0038")</f>
        <v>0.0038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HYPERLINK("http://141.218.60.56/~jnz1568/getInfo.php?workbook=12_04.xlsx&amp;sheet=U0&amp;row=9110&amp;col=6&amp;number=3.6&amp;sourceID=14","3.6")</f>
        <v>3.6</v>
      </c>
      <c r="G9110" s="4" t="str">
        <f>HYPERLINK("http://141.218.60.56/~jnz1568/getInfo.php?workbook=12_04.xlsx&amp;sheet=U0&amp;row=9110&amp;col=7&amp;number=0.00379&amp;sourceID=14","0.00379")</f>
        <v>0.00379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HYPERLINK("http://141.218.60.56/~jnz1568/getInfo.php?workbook=12_04.xlsx&amp;sheet=U0&amp;row=9111&amp;col=6&amp;number=3.7&amp;sourceID=14","3.7")</f>
        <v>3.7</v>
      </c>
      <c r="G9111" s="4" t="str">
        <f>HYPERLINK("http://141.218.60.56/~jnz1568/getInfo.php?workbook=12_04.xlsx&amp;sheet=U0&amp;row=9111&amp;col=7&amp;number=0.00378&amp;sourceID=14","0.00378")</f>
        <v>0.00378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HYPERLINK("http://141.218.60.56/~jnz1568/getInfo.php?workbook=12_04.xlsx&amp;sheet=U0&amp;row=9112&amp;col=6&amp;number=3.8&amp;sourceID=14","3.8")</f>
        <v>3.8</v>
      </c>
      <c r="G9112" s="4" t="str">
        <f>HYPERLINK("http://141.218.60.56/~jnz1568/getInfo.php?workbook=12_04.xlsx&amp;sheet=U0&amp;row=9112&amp;col=7&amp;number=0.00377&amp;sourceID=14","0.00377")</f>
        <v>0.00377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HYPERLINK("http://141.218.60.56/~jnz1568/getInfo.php?workbook=12_04.xlsx&amp;sheet=U0&amp;row=9113&amp;col=6&amp;number=3.9&amp;sourceID=14","3.9")</f>
        <v>3.9</v>
      </c>
      <c r="G9113" s="4" t="str">
        <f>HYPERLINK("http://141.218.60.56/~jnz1568/getInfo.php?workbook=12_04.xlsx&amp;sheet=U0&amp;row=9113&amp;col=7&amp;number=0.00375&amp;sourceID=14","0.00375")</f>
        <v>0.00375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HYPERLINK("http://141.218.60.56/~jnz1568/getInfo.php?workbook=12_04.xlsx&amp;sheet=U0&amp;row=9114&amp;col=6&amp;number=4&amp;sourceID=14","4")</f>
        <v>4</v>
      </c>
      <c r="G9114" s="4" t="str">
        <f>HYPERLINK("http://141.218.60.56/~jnz1568/getInfo.php?workbook=12_04.xlsx&amp;sheet=U0&amp;row=9114&amp;col=7&amp;number=0.00372&amp;sourceID=14","0.00372")</f>
        <v>0.00372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HYPERLINK("http://141.218.60.56/~jnz1568/getInfo.php?workbook=12_04.xlsx&amp;sheet=U0&amp;row=9115&amp;col=6&amp;number=4.1&amp;sourceID=14","4.1")</f>
        <v>4.1</v>
      </c>
      <c r="G9115" s="4" t="str">
        <f>HYPERLINK("http://141.218.60.56/~jnz1568/getInfo.php?workbook=12_04.xlsx&amp;sheet=U0&amp;row=9115&amp;col=7&amp;number=0.0037&amp;sourceID=14","0.0037")</f>
        <v>0.0037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HYPERLINK("http://141.218.60.56/~jnz1568/getInfo.php?workbook=12_04.xlsx&amp;sheet=U0&amp;row=9116&amp;col=6&amp;number=4.2&amp;sourceID=14","4.2")</f>
        <v>4.2</v>
      </c>
      <c r="G9116" s="4" t="str">
        <f>HYPERLINK("http://141.218.60.56/~jnz1568/getInfo.php?workbook=12_04.xlsx&amp;sheet=U0&amp;row=9116&amp;col=7&amp;number=0.00366&amp;sourceID=14","0.00366")</f>
        <v>0.00366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HYPERLINK("http://141.218.60.56/~jnz1568/getInfo.php?workbook=12_04.xlsx&amp;sheet=U0&amp;row=9117&amp;col=6&amp;number=4.3&amp;sourceID=14","4.3")</f>
        <v>4.3</v>
      </c>
      <c r="G9117" s="4" t="str">
        <f>HYPERLINK("http://141.218.60.56/~jnz1568/getInfo.php?workbook=12_04.xlsx&amp;sheet=U0&amp;row=9117&amp;col=7&amp;number=0.00361&amp;sourceID=14","0.00361")</f>
        <v>0.00361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HYPERLINK("http://141.218.60.56/~jnz1568/getInfo.php?workbook=12_04.xlsx&amp;sheet=U0&amp;row=9118&amp;col=6&amp;number=4.4&amp;sourceID=14","4.4")</f>
        <v>4.4</v>
      </c>
      <c r="G9118" s="4" t="str">
        <f>HYPERLINK("http://141.218.60.56/~jnz1568/getInfo.php?workbook=12_04.xlsx&amp;sheet=U0&amp;row=9118&amp;col=7&amp;number=0.00356&amp;sourceID=14","0.00356")</f>
        <v>0.00356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HYPERLINK("http://141.218.60.56/~jnz1568/getInfo.php?workbook=12_04.xlsx&amp;sheet=U0&amp;row=9119&amp;col=6&amp;number=4.5&amp;sourceID=14","4.5")</f>
        <v>4.5</v>
      </c>
      <c r="G9119" s="4" t="str">
        <f>HYPERLINK("http://141.218.60.56/~jnz1568/getInfo.php?workbook=12_04.xlsx&amp;sheet=U0&amp;row=9119&amp;col=7&amp;number=0.0035&amp;sourceID=14","0.0035")</f>
        <v>0.0035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HYPERLINK("http://141.218.60.56/~jnz1568/getInfo.php?workbook=12_04.xlsx&amp;sheet=U0&amp;row=9120&amp;col=6&amp;number=4.6&amp;sourceID=14","4.6")</f>
        <v>4.6</v>
      </c>
      <c r="G9120" s="4" t="str">
        <f>HYPERLINK("http://141.218.60.56/~jnz1568/getInfo.php?workbook=12_04.xlsx&amp;sheet=U0&amp;row=9120&amp;col=7&amp;number=0.00342&amp;sourceID=14","0.00342")</f>
        <v>0.00342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HYPERLINK("http://141.218.60.56/~jnz1568/getInfo.php?workbook=12_04.xlsx&amp;sheet=U0&amp;row=9121&amp;col=6&amp;number=4.7&amp;sourceID=14","4.7")</f>
        <v>4.7</v>
      </c>
      <c r="G9121" s="4" t="str">
        <f>HYPERLINK("http://141.218.60.56/~jnz1568/getInfo.php?workbook=12_04.xlsx&amp;sheet=U0&amp;row=9121&amp;col=7&amp;number=0.00333&amp;sourceID=14","0.00333")</f>
        <v>0.00333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HYPERLINK("http://141.218.60.56/~jnz1568/getInfo.php?workbook=12_04.xlsx&amp;sheet=U0&amp;row=9122&amp;col=6&amp;number=4.8&amp;sourceID=14","4.8")</f>
        <v>4.8</v>
      </c>
      <c r="G9122" s="4" t="str">
        <f>HYPERLINK("http://141.218.60.56/~jnz1568/getInfo.php?workbook=12_04.xlsx&amp;sheet=U0&amp;row=9122&amp;col=7&amp;number=0.00323&amp;sourceID=14","0.00323")</f>
        <v>0.00323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HYPERLINK("http://141.218.60.56/~jnz1568/getInfo.php?workbook=12_04.xlsx&amp;sheet=U0&amp;row=9123&amp;col=6&amp;number=4.9&amp;sourceID=14","4.9")</f>
        <v>4.9</v>
      </c>
      <c r="G9123" s="4" t="str">
        <f>HYPERLINK("http://141.218.60.56/~jnz1568/getInfo.php?workbook=12_04.xlsx&amp;sheet=U0&amp;row=9123&amp;col=7&amp;number=0.00314&amp;sourceID=14","0.00314")</f>
        <v>0.00314</v>
      </c>
    </row>
    <row r="9124" spans="1:7">
      <c r="A9124" s="3">
        <v>12</v>
      </c>
      <c r="B9124" s="3">
        <v>4</v>
      </c>
      <c r="C9124" s="3">
        <v>5</v>
      </c>
      <c r="D9124" s="3">
        <v>80</v>
      </c>
      <c r="E9124" s="3">
        <v>1</v>
      </c>
      <c r="F9124" s="4" t="str">
        <f>HYPERLINK("http://141.218.60.56/~jnz1568/getInfo.php?workbook=12_04.xlsx&amp;sheet=U0&amp;row=9124&amp;col=6&amp;number=3&amp;sourceID=14","3")</f>
        <v>3</v>
      </c>
      <c r="G9124" s="4" t="str">
        <f>HYPERLINK("http://141.218.60.56/~jnz1568/getInfo.php?workbook=12_04.xlsx&amp;sheet=U0&amp;row=9124&amp;col=7&amp;number=0.00337&amp;sourceID=14","0.00337")</f>
        <v>0.00337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HYPERLINK("http://141.218.60.56/~jnz1568/getInfo.php?workbook=12_04.xlsx&amp;sheet=U0&amp;row=9125&amp;col=6&amp;number=3.1&amp;sourceID=14","3.1")</f>
        <v>3.1</v>
      </c>
      <c r="G9125" s="4" t="str">
        <f>HYPERLINK("http://141.218.60.56/~jnz1568/getInfo.php?workbook=12_04.xlsx&amp;sheet=U0&amp;row=9125&amp;col=7&amp;number=0.00336&amp;sourceID=14","0.00336")</f>
        <v>0.00336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HYPERLINK("http://141.218.60.56/~jnz1568/getInfo.php?workbook=12_04.xlsx&amp;sheet=U0&amp;row=9126&amp;col=6&amp;number=3.2&amp;sourceID=14","3.2")</f>
        <v>3.2</v>
      </c>
      <c r="G9126" s="4" t="str">
        <f>HYPERLINK("http://141.218.60.56/~jnz1568/getInfo.php?workbook=12_04.xlsx&amp;sheet=U0&amp;row=9126&amp;col=7&amp;number=0.00336&amp;sourceID=14","0.00336")</f>
        <v>0.00336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HYPERLINK("http://141.218.60.56/~jnz1568/getInfo.php?workbook=12_04.xlsx&amp;sheet=U0&amp;row=9127&amp;col=6&amp;number=3.3&amp;sourceID=14","3.3")</f>
        <v>3.3</v>
      </c>
      <c r="G9127" s="4" t="str">
        <f>HYPERLINK("http://141.218.60.56/~jnz1568/getInfo.php?workbook=12_04.xlsx&amp;sheet=U0&amp;row=9127&amp;col=7&amp;number=0.00336&amp;sourceID=14","0.00336")</f>
        <v>0.00336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HYPERLINK("http://141.218.60.56/~jnz1568/getInfo.php?workbook=12_04.xlsx&amp;sheet=U0&amp;row=9128&amp;col=6&amp;number=3.4&amp;sourceID=14","3.4")</f>
        <v>3.4</v>
      </c>
      <c r="G9128" s="4" t="str">
        <f>HYPERLINK("http://141.218.60.56/~jnz1568/getInfo.php?workbook=12_04.xlsx&amp;sheet=U0&amp;row=9128&amp;col=7&amp;number=0.00336&amp;sourceID=14","0.00336")</f>
        <v>0.00336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HYPERLINK("http://141.218.60.56/~jnz1568/getInfo.php?workbook=12_04.xlsx&amp;sheet=U0&amp;row=9129&amp;col=6&amp;number=3.5&amp;sourceID=14","3.5")</f>
        <v>3.5</v>
      </c>
      <c r="G9129" s="4" t="str">
        <f>HYPERLINK("http://141.218.60.56/~jnz1568/getInfo.php?workbook=12_04.xlsx&amp;sheet=U0&amp;row=9129&amp;col=7&amp;number=0.00336&amp;sourceID=14","0.00336")</f>
        <v>0.00336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HYPERLINK("http://141.218.60.56/~jnz1568/getInfo.php?workbook=12_04.xlsx&amp;sheet=U0&amp;row=9130&amp;col=6&amp;number=3.6&amp;sourceID=14","3.6")</f>
        <v>3.6</v>
      </c>
      <c r="G9130" s="4" t="str">
        <f>HYPERLINK("http://141.218.60.56/~jnz1568/getInfo.php?workbook=12_04.xlsx&amp;sheet=U0&amp;row=9130&amp;col=7&amp;number=0.00336&amp;sourceID=14","0.00336")</f>
        <v>0.00336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HYPERLINK("http://141.218.60.56/~jnz1568/getInfo.php?workbook=12_04.xlsx&amp;sheet=U0&amp;row=9131&amp;col=6&amp;number=3.7&amp;sourceID=14","3.7")</f>
        <v>3.7</v>
      </c>
      <c r="G9131" s="4" t="str">
        <f>HYPERLINK("http://141.218.60.56/~jnz1568/getInfo.php?workbook=12_04.xlsx&amp;sheet=U0&amp;row=9131&amp;col=7&amp;number=0.00335&amp;sourceID=14","0.00335")</f>
        <v>0.00335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HYPERLINK("http://141.218.60.56/~jnz1568/getInfo.php?workbook=12_04.xlsx&amp;sheet=U0&amp;row=9132&amp;col=6&amp;number=3.8&amp;sourceID=14","3.8")</f>
        <v>3.8</v>
      </c>
      <c r="G9132" s="4" t="str">
        <f>HYPERLINK("http://141.218.60.56/~jnz1568/getInfo.php?workbook=12_04.xlsx&amp;sheet=U0&amp;row=9132&amp;col=7&amp;number=0.00335&amp;sourceID=14","0.00335")</f>
        <v>0.00335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HYPERLINK("http://141.218.60.56/~jnz1568/getInfo.php?workbook=12_04.xlsx&amp;sheet=U0&amp;row=9133&amp;col=6&amp;number=3.9&amp;sourceID=14","3.9")</f>
        <v>3.9</v>
      </c>
      <c r="G9133" s="4" t="str">
        <f>HYPERLINK("http://141.218.60.56/~jnz1568/getInfo.php?workbook=12_04.xlsx&amp;sheet=U0&amp;row=9133&amp;col=7&amp;number=0.00335&amp;sourceID=14","0.00335")</f>
        <v>0.00335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HYPERLINK("http://141.218.60.56/~jnz1568/getInfo.php?workbook=12_04.xlsx&amp;sheet=U0&amp;row=9134&amp;col=6&amp;number=4&amp;sourceID=14","4")</f>
        <v>4</v>
      </c>
      <c r="G9134" s="4" t="str">
        <f>HYPERLINK("http://141.218.60.56/~jnz1568/getInfo.php?workbook=12_04.xlsx&amp;sheet=U0&amp;row=9134&amp;col=7&amp;number=0.00334&amp;sourceID=14","0.00334")</f>
        <v>0.00334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HYPERLINK("http://141.218.60.56/~jnz1568/getInfo.php?workbook=12_04.xlsx&amp;sheet=U0&amp;row=9135&amp;col=6&amp;number=4.1&amp;sourceID=14","4.1")</f>
        <v>4.1</v>
      </c>
      <c r="G9135" s="4" t="str">
        <f>HYPERLINK("http://141.218.60.56/~jnz1568/getInfo.php?workbook=12_04.xlsx&amp;sheet=U0&amp;row=9135&amp;col=7&amp;number=0.00333&amp;sourceID=14","0.00333")</f>
        <v>0.00333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HYPERLINK("http://141.218.60.56/~jnz1568/getInfo.php?workbook=12_04.xlsx&amp;sheet=U0&amp;row=9136&amp;col=6&amp;number=4.2&amp;sourceID=14","4.2")</f>
        <v>4.2</v>
      </c>
      <c r="G9136" s="4" t="str">
        <f>HYPERLINK("http://141.218.60.56/~jnz1568/getInfo.php?workbook=12_04.xlsx&amp;sheet=U0&amp;row=9136&amp;col=7&amp;number=0.00333&amp;sourceID=14","0.00333")</f>
        <v>0.00333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HYPERLINK("http://141.218.60.56/~jnz1568/getInfo.php?workbook=12_04.xlsx&amp;sheet=U0&amp;row=9137&amp;col=6&amp;number=4.3&amp;sourceID=14","4.3")</f>
        <v>4.3</v>
      </c>
      <c r="G9137" s="4" t="str">
        <f>HYPERLINK("http://141.218.60.56/~jnz1568/getInfo.php?workbook=12_04.xlsx&amp;sheet=U0&amp;row=9137&amp;col=7&amp;number=0.00332&amp;sourceID=14","0.00332")</f>
        <v>0.00332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HYPERLINK("http://141.218.60.56/~jnz1568/getInfo.php?workbook=12_04.xlsx&amp;sheet=U0&amp;row=9138&amp;col=6&amp;number=4.4&amp;sourceID=14","4.4")</f>
        <v>4.4</v>
      </c>
      <c r="G9138" s="4" t="str">
        <f>HYPERLINK("http://141.218.60.56/~jnz1568/getInfo.php?workbook=12_04.xlsx&amp;sheet=U0&amp;row=9138&amp;col=7&amp;number=0.0033&amp;sourceID=14","0.0033")</f>
        <v>0.0033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HYPERLINK("http://141.218.60.56/~jnz1568/getInfo.php?workbook=12_04.xlsx&amp;sheet=U0&amp;row=9139&amp;col=6&amp;number=4.5&amp;sourceID=14","4.5")</f>
        <v>4.5</v>
      </c>
      <c r="G9139" s="4" t="str">
        <f>HYPERLINK("http://141.218.60.56/~jnz1568/getInfo.php?workbook=12_04.xlsx&amp;sheet=U0&amp;row=9139&amp;col=7&amp;number=0.00329&amp;sourceID=14","0.00329")</f>
        <v>0.00329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HYPERLINK("http://141.218.60.56/~jnz1568/getInfo.php?workbook=12_04.xlsx&amp;sheet=U0&amp;row=9140&amp;col=6&amp;number=4.6&amp;sourceID=14","4.6")</f>
        <v>4.6</v>
      </c>
      <c r="G9140" s="4" t="str">
        <f>HYPERLINK("http://141.218.60.56/~jnz1568/getInfo.php?workbook=12_04.xlsx&amp;sheet=U0&amp;row=9140&amp;col=7&amp;number=0.00327&amp;sourceID=14","0.00327")</f>
        <v>0.00327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HYPERLINK("http://141.218.60.56/~jnz1568/getInfo.php?workbook=12_04.xlsx&amp;sheet=U0&amp;row=9141&amp;col=6&amp;number=4.7&amp;sourceID=14","4.7")</f>
        <v>4.7</v>
      </c>
      <c r="G9141" s="4" t="str">
        <f>HYPERLINK("http://141.218.60.56/~jnz1568/getInfo.php?workbook=12_04.xlsx&amp;sheet=U0&amp;row=9141&amp;col=7&amp;number=0.00324&amp;sourceID=14","0.00324")</f>
        <v>0.00324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HYPERLINK("http://141.218.60.56/~jnz1568/getInfo.php?workbook=12_04.xlsx&amp;sheet=U0&amp;row=9142&amp;col=6&amp;number=4.8&amp;sourceID=14","4.8")</f>
        <v>4.8</v>
      </c>
      <c r="G9142" s="4" t="str">
        <f>HYPERLINK("http://141.218.60.56/~jnz1568/getInfo.php?workbook=12_04.xlsx&amp;sheet=U0&amp;row=9142&amp;col=7&amp;number=0.00322&amp;sourceID=14","0.00322")</f>
        <v>0.00322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HYPERLINK("http://141.218.60.56/~jnz1568/getInfo.php?workbook=12_04.xlsx&amp;sheet=U0&amp;row=9143&amp;col=6&amp;number=4.9&amp;sourceID=14","4.9")</f>
        <v>4.9</v>
      </c>
      <c r="G9143" s="4" t="str">
        <f>HYPERLINK("http://141.218.60.56/~jnz1568/getInfo.php?workbook=12_04.xlsx&amp;sheet=U0&amp;row=9143&amp;col=7&amp;number=0.00318&amp;sourceID=14","0.00318")</f>
        <v>0.00318</v>
      </c>
    </row>
    <row r="9144" spans="1:7">
      <c r="A9144" s="3">
        <v>12</v>
      </c>
      <c r="B9144" s="3">
        <v>4</v>
      </c>
      <c r="C9144" s="3">
        <v>5</v>
      </c>
      <c r="D9144" s="3">
        <v>81</v>
      </c>
      <c r="E9144" s="3">
        <v>1</v>
      </c>
      <c r="F9144" s="4" t="str">
        <f>HYPERLINK("http://141.218.60.56/~jnz1568/getInfo.php?workbook=12_04.xlsx&amp;sheet=U0&amp;row=9144&amp;col=6&amp;number=3&amp;sourceID=14","3")</f>
        <v>3</v>
      </c>
      <c r="G9144" s="4" t="str">
        <f>HYPERLINK("http://141.218.60.56/~jnz1568/getInfo.php?workbook=12_04.xlsx&amp;sheet=U0&amp;row=9144&amp;col=7&amp;number=0.0048&amp;sourceID=14","0.0048")</f>
        <v>0.0048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HYPERLINK("http://141.218.60.56/~jnz1568/getInfo.php?workbook=12_04.xlsx&amp;sheet=U0&amp;row=9145&amp;col=6&amp;number=3.1&amp;sourceID=14","3.1")</f>
        <v>3.1</v>
      </c>
      <c r="G9145" s="4" t="str">
        <f>HYPERLINK("http://141.218.60.56/~jnz1568/getInfo.php?workbook=12_04.xlsx&amp;sheet=U0&amp;row=9145&amp;col=7&amp;number=0.0048&amp;sourceID=14","0.0048")</f>
        <v>0.0048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HYPERLINK("http://141.218.60.56/~jnz1568/getInfo.php?workbook=12_04.xlsx&amp;sheet=U0&amp;row=9146&amp;col=6&amp;number=3.2&amp;sourceID=14","3.2")</f>
        <v>3.2</v>
      </c>
      <c r="G9146" s="4" t="str">
        <f>HYPERLINK("http://141.218.60.56/~jnz1568/getInfo.php?workbook=12_04.xlsx&amp;sheet=U0&amp;row=9146&amp;col=7&amp;number=0.00479&amp;sourceID=14","0.00479")</f>
        <v>0.00479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HYPERLINK("http://141.218.60.56/~jnz1568/getInfo.php?workbook=12_04.xlsx&amp;sheet=U0&amp;row=9147&amp;col=6&amp;number=3.3&amp;sourceID=14","3.3")</f>
        <v>3.3</v>
      </c>
      <c r="G9147" s="4" t="str">
        <f>HYPERLINK("http://141.218.60.56/~jnz1568/getInfo.php?workbook=12_04.xlsx&amp;sheet=U0&amp;row=9147&amp;col=7&amp;number=0.00479&amp;sourceID=14","0.00479")</f>
        <v>0.00479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HYPERLINK("http://141.218.60.56/~jnz1568/getInfo.php?workbook=12_04.xlsx&amp;sheet=U0&amp;row=9148&amp;col=6&amp;number=3.4&amp;sourceID=14","3.4")</f>
        <v>3.4</v>
      </c>
      <c r="G9148" s="4" t="str">
        <f>HYPERLINK("http://141.218.60.56/~jnz1568/getInfo.php?workbook=12_04.xlsx&amp;sheet=U0&amp;row=9148&amp;col=7&amp;number=0.00479&amp;sourceID=14","0.00479")</f>
        <v>0.00479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HYPERLINK("http://141.218.60.56/~jnz1568/getInfo.php?workbook=12_04.xlsx&amp;sheet=U0&amp;row=9149&amp;col=6&amp;number=3.5&amp;sourceID=14","3.5")</f>
        <v>3.5</v>
      </c>
      <c r="G9149" s="4" t="str">
        <f>HYPERLINK("http://141.218.60.56/~jnz1568/getInfo.php?workbook=12_04.xlsx&amp;sheet=U0&amp;row=9149&amp;col=7&amp;number=0.00478&amp;sourceID=14","0.00478")</f>
        <v>0.00478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HYPERLINK("http://141.218.60.56/~jnz1568/getInfo.php?workbook=12_04.xlsx&amp;sheet=U0&amp;row=9150&amp;col=6&amp;number=3.6&amp;sourceID=14","3.6")</f>
        <v>3.6</v>
      </c>
      <c r="G9150" s="4" t="str">
        <f>HYPERLINK("http://141.218.60.56/~jnz1568/getInfo.php?workbook=12_04.xlsx&amp;sheet=U0&amp;row=9150&amp;col=7&amp;number=0.00478&amp;sourceID=14","0.00478")</f>
        <v>0.00478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HYPERLINK("http://141.218.60.56/~jnz1568/getInfo.php?workbook=12_04.xlsx&amp;sheet=U0&amp;row=9151&amp;col=6&amp;number=3.7&amp;sourceID=14","3.7")</f>
        <v>3.7</v>
      </c>
      <c r="G9151" s="4" t="str">
        <f>HYPERLINK("http://141.218.60.56/~jnz1568/getInfo.php?workbook=12_04.xlsx&amp;sheet=U0&amp;row=9151&amp;col=7&amp;number=0.00477&amp;sourceID=14","0.00477")</f>
        <v>0.00477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HYPERLINK("http://141.218.60.56/~jnz1568/getInfo.php?workbook=12_04.xlsx&amp;sheet=U0&amp;row=9152&amp;col=6&amp;number=3.8&amp;sourceID=14","3.8")</f>
        <v>3.8</v>
      </c>
      <c r="G9152" s="4" t="str">
        <f>HYPERLINK("http://141.218.60.56/~jnz1568/getInfo.php?workbook=12_04.xlsx&amp;sheet=U0&amp;row=9152&amp;col=7&amp;number=0.00476&amp;sourceID=14","0.00476")</f>
        <v>0.00476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HYPERLINK("http://141.218.60.56/~jnz1568/getInfo.php?workbook=12_04.xlsx&amp;sheet=U0&amp;row=9153&amp;col=6&amp;number=3.9&amp;sourceID=14","3.9")</f>
        <v>3.9</v>
      </c>
      <c r="G9153" s="4" t="str">
        <f>HYPERLINK("http://141.218.60.56/~jnz1568/getInfo.php?workbook=12_04.xlsx&amp;sheet=U0&amp;row=9153&amp;col=7&amp;number=0.00474&amp;sourceID=14","0.00474")</f>
        <v>0.00474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HYPERLINK("http://141.218.60.56/~jnz1568/getInfo.php?workbook=12_04.xlsx&amp;sheet=U0&amp;row=9154&amp;col=6&amp;number=4&amp;sourceID=14","4")</f>
        <v>4</v>
      </c>
      <c r="G9154" s="4" t="str">
        <f>HYPERLINK("http://141.218.60.56/~jnz1568/getInfo.php?workbook=12_04.xlsx&amp;sheet=U0&amp;row=9154&amp;col=7&amp;number=0.00473&amp;sourceID=14","0.00473")</f>
        <v>0.00473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HYPERLINK("http://141.218.60.56/~jnz1568/getInfo.php?workbook=12_04.xlsx&amp;sheet=U0&amp;row=9155&amp;col=6&amp;number=4.1&amp;sourceID=14","4.1")</f>
        <v>4.1</v>
      </c>
      <c r="G9155" s="4" t="str">
        <f>HYPERLINK("http://141.218.60.56/~jnz1568/getInfo.php?workbook=12_04.xlsx&amp;sheet=U0&amp;row=9155&amp;col=7&amp;number=0.00471&amp;sourceID=14","0.00471")</f>
        <v>0.00471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HYPERLINK("http://141.218.60.56/~jnz1568/getInfo.php?workbook=12_04.xlsx&amp;sheet=U0&amp;row=9156&amp;col=6&amp;number=4.2&amp;sourceID=14","4.2")</f>
        <v>4.2</v>
      </c>
      <c r="G9156" s="4" t="str">
        <f>HYPERLINK("http://141.218.60.56/~jnz1568/getInfo.php?workbook=12_04.xlsx&amp;sheet=U0&amp;row=9156&amp;col=7&amp;number=0.00468&amp;sourceID=14","0.00468")</f>
        <v>0.00468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HYPERLINK("http://141.218.60.56/~jnz1568/getInfo.php?workbook=12_04.xlsx&amp;sheet=U0&amp;row=9157&amp;col=6&amp;number=4.3&amp;sourceID=14","4.3")</f>
        <v>4.3</v>
      </c>
      <c r="G9157" s="4" t="str">
        <f>HYPERLINK("http://141.218.60.56/~jnz1568/getInfo.php?workbook=12_04.xlsx&amp;sheet=U0&amp;row=9157&amp;col=7&amp;number=0.00465&amp;sourceID=14","0.00465")</f>
        <v>0.00465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HYPERLINK("http://141.218.60.56/~jnz1568/getInfo.php?workbook=12_04.xlsx&amp;sheet=U0&amp;row=9158&amp;col=6&amp;number=4.4&amp;sourceID=14","4.4")</f>
        <v>4.4</v>
      </c>
      <c r="G9158" s="4" t="str">
        <f>HYPERLINK("http://141.218.60.56/~jnz1568/getInfo.php?workbook=12_04.xlsx&amp;sheet=U0&amp;row=9158&amp;col=7&amp;number=0.00461&amp;sourceID=14","0.00461")</f>
        <v>0.00461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HYPERLINK("http://141.218.60.56/~jnz1568/getInfo.php?workbook=12_04.xlsx&amp;sheet=U0&amp;row=9159&amp;col=6&amp;number=4.5&amp;sourceID=14","4.5")</f>
        <v>4.5</v>
      </c>
      <c r="G9159" s="4" t="str">
        <f>HYPERLINK("http://141.218.60.56/~jnz1568/getInfo.php?workbook=12_04.xlsx&amp;sheet=U0&amp;row=9159&amp;col=7&amp;number=0.00457&amp;sourceID=14","0.00457")</f>
        <v>0.00457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HYPERLINK("http://141.218.60.56/~jnz1568/getInfo.php?workbook=12_04.xlsx&amp;sheet=U0&amp;row=9160&amp;col=6&amp;number=4.6&amp;sourceID=14","4.6")</f>
        <v>4.6</v>
      </c>
      <c r="G9160" s="4" t="str">
        <f>HYPERLINK("http://141.218.60.56/~jnz1568/getInfo.php?workbook=12_04.xlsx&amp;sheet=U0&amp;row=9160&amp;col=7&amp;number=0.00451&amp;sourceID=14","0.00451")</f>
        <v>0.00451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HYPERLINK("http://141.218.60.56/~jnz1568/getInfo.php?workbook=12_04.xlsx&amp;sheet=U0&amp;row=9161&amp;col=6&amp;number=4.7&amp;sourceID=14","4.7")</f>
        <v>4.7</v>
      </c>
      <c r="G9161" s="4" t="str">
        <f>HYPERLINK("http://141.218.60.56/~jnz1568/getInfo.php?workbook=12_04.xlsx&amp;sheet=U0&amp;row=9161&amp;col=7&amp;number=0.00443&amp;sourceID=14","0.00443")</f>
        <v>0.00443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HYPERLINK("http://141.218.60.56/~jnz1568/getInfo.php?workbook=12_04.xlsx&amp;sheet=U0&amp;row=9162&amp;col=6&amp;number=4.8&amp;sourceID=14","4.8")</f>
        <v>4.8</v>
      </c>
      <c r="G9162" s="4" t="str">
        <f>HYPERLINK("http://141.218.60.56/~jnz1568/getInfo.php?workbook=12_04.xlsx&amp;sheet=U0&amp;row=9162&amp;col=7&amp;number=0.00435&amp;sourceID=14","0.00435")</f>
        <v>0.00435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HYPERLINK("http://141.218.60.56/~jnz1568/getInfo.php?workbook=12_04.xlsx&amp;sheet=U0&amp;row=9163&amp;col=6&amp;number=4.9&amp;sourceID=14","4.9")</f>
        <v>4.9</v>
      </c>
      <c r="G9163" s="4" t="str">
        <f>HYPERLINK("http://141.218.60.56/~jnz1568/getInfo.php?workbook=12_04.xlsx&amp;sheet=U0&amp;row=9163&amp;col=7&amp;number=0.00425&amp;sourceID=14","0.00425")</f>
        <v>0.00425</v>
      </c>
    </row>
    <row r="9164" spans="1:7">
      <c r="A9164" s="3">
        <v>12</v>
      </c>
      <c r="B9164" s="3">
        <v>4</v>
      </c>
      <c r="C9164" s="3">
        <v>5</v>
      </c>
      <c r="D9164" s="3">
        <v>82</v>
      </c>
      <c r="E9164" s="3">
        <v>1</v>
      </c>
      <c r="F9164" s="4" t="str">
        <f>HYPERLINK("http://141.218.60.56/~jnz1568/getInfo.php?workbook=12_04.xlsx&amp;sheet=U0&amp;row=9164&amp;col=6&amp;number=3&amp;sourceID=14","3")</f>
        <v>3</v>
      </c>
      <c r="G9164" s="4" t="str">
        <f>HYPERLINK("http://141.218.60.56/~jnz1568/getInfo.php?workbook=12_04.xlsx&amp;sheet=U0&amp;row=9164&amp;col=7&amp;number=0.00141&amp;sourceID=14","0.00141")</f>
        <v>0.00141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HYPERLINK("http://141.218.60.56/~jnz1568/getInfo.php?workbook=12_04.xlsx&amp;sheet=U0&amp;row=9165&amp;col=6&amp;number=3.1&amp;sourceID=14","3.1")</f>
        <v>3.1</v>
      </c>
      <c r="G9165" s="4" t="str">
        <f>HYPERLINK("http://141.218.60.56/~jnz1568/getInfo.php?workbook=12_04.xlsx&amp;sheet=U0&amp;row=9165&amp;col=7&amp;number=0.00141&amp;sourceID=14","0.00141")</f>
        <v>0.00141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HYPERLINK("http://141.218.60.56/~jnz1568/getInfo.php?workbook=12_04.xlsx&amp;sheet=U0&amp;row=9166&amp;col=6&amp;number=3.2&amp;sourceID=14","3.2")</f>
        <v>3.2</v>
      </c>
      <c r="G9166" s="4" t="str">
        <f>HYPERLINK("http://141.218.60.56/~jnz1568/getInfo.php?workbook=12_04.xlsx&amp;sheet=U0&amp;row=9166&amp;col=7&amp;number=0.00141&amp;sourceID=14","0.00141")</f>
        <v>0.00141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HYPERLINK("http://141.218.60.56/~jnz1568/getInfo.php?workbook=12_04.xlsx&amp;sheet=U0&amp;row=9167&amp;col=6&amp;number=3.3&amp;sourceID=14","3.3")</f>
        <v>3.3</v>
      </c>
      <c r="G9167" s="4" t="str">
        <f>HYPERLINK("http://141.218.60.56/~jnz1568/getInfo.php?workbook=12_04.xlsx&amp;sheet=U0&amp;row=9167&amp;col=7&amp;number=0.00141&amp;sourceID=14","0.00141")</f>
        <v>0.00141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HYPERLINK("http://141.218.60.56/~jnz1568/getInfo.php?workbook=12_04.xlsx&amp;sheet=U0&amp;row=9168&amp;col=6&amp;number=3.4&amp;sourceID=14","3.4")</f>
        <v>3.4</v>
      </c>
      <c r="G9168" s="4" t="str">
        <f>HYPERLINK("http://141.218.60.56/~jnz1568/getInfo.php?workbook=12_04.xlsx&amp;sheet=U0&amp;row=9168&amp;col=7&amp;number=0.00141&amp;sourceID=14","0.00141")</f>
        <v>0.00141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HYPERLINK("http://141.218.60.56/~jnz1568/getInfo.php?workbook=12_04.xlsx&amp;sheet=U0&amp;row=9169&amp;col=6&amp;number=3.5&amp;sourceID=14","3.5")</f>
        <v>3.5</v>
      </c>
      <c r="G9169" s="4" t="str">
        <f>HYPERLINK("http://141.218.60.56/~jnz1568/getInfo.php?workbook=12_04.xlsx&amp;sheet=U0&amp;row=9169&amp;col=7&amp;number=0.00141&amp;sourceID=14","0.00141")</f>
        <v>0.00141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HYPERLINK("http://141.218.60.56/~jnz1568/getInfo.php?workbook=12_04.xlsx&amp;sheet=U0&amp;row=9170&amp;col=6&amp;number=3.6&amp;sourceID=14","3.6")</f>
        <v>3.6</v>
      </c>
      <c r="G9170" s="4" t="str">
        <f>HYPERLINK("http://141.218.60.56/~jnz1568/getInfo.php?workbook=12_04.xlsx&amp;sheet=U0&amp;row=9170&amp;col=7&amp;number=0.00141&amp;sourceID=14","0.00141")</f>
        <v>0.00141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HYPERLINK("http://141.218.60.56/~jnz1568/getInfo.php?workbook=12_04.xlsx&amp;sheet=U0&amp;row=9171&amp;col=6&amp;number=3.7&amp;sourceID=14","3.7")</f>
        <v>3.7</v>
      </c>
      <c r="G9171" s="4" t="str">
        <f>HYPERLINK("http://141.218.60.56/~jnz1568/getInfo.php?workbook=12_04.xlsx&amp;sheet=U0&amp;row=9171&amp;col=7&amp;number=0.00141&amp;sourceID=14","0.00141")</f>
        <v>0.00141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HYPERLINK("http://141.218.60.56/~jnz1568/getInfo.php?workbook=12_04.xlsx&amp;sheet=U0&amp;row=9172&amp;col=6&amp;number=3.8&amp;sourceID=14","3.8")</f>
        <v>3.8</v>
      </c>
      <c r="G9172" s="4" t="str">
        <f>HYPERLINK("http://141.218.60.56/~jnz1568/getInfo.php?workbook=12_04.xlsx&amp;sheet=U0&amp;row=9172&amp;col=7&amp;number=0.0014&amp;sourceID=14","0.0014")</f>
        <v>0.0014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HYPERLINK("http://141.218.60.56/~jnz1568/getInfo.php?workbook=12_04.xlsx&amp;sheet=U0&amp;row=9173&amp;col=6&amp;number=3.9&amp;sourceID=14","3.9")</f>
        <v>3.9</v>
      </c>
      <c r="G9173" s="4" t="str">
        <f>HYPERLINK("http://141.218.60.56/~jnz1568/getInfo.php?workbook=12_04.xlsx&amp;sheet=U0&amp;row=9173&amp;col=7&amp;number=0.0014&amp;sourceID=14","0.0014")</f>
        <v>0.0014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HYPERLINK("http://141.218.60.56/~jnz1568/getInfo.php?workbook=12_04.xlsx&amp;sheet=U0&amp;row=9174&amp;col=6&amp;number=4&amp;sourceID=14","4")</f>
        <v>4</v>
      </c>
      <c r="G9174" s="4" t="str">
        <f>HYPERLINK("http://141.218.60.56/~jnz1568/getInfo.php?workbook=12_04.xlsx&amp;sheet=U0&amp;row=9174&amp;col=7&amp;number=0.0014&amp;sourceID=14","0.0014")</f>
        <v>0.0014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HYPERLINK("http://141.218.60.56/~jnz1568/getInfo.php?workbook=12_04.xlsx&amp;sheet=U0&amp;row=9175&amp;col=6&amp;number=4.1&amp;sourceID=14","4.1")</f>
        <v>4.1</v>
      </c>
      <c r="G9175" s="4" t="str">
        <f>HYPERLINK("http://141.218.60.56/~jnz1568/getInfo.php?workbook=12_04.xlsx&amp;sheet=U0&amp;row=9175&amp;col=7&amp;number=0.00139&amp;sourceID=14","0.00139")</f>
        <v>0.00139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HYPERLINK("http://141.218.60.56/~jnz1568/getInfo.php?workbook=12_04.xlsx&amp;sheet=U0&amp;row=9176&amp;col=6&amp;number=4.2&amp;sourceID=14","4.2")</f>
        <v>4.2</v>
      </c>
      <c r="G9176" s="4" t="str">
        <f>HYPERLINK("http://141.218.60.56/~jnz1568/getInfo.php?workbook=12_04.xlsx&amp;sheet=U0&amp;row=9176&amp;col=7&amp;number=0.00139&amp;sourceID=14","0.00139")</f>
        <v>0.00139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HYPERLINK("http://141.218.60.56/~jnz1568/getInfo.php?workbook=12_04.xlsx&amp;sheet=U0&amp;row=9177&amp;col=6&amp;number=4.3&amp;sourceID=14","4.3")</f>
        <v>4.3</v>
      </c>
      <c r="G9177" s="4" t="str">
        <f>HYPERLINK("http://141.218.60.56/~jnz1568/getInfo.php?workbook=12_04.xlsx&amp;sheet=U0&amp;row=9177&amp;col=7&amp;number=0.00138&amp;sourceID=14","0.00138")</f>
        <v>0.00138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HYPERLINK("http://141.218.60.56/~jnz1568/getInfo.php?workbook=12_04.xlsx&amp;sheet=U0&amp;row=9178&amp;col=6&amp;number=4.4&amp;sourceID=14","4.4")</f>
        <v>4.4</v>
      </c>
      <c r="G9178" s="4" t="str">
        <f>HYPERLINK("http://141.218.60.56/~jnz1568/getInfo.php?workbook=12_04.xlsx&amp;sheet=U0&amp;row=9178&amp;col=7&amp;number=0.00138&amp;sourceID=14","0.00138")</f>
        <v>0.00138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HYPERLINK("http://141.218.60.56/~jnz1568/getInfo.php?workbook=12_04.xlsx&amp;sheet=U0&amp;row=9179&amp;col=6&amp;number=4.5&amp;sourceID=14","4.5")</f>
        <v>4.5</v>
      </c>
      <c r="G9179" s="4" t="str">
        <f>HYPERLINK("http://141.218.60.56/~jnz1568/getInfo.php?workbook=12_04.xlsx&amp;sheet=U0&amp;row=9179&amp;col=7&amp;number=0.00137&amp;sourceID=14","0.00137")</f>
        <v>0.00137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HYPERLINK("http://141.218.60.56/~jnz1568/getInfo.php?workbook=12_04.xlsx&amp;sheet=U0&amp;row=9180&amp;col=6&amp;number=4.6&amp;sourceID=14","4.6")</f>
        <v>4.6</v>
      </c>
      <c r="G9180" s="4" t="str">
        <f>HYPERLINK("http://141.218.60.56/~jnz1568/getInfo.php?workbook=12_04.xlsx&amp;sheet=U0&amp;row=9180&amp;col=7&amp;number=0.00136&amp;sourceID=14","0.00136")</f>
        <v>0.00136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HYPERLINK("http://141.218.60.56/~jnz1568/getInfo.php?workbook=12_04.xlsx&amp;sheet=U0&amp;row=9181&amp;col=6&amp;number=4.7&amp;sourceID=14","4.7")</f>
        <v>4.7</v>
      </c>
      <c r="G9181" s="4" t="str">
        <f>HYPERLINK("http://141.218.60.56/~jnz1568/getInfo.php?workbook=12_04.xlsx&amp;sheet=U0&amp;row=9181&amp;col=7&amp;number=0.00134&amp;sourceID=14","0.00134")</f>
        <v>0.00134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HYPERLINK("http://141.218.60.56/~jnz1568/getInfo.php?workbook=12_04.xlsx&amp;sheet=U0&amp;row=9182&amp;col=6&amp;number=4.8&amp;sourceID=14","4.8")</f>
        <v>4.8</v>
      </c>
      <c r="G9182" s="4" t="str">
        <f>HYPERLINK("http://141.218.60.56/~jnz1568/getInfo.php?workbook=12_04.xlsx&amp;sheet=U0&amp;row=9182&amp;col=7&amp;number=0.00132&amp;sourceID=14","0.00132")</f>
        <v>0.00132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HYPERLINK("http://141.218.60.56/~jnz1568/getInfo.php?workbook=12_04.xlsx&amp;sheet=U0&amp;row=9183&amp;col=6&amp;number=4.9&amp;sourceID=14","4.9")</f>
        <v>4.9</v>
      </c>
      <c r="G9183" s="4" t="str">
        <f>HYPERLINK("http://141.218.60.56/~jnz1568/getInfo.php?workbook=12_04.xlsx&amp;sheet=U0&amp;row=9183&amp;col=7&amp;number=0.0013&amp;sourceID=14","0.0013")</f>
        <v>0.0013</v>
      </c>
    </row>
    <row r="9184" spans="1:7">
      <c r="A9184" s="3">
        <v>12</v>
      </c>
      <c r="B9184" s="3">
        <v>4</v>
      </c>
      <c r="C9184" s="3">
        <v>5</v>
      </c>
      <c r="D9184" s="3">
        <v>83</v>
      </c>
      <c r="E9184" s="3">
        <v>1</v>
      </c>
      <c r="F9184" s="4" t="str">
        <f>HYPERLINK("http://141.218.60.56/~jnz1568/getInfo.php?workbook=12_04.xlsx&amp;sheet=U0&amp;row=9184&amp;col=6&amp;number=3&amp;sourceID=14","3")</f>
        <v>3</v>
      </c>
      <c r="G9184" s="4" t="str">
        <f>HYPERLINK("http://141.218.60.56/~jnz1568/getInfo.php?workbook=12_04.xlsx&amp;sheet=U0&amp;row=9184&amp;col=7&amp;number=0.00182&amp;sourceID=14","0.00182")</f>
        <v>0.00182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HYPERLINK("http://141.218.60.56/~jnz1568/getInfo.php?workbook=12_04.xlsx&amp;sheet=U0&amp;row=9185&amp;col=6&amp;number=3.1&amp;sourceID=14","3.1")</f>
        <v>3.1</v>
      </c>
      <c r="G9185" s="4" t="str">
        <f>HYPERLINK("http://141.218.60.56/~jnz1568/getInfo.php?workbook=12_04.xlsx&amp;sheet=U0&amp;row=9185&amp;col=7&amp;number=0.00182&amp;sourceID=14","0.00182")</f>
        <v>0.00182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HYPERLINK("http://141.218.60.56/~jnz1568/getInfo.php?workbook=12_04.xlsx&amp;sheet=U0&amp;row=9186&amp;col=6&amp;number=3.2&amp;sourceID=14","3.2")</f>
        <v>3.2</v>
      </c>
      <c r="G9186" s="4" t="str">
        <f>HYPERLINK("http://141.218.60.56/~jnz1568/getInfo.php?workbook=12_04.xlsx&amp;sheet=U0&amp;row=9186&amp;col=7&amp;number=0.00182&amp;sourceID=14","0.00182")</f>
        <v>0.00182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HYPERLINK("http://141.218.60.56/~jnz1568/getInfo.php?workbook=12_04.xlsx&amp;sheet=U0&amp;row=9187&amp;col=6&amp;number=3.3&amp;sourceID=14","3.3")</f>
        <v>3.3</v>
      </c>
      <c r="G9187" s="4" t="str">
        <f>HYPERLINK("http://141.218.60.56/~jnz1568/getInfo.php?workbook=12_04.xlsx&amp;sheet=U0&amp;row=9187&amp;col=7&amp;number=0.00181&amp;sourceID=14","0.00181")</f>
        <v>0.00181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HYPERLINK("http://141.218.60.56/~jnz1568/getInfo.php?workbook=12_04.xlsx&amp;sheet=U0&amp;row=9188&amp;col=6&amp;number=3.4&amp;sourceID=14","3.4")</f>
        <v>3.4</v>
      </c>
      <c r="G9188" s="4" t="str">
        <f>HYPERLINK("http://141.218.60.56/~jnz1568/getInfo.php?workbook=12_04.xlsx&amp;sheet=U0&amp;row=9188&amp;col=7&amp;number=0.00181&amp;sourceID=14","0.00181")</f>
        <v>0.00181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HYPERLINK("http://141.218.60.56/~jnz1568/getInfo.php?workbook=12_04.xlsx&amp;sheet=U0&amp;row=9189&amp;col=6&amp;number=3.5&amp;sourceID=14","3.5")</f>
        <v>3.5</v>
      </c>
      <c r="G9189" s="4" t="str">
        <f>HYPERLINK("http://141.218.60.56/~jnz1568/getInfo.php?workbook=12_04.xlsx&amp;sheet=U0&amp;row=9189&amp;col=7&amp;number=0.00181&amp;sourceID=14","0.00181")</f>
        <v>0.00181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HYPERLINK("http://141.218.60.56/~jnz1568/getInfo.php?workbook=12_04.xlsx&amp;sheet=U0&amp;row=9190&amp;col=6&amp;number=3.6&amp;sourceID=14","3.6")</f>
        <v>3.6</v>
      </c>
      <c r="G9190" s="4" t="str">
        <f>HYPERLINK("http://141.218.60.56/~jnz1568/getInfo.php?workbook=12_04.xlsx&amp;sheet=U0&amp;row=9190&amp;col=7&amp;number=0.00181&amp;sourceID=14","0.00181")</f>
        <v>0.00181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HYPERLINK("http://141.218.60.56/~jnz1568/getInfo.php?workbook=12_04.xlsx&amp;sheet=U0&amp;row=9191&amp;col=6&amp;number=3.7&amp;sourceID=14","3.7")</f>
        <v>3.7</v>
      </c>
      <c r="G9191" s="4" t="str">
        <f>HYPERLINK("http://141.218.60.56/~jnz1568/getInfo.php?workbook=12_04.xlsx&amp;sheet=U0&amp;row=9191&amp;col=7&amp;number=0.00181&amp;sourceID=14","0.00181")</f>
        <v>0.00181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HYPERLINK("http://141.218.60.56/~jnz1568/getInfo.php?workbook=12_04.xlsx&amp;sheet=U0&amp;row=9192&amp;col=6&amp;number=3.8&amp;sourceID=14","3.8")</f>
        <v>3.8</v>
      </c>
      <c r="G9192" s="4" t="str">
        <f>HYPERLINK("http://141.218.60.56/~jnz1568/getInfo.php?workbook=12_04.xlsx&amp;sheet=U0&amp;row=9192&amp;col=7&amp;number=0.0018&amp;sourceID=14","0.0018")</f>
        <v>0.0018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HYPERLINK("http://141.218.60.56/~jnz1568/getInfo.php?workbook=12_04.xlsx&amp;sheet=U0&amp;row=9193&amp;col=6&amp;number=3.9&amp;sourceID=14","3.9")</f>
        <v>3.9</v>
      </c>
      <c r="G9193" s="4" t="str">
        <f>HYPERLINK("http://141.218.60.56/~jnz1568/getInfo.php?workbook=12_04.xlsx&amp;sheet=U0&amp;row=9193&amp;col=7&amp;number=0.0018&amp;sourceID=14","0.0018")</f>
        <v>0.0018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HYPERLINK("http://141.218.60.56/~jnz1568/getInfo.php?workbook=12_04.xlsx&amp;sheet=U0&amp;row=9194&amp;col=6&amp;number=4&amp;sourceID=14","4")</f>
        <v>4</v>
      </c>
      <c r="G9194" s="4" t="str">
        <f>HYPERLINK("http://141.218.60.56/~jnz1568/getInfo.php?workbook=12_04.xlsx&amp;sheet=U0&amp;row=9194&amp;col=7&amp;number=0.00179&amp;sourceID=14","0.00179")</f>
        <v>0.00179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HYPERLINK("http://141.218.60.56/~jnz1568/getInfo.php?workbook=12_04.xlsx&amp;sheet=U0&amp;row=9195&amp;col=6&amp;number=4.1&amp;sourceID=14","4.1")</f>
        <v>4.1</v>
      </c>
      <c r="G9195" s="4" t="str">
        <f>HYPERLINK("http://141.218.60.56/~jnz1568/getInfo.php?workbook=12_04.xlsx&amp;sheet=U0&amp;row=9195&amp;col=7&amp;number=0.00179&amp;sourceID=14","0.00179")</f>
        <v>0.00179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HYPERLINK("http://141.218.60.56/~jnz1568/getInfo.php?workbook=12_04.xlsx&amp;sheet=U0&amp;row=9196&amp;col=6&amp;number=4.2&amp;sourceID=14","4.2")</f>
        <v>4.2</v>
      </c>
      <c r="G9196" s="4" t="str">
        <f>HYPERLINK("http://141.218.60.56/~jnz1568/getInfo.php?workbook=12_04.xlsx&amp;sheet=U0&amp;row=9196&amp;col=7&amp;number=0.00178&amp;sourceID=14","0.00178")</f>
        <v>0.00178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HYPERLINK("http://141.218.60.56/~jnz1568/getInfo.php?workbook=12_04.xlsx&amp;sheet=U0&amp;row=9197&amp;col=6&amp;number=4.3&amp;sourceID=14","4.3")</f>
        <v>4.3</v>
      </c>
      <c r="G9197" s="4" t="str">
        <f>HYPERLINK("http://141.218.60.56/~jnz1568/getInfo.php?workbook=12_04.xlsx&amp;sheet=U0&amp;row=9197&amp;col=7&amp;number=0.00177&amp;sourceID=14","0.00177")</f>
        <v>0.00177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HYPERLINK("http://141.218.60.56/~jnz1568/getInfo.php?workbook=12_04.xlsx&amp;sheet=U0&amp;row=9198&amp;col=6&amp;number=4.4&amp;sourceID=14","4.4")</f>
        <v>4.4</v>
      </c>
      <c r="G9198" s="4" t="str">
        <f>HYPERLINK("http://141.218.60.56/~jnz1568/getInfo.php?workbook=12_04.xlsx&amp;sheet=U0&amp;row=9198&amp;col=7&amp;number=0.00176&amp;sourceID=14","0.00176")</f>
        <v>0.00176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HYPERLINK("http://141.218.60.56/~jnz1568/getInfo.php?workbook=12_04.xlsx&amp;sheet=U0&amp;row=9199&amp;col=6&amp;number=4.5&amp;sourceID=14","4.5")</f>
        <v>4.5</v>
      </c>
      <c r="G9199" s="4" t="str">
        <f>HYPERLINK("http://141.218.60.56/~jnz1568/getInfo.php?workbook=12_04.xlsx&amp;sheet=U0&amp;row=9199&amp;col=7&amp;number=0.00174&amp;sourceID=14","0.00174")</f>
        <v>0.00174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HYPERLINK("http://141.218.60.56/~jnz1568/getInfo.php?workbook=12_04.xlsx&amp;sheet=U0&amp;row=9200&amp;col=6&amp;number=4.6&amp;sourceID=14","4.6")</f>
        <v>4.6</v>
      </c>
      <c r="G9200" s="4" t="str">
        <f>HYPERLINK("http://141.218.60.56/~jnz1568/getInfo.php?workbook=12_04.xlsx&amp;sheet=U0&amp;row=9200&amp;col=7&amp;number=0.00172&amp;sourceID=14","0.00172")</f>
        <v>0.00172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HYPERLINK("http://141.218.60.56/~jnz1568/getInfo.php?workbook=12_04.xlsx&amp;sheet=U0&amp;row=9201&amp;col=6&amp;number=4.7&amp;sourceID=14","4.7")</f>
        <v>4.7</v>
      </c>
      <c r="G9201" s="4" t="str">
        <f>HYPERLINK("http://141.218.60.56/~jnz1568/getInfo.php?workbook=12_04.xlsx&amp;sheet=U0&amp;row=9201&amp;col=7&amp;number=0.0017&amp;sourceID=14","0.0017")</f>
        <v>0.0017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HYPERLINK("http://141.218.60.56/~jnz1568/getInfo.php?workbook=12_04.xlsx&amp;sheet=U0&amp;row=9202&amp;col=6&amp;number=4.8&amp;sourceID=14","4.8")</f>
        <v>4.8</v>
      </c>
      <c r="G9202" s="4" t="str">
        <f>HYPERLINK("http://141.218.60.56/~jnz1568/getInfo.php?workbook=12_04.xlsx&amp;sheet=U0&amp;row=9202&amp;col=7&amp;number=0.00167&amp;sourceID=14","0.00167")</f>
        <v>0.00167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HYPERLINK("http://141.218.60.56/~jnz1568/getInfo.php?workbook=12_04.xlsx&amp;sheet=U0&amp;row=9203&amp;col=6&amp;number=4.9&amp;sourceID=14","4.9")</f>
        <v>4.9</v>
      </c>
      <c r="G9203" s="4" t="str">
        <f>HYPERLINK("http://141.218.60.56/~jnz1568/getInfo.php?workbook=12_04.xlsx&amp;sheet=U0&amp;row=9203&amp;col=7&amp;number=0.00164&amp;sourceID=14","0.00164")</f>
        <v>0.00164</v>
      </c>
    </row>
    <row r="9204" spans="1:7">
      <c r="A9204" s="3">
        <v>12</v>
      </c>
      <c r="B9204" s="3">
        <v>4</v>
      </c>
      <c r="C9204" s="3">
        <v>5</v>
      </c>
      <c r="D9204" s="3">
        <v>84</v>
      </c>
      <c r="E9204" s="3">
        <v>1</v>
      </c>
      <c r="F9204" s="4" t="str">
        <f>HYPERLINK("http://141.218.60.56/~jnz1568/getInfo.php?workbook=12_04.xlsx&amp;sheet=U0&amp;row=9204&amp;col=6&amp;number=3&amp;sourceID=14","3")</f>
        <v>3</v>
      </c>
      <c r="G9204" s="4" t="str">
        <f>HYPERLINK("http://141.218.60.56/~jnz1568/getInfo.php?workbook=12_04.xlsx&amp;sheet=U0&amp;row=9204&amp;col=7&amp;number=0.0026&amp;sourceID=14","0.0026")</f>
        <v>0.0026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HYPERLINK("http://141.218.60.56/~jnz1568/getInfo.php?workbook=12_04.xlsx&amp;sheet=U0&amp;row=9205&amp;col=6&amp;number=3.1&amp;sourceID=14","3.1")</f>
        <v>3.1</v>
      </c>
      <c r="G9205" s="4" t="str">
        <f>HYPERLINK("http://141.218.60.56/~jnz1568/getInfo.php?workbook=12_04.xlsx&amp;sheet=U0&amp;row=9205&amp;col=7&amp;number=0.0026&amp;sourceID=14","0.0026")</f>
        <v>0.0026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HYPERLINK("http://141.218.60.56/~jnz1568/getInfo.php?workbook=12_04.xlsx&amp;sheet=U0&amp;row=9206&amp;col=6&amp;number=3.2&amp;sourceID=14","3.2")</f>
        <v>3.2</v>
      </c>
      <c r="G9206" s="4" t="str">
        <f>HYPERLINK("http://141.218.60.56/~jnz1568/getInfo.php?workbook=12_04.xlsx&amp;sheet=U0&amp;row=9206&amp;col=7&amp;number=0.0026&amp;sourceID=14","0.0026")</f>
        <v>0.0026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HYPERLINK("http://141.218.60.56/~jnz1568/getInfo.php?workbook=12_04.xlsx&amp;sheet=U0&amp;row=9207&amp;col=6&amp;number=3.3&amp;sourceID=14","3.3")</f>
        <v>3.3</v>
      </c>
      <c r="G9207" s="4" t="str">
        <f>HYPERLINK("http://141.218.60.56/~jnz1568/getInfo.php?workbook=12_04.xlsx&amp;sheet=U0&amp;row=9207&amp;col=7&amp;number=0.0026&amp;sourceID=14","0.0026")</f>
        <v>0.0026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HYPERLINK("http://141.218.60.56/~jnz1568/getInfo.php?workbook=12_04.xlsx&amp;sheet=U0&amp;row=9208&amp;col=6&amp;number=3.4&amp;sourceID=14","3.4")</f>
        <v>3.4</v>
      </c>
      <c r="G9208" s="4" t="str">
        <f>HYPERLINK("http://141.218.60.56/~jnz1568/getInfo.php?workbook=12_04.xlsx&amp;sheet=U0&amp;row=9208&amp;col=7&amp;number=0.0026&amp;sourceID=14","0.0026")</f>
        <v>0.0026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HYPERLINK("http://141.218.60.56/~jnz1568/getInfo.php?workbook=12_04.xlsx&amp;sheet=U0&amp;row=9209&amp;col=6&amp;number=3.5&amp;sourceID=14","3.5")</f>
        <v>3.5</v>
      </c>
      <c r="G9209" s="4" t="str">
        <f>HYPERLINK("http://141.218.60.56/~jnz1568/getInfo.php?workbook=12_04.xlsx&amp;sheet=U0&amp;row=9209&amp;col=7&amp;number=0.00259&amp;sourceID=14","0.00259")</f>
        <v>0.00259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HYPERLINK("http://141.218.60.56/~jnz1568/getInfo.php?workbook=12_04.xlsx&amp;sheet=U0&amp;row=9210&amp;col=6&amp;number=3.6&amp;sourceID=14","3.6")</f>
        <v>3.6</v>
      </c>
      <c r="G9210" s="4" t="str">
        <f>HYPERLINK("http://141.218.60.56/~jnz1568/getInfo.php?workbook=12_04.xlsx&amp;sheet=U0&amp;row=9210&amp;col=7&amp;number=0.00259&amp;sourceID=14","0.00259")</f>
        <v>0.00259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HYPERLINK("http://141.218.60.56/~jnz1568/getInfo.php?workbook=12_04.xlsx&amp;sheet=U0&amp;row=9211&amp;col=6&amp;number=3.7&amp;sourceID=14","3.7")</f>
        <v>3.7</v>
      </c>
      <c r="G9211" s="4" t="str">
        <f>HYPERLINK("http://141.218.60.56/~jnz1568/getInfo.php?workbook=12_04.xlsx&amp;sheet=U0&amp;row=9211&amp;col=7&amp;number=0.00258&amp;sourceID=14","0.00258")</f>
        <v>0.00258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HYPERLINK("http://141.218.60.56/~jnz1568/getInfo.php?workbook=12_04.xlsx&amp;sheet=U0&amp;row=9212&amp;col=6&amp;number=3.8&amp;sourceID=14","3.8")</f>
        <v>3.8</v>
      </c>
      <c r="G9212" s="4" t="str">
        <f>HYPERLINK("http://141.218.60.56/~jnz1568/getInfo.php?workbook=12_04.xlsx&amp;sheet=U0&amp;row=9212&amp;col=7&amp;number=0.00258&amp;sourceID=14","0.00258")</f>
        <v>0.00258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HYPERLINK("http://141.218.60.56/~jnz1568/getInfo.php?workbook=12_04.xlsx&amp;sheet=U0&amp;row=9213&amp;col=6&amp;number=3.9&amp;sourceID=14","3.9")</f>
        <v>3.9</v>
      </c>
      <c r="G9213" s="4" t="str">
        <f>HYPERLINK("http://141.218.60.56/~jnz1568/getInfo.php?workbook=12_04.xlsx&amp;sheet=U0&amp;row=9213&amp;col=7&amp;number=0.00257&amp;sourceID=14","0.00257")</f>
        <v>0.00257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HYPERLINK("http://141.218.60.56/~jnz1568/getInfo.php?workbook=12_04.xlsx&amp;sheet=U0&amp;row=9214&amp;col=6&amp;number=4&amp;sourceID=14","4")</f>
        <v>4</v>
      </c>
      <c r="G9214" s="4" t="str">
        <f>HYPERLINK("http://141.218.60.56/~jnz1568/getInfo.php?workbook=12_04.xlsx&amp;sheet=U0&amp;row=9214&amp;col=7&amp;number=0.00256&amp;sourceID=14","0.00256")</f>
        <v>0.00256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HYPERLINK("http://141.218.60.56/~jnz1568/getInfo.php?workbook=12_04.xlsx&amp;sheet=U0&amp;row=9215&amp;col=6&amp;number=4.1&amp;sourceID=14","4.1")</f>
        <v>4.1</v>
      </c>
      <c r="G9215" s="4" t="str">
        <f>HYPERLINK("http://141.218.60.56/~jnz1568/getInfo.php?workbook=12_04.xlsx&amp;sheet=U0&amp;row=9215&amp;col=7&amp;number=0.00255&amp;sourceID=14","0.00255")</f>
        <v>0.00255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HYPERLINK("http://141.218.60.56/~jnz1568/getInfo.php?workbook=12_04.xlsx&amp;sheet=U0&amp;row=9216&amp;col=6&amp;number=4.2&amp;sourceID=14","4.2")</f>
        <v>4.2</v>
      </c>
      <c r="G9216" s="4" t="str">
        <f>HYPERLINK("http://141.218.60.56/~jnz1568/getInfo.php?workbook=12_04.xlsx&amp;sheet=U0&amp;row=9216&amp;col=7&amp;number=0.00253&amp;sourceID=14","0.00253")</f>
        <v>0.00253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HYPERLINK("http://141.218.60.56/~jnz1568/getInfo.php?workbook=12_04.xlsx&amp;sheet=U0&amp;row=9217&amp;col=6&amp;number=4.3&amp;sourceID=14","4.3")</f>
        <v>4.3</v>
      </c>
      <c r="G9217" s="4" t="str">
        <f>HYPERLINK("http://141.218.60.56/~jnz1568/getInfo.php?workbook=12_04.xlsx&amp;sheet=U0&amp;row=9217&amp;col=7&amp;number=0.00251&amp;sourceID=14","0.00251")</f>
        <v>0.00251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HYPERLINK("http://141.218.60.56/~jnz1568/getInfo.php?workbook=12_04.xlsx&amp;sheet=U0&amp;row=9218&amp;col=6&amp;number=4.4&amp;sourceID=14","4.4")</f>
        <v>4.4</v>
      </c>
      <c r="G9218" s="4" t="str">
        <f>HYPERLINK("http://141.218.60.56/~jnz1568/getInfo.php?workbook=12_04.xlsx&amp;sheet=U0&amp;row=9218&amp;col=7&amp;number=0.00249&amp;sourceID=14","0.00249")</f>
        <v>0.00249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HYPERLINK("http://141.218.60.56/~jnz1568/getInfo.php?workbook=12_04.xlsx&amp;sheet=U0&amp;row=9219&amp;col=6&amp;number=4.5&amp;sourceID=14","4.5")</f>
        <v>4.5</v>
      </c>
      <c r="G9219" s="4" t="str">
        <f>HYPERLINK("http://141.218.60.56/~jnz1568/getInfo.php?workbook=12_04.xlsx&amp;sheet=U0&amp;row=9219&amp;col=7&amp;number=0.00246&amp;sourceID=14","0.00246")</f>
        <v>0.00246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HYPERLINK("http://141.218.60.56/~jnz1568/getInfo.php?workbook=12_04.xlsx&amp;sheet=U0&amp;row=9220&amp;col=6&amp;number=4.6&amp;sourceID=14","4.6")</f>
        <v>4.6</v>
      </c>
      <c r="G9220" s="4" t="str">
        <f>HYPERLINK("http://141.218.60.56/~jnz1568/getInfo.php?workbook=12_04.xlsx&amp;sheet=U0&amp;row=9220&amp;col=7&amp;number=0.00243&amp;sourceID=14","0.00243")</f>
        <v>0.00243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HYPERLINK("http://141.218.60.56/~jnz1568/getInfo.php?workbook=12_04.xlsx&amp;sheet=U0&amp;row=9221&amp;col=6&amp;number=4.7&amp;sourceID=14","4.7")</f>
        <v>4.7</v>
      </c>
      <c r="G9221" s="4" t="str">
        <f>HYPERLINK("http://141.218.60.56/~jnz1568/getInfo.php?workbook=12_04.xlsx&amp;sheet=U0&amp;row=9221&amp;col=7&amp;number=0.00238&amp;sourceID=14","0.00238")</f>
        <v>0.00238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HYPERLINK("http://141.218.60.56/~jnz1568/getInfo.php?workbook=12_04.xlsx&amp;sheet=U0&amp;row=9222&amp;col=6&amp;number=4.8&amp;sourceID=14","4.8")</f>
        <v>4.8</v>
      </c>
      <c r="G9222" s="4" t="str">
        <f>HYPERLINK("http://141.218.60.56/~jnz1568/getInfo.php?workbook=12_04.xlsx&amp;sheet=U0&amp;row=9222&amp;col=7&amp;number=0.00234&amp;sourceID=14","0.00234")</f>
        <v>0.00234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HYPERLINK("http://141.218.60.56/~jnz1568/getInfo.php?workbook=12_04.xlsx&amp;sheet=U0&amp;row=9223&amp;col=6&amp;number=4.9&amp;sourceID=14","4.9")</f>
        <v>4.9</v>
      </c>
      <c r="G9223" s="4" t="str">
        <f>HYPERLINK("http://141.218.60.56/~jnz1568/getInfo.php?workbook=12_04.xlsx&amp;sheet=U0&amp;row=9223&amp;col=7&amp;number=0.00228&amp;sourceID=14","0.00228")</f>
        <v>0.00228</v>
      </c>
    </row>
    <row r="9224" spans="1:7">
      <c r="A9224" s="3">
        <v>12</v>
      </c>
      <c r="B9224" s="3">
        <v>4</v>
      </c>
      <c r="C9224" s="3">
        <v>5</v>
      </c>
      <c r="D9224" s="3">
        <v>85</v>
      </c>
      <c r="E9224" s="3">
        <v>1</v>
      </c>
      <c r="F9224" s="4" t="str">
        <f>HYPERLINK("http://141.218.60.56/~jnz1568/getInfo.php?workbook=12_04.xlsx&amp;sheet=U0&amp;row=9224&amp;col=6&amp;number=3&amp;sourceID=14","3")</f>
        <v>3</v>
      </c>
      <c r="G9224" s="4" t="str">
        <f>HYPERLINK("http://141.218.60.56/~jnz1568/getInfo.php?workbook=12_04.xlsx&amp;sheet=U0&amp;row=9224&amp;col=7&amp;number=0.00348&amp;sourceID=14","0.00348")</f>
        <v>0.00348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HYPERLINK("http://141.218.60.56/~jnz1568/getInfo.php?workbook=12_04.xlsx&amp;sheet=U0&amp;row=9225&amp;col=6&amp;number=3.1&amp;sourceID=14","3.1")</f>
        <v>3.1</v>
      </c>
      <c r="G9225" s="4" t="str">
        <f>HYPERLINK("http://141.218.60.56/~jnz1568/getInfo.php?workbook=12_04.xlsx&amp;sheet=U0&amp;row=9225&amp;col=7&amp;number=0.00348&amp;sourceID=14","0.00348")</f>
        <v>0.00348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HYPERLINK("http://141.218.60.56/~jnz1568/getInfo.php?workbook=12_04.xlsx&amp;sheet=U0&amp;row=9226&amp;col=6&amp;number=3.2&amp;sourceID=14","3.2")</f>
        <v>3.2</v>
      </c>
      <c r="G9226" s="4" t="str">
        <f>HYPERLINK("http://141.218.60.56/~jnz1568/getInfo.php?workbook=12_04.xlsx&amp;sheet=U0&amp;row=9226&amp;col=7&amp;number=0.00348&amp;sourceID=14","0.00348")</f>
        <v>0.00348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HYPERLINK("http://141.218.60.56/~jnz1568/getInfo.php?workbook=12_04.xlsx&amp;sheet=U0&amp;row=9227&amp;col=6&amp;number=3.3&amp;sourceID=14","3.3")</f>
        <v>3.3</v>
      </c>
      <c r="G9227" s="4" t="str">
        <f>HYPERLINK("http://141.218.60.56/~jnz1568/getInfo.php?workbook=12_04.xlsx&amp;sheet=U0&amp;row=9227&amp;col=7&amp;number=0.00348&amp;sourceID=14","0.00348")</f>
        <v>0.00348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HYPERLINK("http://141.218.60.56/~jnz1568/getInfo.php?workbook=12_04.xlsx&amp;sheet=U0&amp;row=9228&amp;col=6&amp;number=3.4&amp;sourceID=14","3.4")</f>
        <v>3.4</v>
      </c>
      <c r="G9228" s="4" t="str">
        <f>HYPERLINK("http://141.218.60.56/~jnz1568/getInfo.php?workbook=12_04.xlsx&amp;sheet=U0&amp;row=9228&amp;col=7&amp;number=0.00347&amp;sourceID=14","0.00347")</f>
        <v>0.00347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HYPERLINK("http://141.218.60.56/~jnz1568/getInfo.php?workbook=12_04.xlsx&amp;sheet=U0&amp;row=9229&amp;col=6&amp;number=3.5&amp;sourceID=14","3.5")</f>
        <v>3.5</v>
      </c>
      <c r="G9229" s="4" t="str">
        <f>HYPERLINK("http://141.218.60.56/~jnz1568/getInfo.php?workbook=12_04.xlsx&amp;sheet=U0&amp;row=9229&amp;col=7&amp;number=0.00347&amp;sourceID=14","0.00347")</f>
        <v>0.00347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HYPERLINK("http://141.218.60.56/~jnz1568/getInfo.php?workbook=12_04.xlsx&amp;sheet=U0&amp;row=9230&amp;col=6&amp;number=3.6&amp;sourceID=14","3.6")</f>
        <v>3.6</v>
      </c>
      <c r="G9230" s="4" t="str">
        <f>HYPERLINK("http://141.218.60.56/~jnz1568/getInfo.php?workbook=12_04.xlsx&amp;sheet=U0&amp;row=9230&amp;col=7&amp;number=0.00347&amp;sourceID=14","0.00347")</f>
        <v>0.00347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HYPERLINK("http://141.218.60.56/~jnz1568/getInfo.php?workbook=12_04.xlsx&amp;sheet=U0&amp;row=9231&amp;col=6&amp;number=3.7&amp;sourceID=14","3.7")</f>
        <v>3.7</v>
      </c>
      <c r="G9231" s="4" t="str">
        <f>HYPERLINK("http://141.218.60.56/~jnz1568/getInfo.php?workbook=12_04.xlsx&amp;sheet=U0&amp;row=9231&amp;col=7&amp;number=0.00346&amp;sourceID=14","0.00346")</f>
        <v>0.00346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HYPERLINK("http://141.218.60.56/~jnz1568/getInfo.php?workbook=12_04.xlsx&amp;sheet=U0&amp;row=9232&amp;col=6&amp;number=3.8&amp;sourceID=14","3.8")</f>
        <v>3.8</v>
      </c>
      <c r="G9232" s="4" t="str">
        <f>HYPERLINK("http://141.218.60.56/~jnz1568/getInfo.php?workbook=12_04.xlsx&amp;sheet=U0&amp;row=9232&amp;col=7&amp;number=0.00346&amp;sourceID=14","0.00346")</f>
        <v>0.00346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HYPERLINK("http://141.218.60.56/~jnz1568/getInfo.php?workbook=12_04.xlsx&amp;sheet=U0&amp;row=9233&amp;col=6&amp;number=3.9&amp;sourceID=14","3.9")</f>
        <v>3.9</v>
      </c>
      <c r="G9233" s="4" t="str">
        <f>HYPERLINK("http://141.218.60.56/~jnz1568/getInfo.php?workbook=12_04.xlsx&amp;sheet=U0&amp;row=9233&amp;col=7&amp;number=0.00345&amp;sourceID=14","0.00345")</f>
        <v>0.00345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HYPERLINK("http://141.218.60.56/~jnz1568/getInfo.php?workbook=12_04.xlsx&amp;sheet=U0&amp;row=9234&amp;col=6&amp;number=4&amp;sourceID=14","4")</f>
        <v>4</v>
      </c>
      <c r="G9234" s="4" t="str">
        <f>HYPERLINK("http://141.218.60.56/~jnz1568/getInfo.php?workbook=12_04.xlsx&amp;sheet=U0&amp;row=9234&amp;col=7&amp;number=0.00344&amp;sourceID=14","0.00344")</f>
        <v>0.00344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HYPERLINK("http://141.218.60.56/~jnz1568/getInfo.php?workbook=12_04.xlsx&amp;sheet=U0&amp;row=9235&amp;col=6&amp;number=4.1&amp;sourceID=14","4.1")</f>
        <v>4.1</v>
      </c>
      <c r="G9235" s="4" t="str">
        <f>HYPERLINK("http://141.218.60.56/~jnz1568/getInfo.php?workbook=12_04.xlsx&amp;sheet=U0&amp;row=9235&amp;col=7&amp;number=0.00342&amp;sourceID=14","0.00342")</f>
        <v>0.00342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HYPERLINK("http://141.218.60.56/~jnz1568/getInfo.php?workbook=12_04.xlsx&amp;sheet=U0&amp;row=9236&amp;col=6&amp;number=4.2&amp;sourceID=14","4.2")</f>
        <v>4.2</v>
      </c>
      <c r="G9236" s="4" t="str">
        <f>HYPERLINK("http://141.218.60.56/~jnz1568/getInfo.php?workbook=12_04.xlsx&amp;sheet=U0&amp;row=9236&amp;col=7&amp;number=0.00341&amp;sourceID=14","0.00341")</f>
        <v>0.00341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HYPERLINK("http://141.218.60.56/~jnz1568/getInfo.php?workbook=12_04.xlsx&amp;sheet=U0&amp;row=9237&amp;col=6&amp;number=4.3&amp;sourceID=14","4.3")</f>
        <v>4.3</v>
      </c>
      <c r="G9237" s="4" t="str">
        <f>HYPERLINK("http://141.218.60.56/~jnz1568/getInfo.php?workbook=12_04.xlsx&amp;sheet=U0&amp;row=9237&amp;col=7&amp;number=0.00339&amp;sourceID=14","0.00339")</f>
        <v>0.00339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HYPERLINK("http://141.218.60.56/~jnz1568/getInfo.php?workbook=12_04.xlsx&amp;sheet=U0&amp;row=9238&amp;col=6&amp;number=4.4&amp;sourceID=14","4.4")</f>
        <v>4.4</v>
      </c>
      <c r="G9238" s="4" t="str">
        <f>HYPERLINK("http://141.218.60.56/~jnz1568/getInfo.php?workbook=12_04.xlsx&amp;sheet=U0&amp;row=9238&amp;col=7&amp;number=0.00336&amp;sourceID=14","0.00336")</f>
        <v>0.00336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HYPERLINK("http://141.218.60.56/~jnz1568/getInfo.php?workbook=12_04.xlsx&amp;sheet=U0&amp;row=9239&amp;col=6&amp;number=4.5&amp;sourceID=14","4.5")</f>
        <v>4.5</v>
      </c>
      <c r="G9239" s="4" t="str">
        <f>HYPERLINK("http://141.218.60.56/~jnz1568/getInfo.php?workbook=12_04.xlsx&amp;sheet=U0&amp;row=9239&amp;col=7&amp;number=0.00333&amp;sourceID=14","0.00333")</f>
        <v>0.00333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HYPERLINK("http://141.218.60.56/~jnz1568/getInfo.php?workbook=12_04.xlsx&amp;sheet=U0&amp;row=9240&amp;col=6&amp;number=4.6&amp;sourceID=14","4.6")</f>
        <v>4.6</v>
      </c>
      <c r="G9240" s="4" t="str">
        <f>HYPERLINK("http://141.218.60.56/~jnz1568/getInfo.php?workbook=12_04.xlsx&amp;sheet=U0&amp;row=9240&amp;col=7&amp;number=0.0033&amp;sourceID=14","0.0033")</f>
        <v>0.0033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HYPERLINK("http://141.218.60.56/~jnz1568/getInfo.php?workbook=12_04.xlsx&amp;sheet=U0&amp;row=9241&amp;col=6&amp;number=4.7&amp;sourceID=14","4.7")</f>
        <v>4.7</v>
      </c>
      <c r="G9241" s="4" t="str">
        <f>HYPERLINK("http://141.218.60.56/~jnz1568/getInfo.php?workbook=12_04.xlsx&amp;sheet=U0&amp;row=9241&amp;col=7&amp;number=0.00325&amp;sourceID=14","0.00325")</f>
        <v>0.00325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HYPERLINK("http://141.218.60.56/~jnz1568/getInfo.php?workbook=12_04.xlsx&amp;sheet=U0&amp;row=9242&amp;col=6&amp;number=4.8&amp;sourceID=14","4.8")</f>
        <v>4.8</v>
      </c>
      <c r="G9242" s="4" t="str">
        <f>HYPERLINK("http://141.218.60.56/~jnz1568/getInfo.php?workbook=12_04.xlsx&amp;sheet=U0&amp;row=9242&amp;col=7&amp;number=0.0032&amp;sourceID=14","0.0032")</f>
        <v>0.0032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HYPERLINK("http://141.218.60.56/~jnz1568/getInfo.php?workbook=12_04.xlsx&amp;sheet=U0&amp;row=9243&amp;col=6&amp;number=4.9&amp;sourceID=14","4.9")</f>
        <v>4.9</v>
      </c>
      <c r="G9243" s="4" t="str">
        <f>HYPERLINK("http://141.218.60.56/~jnz1568/getInfo.php?workbook=12_04.xlsx&amp;sheet=U0&amp;row=9243&amp;col=7&amp;number=0.00313&amp;sourceID=14","0.00313")</f>
        <v>0.00313</v>
      </c>
    </row>
    <row r="9244" spans="1:7">
      <c r="A9244" s="3">
        <v>12</v>
      </c>
      <c r="B9244" s="3">
        <v>4</v>
      </c>
      <c r="C9244" s="3">
        <v>5</v>
      </c>
      <c r="D9244" s="3">
        <v>86</v>
      </c>
      <c r="E9244" s="3">
        <v>1</v>
      </c>
      <c r="F9244" s="4" t="str">
        <f>HYPERLINK("http://141.218.60.56/~jnz1568/getInfo.php?workbook=12_04.xlsx&amp;sheet=U0&amp;row=9244&amp;col=6&amp;number=3&amp;sourceID=14","3")</f>
        <v>3</v>
      </c>
      <c r="G9244" s="4" t="str">
        <f>HYPERLINK("http://141.218.60.56/~jnz1568/getInfo.php?workbook=12_04.xlsx&amp;sheet=U0&amp;row=9244&amp;col=7&amp;number=0.00214&amp;sourceID=14","0.00214")</f>
        <v>0.00214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HYPERLINK("http://141.218.60.56/~jnz1568/getInfo.php?workbook=12_04.xlsx&amp;sheet=U0&amp;row=9245&amp;col=6&amp;number=3.1&amp;sourceID=14","3.1")</f>
        <v>3.1</v>
      </c>
      <c r="G9245" s="4" t="str">
        <f>HYPERLINK("http://141.218.60.56/~jnz1568/getInfo.php?workbook=12_04.xlsx&amp;sheet=U0&amp;row=9245&amp;col=7&amp;number=0.00214&amp;sourceID=14","0.00214")</f>
        <v>0.00214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HYPERLINK("http://141.218.60.56/~jnz1568/getInfo.php?workbook=12_04.xlsx&amp;sheet=U0&amp;row=9246&amp;col=6&amp;number=3.2&amp;sourceID=14","3.2")</f>
        <v>3.2</v>
      </c>
      <c r="G9246" s="4" t="str">
        <f>HYPERLINK("http://141.218.60.56/~jnz1568/getInfo.php?workbook=12_04.xlsx&amp;sheet=U0&amp;row=9246&amp;col=7&amp;number=0.00214&amp;sourceID=14","0.00214")</f>
        <v>0.00214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HYPERLINK("http://141.218.60.56/~jnz1568/getInfo.php?workbook=12_04.xlsx&amp;sheet=U0&amp;row=9247&amp;col=6&amp;number=3.3&amp;sourceID=14","3.3")</f>
        <v>3.3</v>
      </c>
      <c r="G9247" s="4" t="str">
        <f>HYPERLINK("http://141.218.60.56/~jnz1568/getInfo.php?workbook=12_04.xlsx&amp;sheet=U0&amp;row=9247&amp;col=7&amp;number=0.00214&amp;sourceID=14","0.00214")</f>
        <v>0.00214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HYPERLINK("http://141.218.60.56/~jnz1568/getInfo.php?workbook=12_04.xlsx&amp;sheet=U0&amp;row=9248&amp;col=6&amp;number=3.4&amp;sourceID=14","3.4")</f>
        <v>3.4</v>
      </c>
      <c r="G9248" s="4" t="str">
        <f>HYPERLINK("http://141.218.60.56/~jnz1568/getInfo.php?workbook=12_04.xlsx&amp;sheet=U0&amp;row=9248&amp;col=7&amp;number=0.00214&amp;sourceID=14","0.00214")</f>
        <v>0.00214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HYPERLINK("http://141.218.60.56/~jnz1568/getInfo.php?workbook=12_04.xlsx&amp;sheet=U0&amp;row=9249&amp;col=6&amp;number=3.5&amp;sourceID=14","3.5")</f>
        <v>3.5</v>
      </c>
      <c r="G9249" s="4" t="str">
        <f>HYPERLINK("http://141.218.60.56/~jnz1568/getInfo.php?workbook=12_04.xlsx&amp;sheet=U0&amp;row=9249&amp;col=7&amp;number=0.00213&amp;sourceID=14","0.00213")</f>
        <v>0.00213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HYPERLINK("http://141.218.60.56/~jnz1568/getInfo.php?workbook=12_04.xlsx&amp;sheet=U0&amp;row=9250&amp;col=6&amp;number=3.6&amp;sourceID=14","3.6")</f>
        <v>3.6</v>
      </c>
      <c r="G9250" s="4" t="str">
        <f>HYPERLINK("http://141.218.60.56/~jnz1568/getInfo.php?workbook=12_04.xlsx&amp;sheet=U0&amp;row=9250&amp;col=7&amp;number=0.00213&amp;sourceID=14","0.00213")</f>
        <v>0.00213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HYPERLINK("http://141.218.60.56/~jnz1568/getInfo.php?workbook=12_04.xlsx&amp;sheet=U0&amp;row=9251&amp;col=6&amp;number=3.7&amp;sourceID=14","3.7")</f>
        <v>3.7</v>
      </c>
      <c r="G9251" s="4" t="str">
        <f>HYPERLINK("http://141.218.60.56/~jnz1568/getInfo.php?workbook=12_04.xlsx&amp;sheet=U0&amp;row=9251&amp;col=7&amp;number=0.00213&amp;sourceID=14","0.00213")</f>
        <v>0.00213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HYPERLINK("http://141.218.60.56/~jnz1568/getInfo.php?workbook=12_04.xlsx&amp;sheet=U0&amp;row=9252&amp;col=6&amp;number=3.8&amp;sourceID=14","3.8")</f>
        <v>3.8</v>
      </c>
      <c r="G9252" s="4" t="str">
        <f>HYPERLINK("http://141.218.60.56/~jnz1568/getInfo.php?workbook=12_04.xlsx&amp;sheet=U0&amp;row=9252&amp;col=7&amp;number=0.00212&amp;sourceID=14","0.00212")</f>
        <v>0.00212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HYPERLINK("http://141.218.60.56/~jnz1568/getInfo.php?workbook=12_04.xlsx&amp;sheet=U0&amp;row=9253&amp;col=6&amp;number=3.9&amp;sourceID=14","3.9")</f>
        <v>3.9</v>
      </c>
      <c r="G9253" s="4" t="str">
        <f>HYPERLINK("http://141.218.60.56/~jnz1568/getInfo.php?workbook=12_04.xlsx&amp;sheet=U0&amp;row=9253&amp;col=7&amp;number=0.00212&amp;sourceID=14","0.00212")</f>
        <v>0.00212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HYPERLINK("http://141.218.60.56/~jnz1568/getInfo.php?workbook=12_04.xlsx&amp;sheet=U0&amp;row=9254&amp;col=6&amp;number=4&amp;sourceID=14","4")</f>
        <v>4</v>
      </c>
      <c r="G9254" s="4" t="str">
        <f>HYPERLINK("http://141.218.60.56/~jnz1568/getInfo.php?workbook=12_04.xlsx&amp;sheet=U0&amp;row=9254&amp;col=7&amp;number=0.00211&amp;sourceID=14","0.00211")</f>
        <v>0.00211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HYPERLINK("http://141.218.60.56/~jnz1568/getInfo.php?workbook=12_04.xlsx&amp;sheet=U0&amp;row=9255&amp;col=6&amp;number=4.1&amp;sourceID=14","4.1")</f>
        <v>4.1</v>
      </c>
      <c r="G9255" s="4" t="str">
        <f>HYPERLINK("http://141.218.60.56/~jnz1568/getInfo.php?workbook=12_04.xlsx&amp;sheet=U0&amp;row=9255&amp;col=7&amp;number=0.0021&amp;sourceID=14","0.0021")</f>
        <v>0.0021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HYPERLINK("http://141.218.60.56/~jnz1568/getInfo.php?workbook=12_04.xlsx&amp;sheet=U0&amp;row=9256&amp;col=6&amp;number=4.2&amp;sourceID=14","4.2")</f>
        <v>4.2</v>
      </c>
      <c r="G9256" s="4" t="str">
        <f>HYPERLINK("http://141.218.60.56/~jnz1568/getInfo.php?workbook=12_04.xlsx&amp;sheet=U0&amp;row=9256&amp;col=7&amp;number=0.00209&amp;sourceID=14","0.00209")</f>
        <v>0.00209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HYPERLINK("http://141.218.60.56/~jnz1568/getInfo.php?workbook=12_04.xlsx&amp;sheet=U0&amp;row=9257&amp;col=6&amp;number=4.3&amp;sourceID=14","4.3")</f>
        <v>4.3</v>
      </c>
      <c r="G9257" s="4" t="str">
        <f>HYPERLINK("http://141.218.60.56/~jnz1568/getInfo.php?workbook=12_04.xlsx&amp;sheet=U0&amp;row=9257&amp;col=7&amp;number=0.00208&amp;sourceID=14","0.00208")</f>
        <v>0.00208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HYPERLINK("http://141.218.60.56/~jnz1568/getInfo.php?workbook=12_04.xlsx&amp;sheet=U0&amp;row=9258&amp;col=6&amp;number=4.4&amp;sourceID=14","4.4")</f>
        <v>4.4</v>
      </c>
      <c r="G9258" s="4" t="str">
        <f>HYPERLINK("http://141.218.60.56/~jnz1568/getInfo.php?workbook=12_04.xlsx&amp;sheet=U0&amp;row=9258&amp;col=7&amp;number=0.00206&amp;sourceID=14","0.00206")</f>
        <v>0.00206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HYPERLINK("http://141.218.60.56/~jnz1568/getInfo.php?workbook=12_04.xlsx&amp;sheet=U0&amp;row=9259&amp;col=6&amp;number=4.5&amp;sourceID=14","4.5")</f>
        <v>4.5</v>
      </c>
      <c r="G9259" s="4" t="str">
        <f>HYPERLINK("http://141.218.60.56/~jnz1568/getInfo.php?workbook=12_04.xlsx&amp;sheet=U0&amp;row=9259&amp;col=7&amp;number=0.00204&amp;sourceID=14","0.00204")</f>
        <v>0.00204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HYPERLINK("http://141.218.60.56/~jnz1568/getInfo.php?workbook=12_04.xlsx&amp;sheet=U0&amp;row=9260&amp;col=6&amp;number=4.6&amp;sourceID=14","4.6")</f>
        <v>4.6</v>
      </c>
      <c r="G9260" s="4" t="str">
        <f>HYPERLINK("http://141.218.60.56/~jnz1568/getInfo.php?workbook=12_04.xlsx&amp;sheet=U0&amp;row=9260&amp;col=7&amp;number=0.00201&amp;sourceID=14","0.00201")</f>
        <v>0.00201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HYPERLINK("http://141.218.60.56/~jnz1568/getInfo.php?workbook=12_04.xlsx&amp;sheet=U0&amp;row=9261&amp;col=6&amp;number=4.7&amp;sourceID=14","4.7")</f>
        <v>4.7</v>
      </c>
      <c r="G9261" s="4" t="str">
        <f>HYPERLINK("http://141.218.60.56/~jnz1568/getInfo.php?workbook=12_04.xlsx&amp;sheet=U0&amp;row=9261&amp;col=7&amp;number=0.00198&amp;sourceID=14","0.00198")</f>
        <v>0.00198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HYPERLINK("http://141.218.60.56/~jnz1568/getInfo.php?workbook=12_04.xlsx&amp;sheet=U0&amp;row=9262&amp;col=6&amp;number=4.8&amp;sourceID=14","4.8")</f>
        <v>4.8</v>
      </c>
      <c r="G9262" s="4" t="str">
        <f>HYPERLINK("http://141.218.60.56/~jnz1568/getInfo.php?workbook=12_04.xlsx&amp;sheet=U0&amp;row=9262&amp;col=7&amp;number=0.00194&amp;sourceID=14","0.00194")</f>
        <v>0.00194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HYPERLINK("http://141.218.60.56/~jnz1568/getInfo.php?workbook=12_04.xlsx&amp;sheet=U0&amp;row=9263&amp;col=6&amp;number=4.9&amp;sourceID=14","4.9")</f>
        <v>4.9</v>
      </c>
      <c r="G9263" s="4" t="str">
        <f>HYPERLINK("http://141.218.60.56/~jnz1568/getInfo.php?workbook=12_04.xlsx&amp;sheet=U0&amp;row=9263&amp;col=7&amp;number=0.0019&amp;sourceID=14","0.0019")</f>
        <v>0.0019</v>
      </c>
    </row>
    <row r="9264" spans="1:7">
      <c r="A9264" s="3">
        <v>12</v>
      </c>
      <c r="B9264" s="3">
        <v>4</v>
      </c>
      <c r="C9264" s="3">
        <v>5</v>
      </c>
      <c r="D9264" s="3">
        <v>87</v>
      </c>
      <c r="E9264" s="3">
        <v>1</v>
      </c>
      <c r="F9264" s="4" t="str">
        <f>HYPERLINK("http://141.218.60.56/~jnz1568/getInfo.php?workbook=12_04.xlsx&amp;sheet=U0&amp;row=9264&amp;col=6&amp;number=3&amp;sourceID=14","3")</f>
        <v>3</v>
      </c>
      <c r="G9264" s="4" t="str">
        <f>HYPERLINK("http://141.218.60.56/~jnz1568/getInfo.php?workbook=12_04.xlsx&amp;sheet=U0&amp;row=9264&amp;col=7&amp;number=0.000695&amp;sourceID=14","0.000695")</f>
        <v>0.000695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HYPERLINK("http://141.218.60.56/~jnz1568/getInfo.php?workbook=12_04.xlsx&amp;sheet=U0&amp;row=9265&amp;col=6&amp;number=3.1&amp;sourceID=14","3.1")</f>
        <v>3.1</v>
      </c>
      <c r="G9265" s="4" t="str">
        <f>HYPERLINK("http://141.218.60.56/~jnz1568/getInfo.php?workbook=12_04.xlsx&amp;sheet=U0&amp;row=9265&amp;col=7&amp;number=0.000695&amp;sourceID=14","0.000695")</f>
        <v>0.000695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HYPERLINK("http://141.218.60.56/~jnz1568/getInfo.php?workbook=12_04.xlsx&amp;sheet=U0&amp;row=9266&amp;col=6&amp;number=3.2&amp;sourceID=14","3.2")</f>
        <v>3.2</v>
      </c>
      <c r="G9266" s="4" t="str">
        <f>HYPERLINK("http://141.218.60.56/~jnz1568/getInfo.php?workbook=12_04.xlsx&amp;sheet=U0&amp;row=9266&amp;col=7&amp;number=0.000695&amp;sourceID=14","0.000695")</f>
        <v>0.000695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HYPERLINK("http://141.218.60.56/~jnz1568/getInfo.php?workbook=12_04.xlsx&amp;sheet=U0&amp;row=9267&amp;col=6&amp;number=3.3&amp;sourceID=14","3.3")</f>
        <v>3.3</v>
      </c>
      <c r="G9267" s="4" t="str">
        <f>HYPERLINK("http://141.218.60.56/~jnz1568/getInfo.php?workbook=12_04.xlsx&amp;sheet=U0&amp;row=9267&amp;col=7&amp;number=0.000694&amp;sourceID=14","0.000694")</f>
        <v>0.000694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HYPERLINK("http://141.218.60.56/~jnz1568/getInfo.php?workbook=12_04.xlsx&amp;sheet=U0&amp;row=9268&amp;col=6&amp;number=3.4&amp;sourceID=14","3.4")</f>
        <v>3.4</v>
      </c>
      <c r="G9268" s="4" t="str">
        <f>HYPERLINK("http://141.218.60.56/~jnz1568/getInfo.php?workbook=12_04.xlsx&amp;sheet=U0&amp;row=9268&amp;col=7&amp;number=0.000694&amp;sourceID=14","0.000694")</f>
        <v>0.000694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HYPERLINK("http://141.218.60.56/~jnz1568/getInfo.php?workbook=12_04.xlsx&amp;sheet=U0&amp;row=9269&amp;col=6&amp;number=3.5&amp;sourceID=14","3.5")</f>
        <v>3.5</v>
      </c>
      <c r="G9269" s="4" t="str">
        <f>HYPERLINK("http://141.218.60.56/~jnz1568/getInfo.php?workbook=12_04.xlsx&amp;sheet=U0&amp;row=9269&amp;col=7&amp;number=0.000693&amp;sourceID=14","0.000693")</f>
        <v>0.000693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HYPERLINK("http://141.218.60.56/~jnz1568/getInfo.php?workbook=12_04.xlsx&amp;sheet=U0&amp;row=9270&amp;col=6&amp;number=3.6&amp;sourceID=14","3.6")</f>
        <v>3.6</v>
      </c>
      <c r="G9270" s="4" t="str">
        <f>HYPERLINK("http://141.218.60.56/~jnz1568/getInfo.php?workbook=12_04.xlsx&amp;sheet=U0&amp;row=9270&amp;col=7&amp;number=0.000692&amp;sourceID=14","0.000692")</f>
        <v>0.000692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HYPERLINK("http://141.218.60.56/~jnz1568/getInfo.php?workbook=12_04.xlsx&amp;sheet=U0&amp;row=9271&amp;col=6&amp;number=3.7&amp;sourceID=14","3.7")</f>
        <v>3.7</v>
      </c>
      <c r="G9271" s="4" t="str">
        <f>HYPERLINK("http://141.218.60.56/~jnz1568/getInfo.php?workbook=12_04.xlsx&amp;sheet=U0&amp;row=9271&amp;col=7&amp;number=0.000691&amp;sourceID=14","0.000691")</f>
        <v>0.000691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HYPERLINK("http://141.218.60.56/~jnz1568/getInfo.php?workbook=12_04.xlsx&amp;sheet=U0&amp;row=9272&amp;col=6&amp;number=3.8&amp;sourceID=14","3.8")</f>
        <v>3.8</v>
      </c>
      <c r="G9272" s="4" t="str">
        <f>HYPERLINK("http://141.218.60.56/~jnz1568/getInfo.php?workbook=12_04.xlsx&amp;sheet=U0&amp;row=9272&amp;col=7&amp;number=0.00069&amp;sourceID=14","0.00069")</f>
        <v>0.00069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HYPERLINK("http://141.218.60.56/~jnz1568/getInfo.php?workbook=12_04.xlsx&amp;sheet=U0&amp;row=9273&amp;col=6&amp;number=3.9&amp;sourceID=14","3.9")</f>
        <v>3.9</v>
      </c>
      <c r="G9273" s="4" t="str">
        <f>HYPERLINK("http://141.218.60.56/~jnz1568/getInfo.php?workbook=12_04.xlsx&amp;sheet=U0&amp;row=9273&amp;col=7&amp;number=0.000688&amp;sourceID=14","0.000688")</f>
        <v>0.000688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HYPERLINK("http://141.218.60.56/~jnz1568/getInfo.php?workbook=12_04.xlsx&amp;sheet=U0&amp;row=9274&amp;col=6&amp;number=4&amp;sourceID=14","4")</f>
        <v>4</v>
      </c>
      <c r="G9274" s="4" t="str">
        <f>HYPERLINK("http://141.218.60.56/~jnz1568/getInfo.php?workbook=12_04.xlsx&amp;sheet=U0&amp;row=9274&amp;col=7&amp;number=0.000686&amp;sourceID=14","0.000686")</f>
        <v>0.000686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HYPERLINK("http://141.218.60.56/~jnz1568/getInfo.php?workbook=12_04.xlsx&amp;sheet=U0&amp;row=9275&amp;col=6&amp;number=4.1&amp;sourceID=14","4.1")</f>
        <v>4.1</v>
      </c>
      <c r="G9275" s="4" t="str">
        <f>HYPERLINK("http://141.218.60.56/~jnz1568/getInfo.php?workbook=12_04.xlsx&amp;sheet=U0&amp;row=9275&amp;col=7&amp;number=0.000684&amp;sourceID=14","0.000684")</f>
        <v>0.000684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HYPERLINK("http://141.218.60.56/~jnz1568/getInfo.php?workbook=12_04.xlsx&amp;sheet=U0&amp;row=9276&amp;col=6&amp;number=4.2&amp;sourceID=14","4.2")</f>
        <v>4.2</v>
      </c>
      <c r="G9276" s="4" t="str">
        <f>HYPERLINK("http://141.218.60.56/~jnz1568/getInfo.php?workbook=12_04.xlsx&amp;sheet=U0&amp;row=9276&amp;col=7&amp;number=0.000681&amp;sourceID=14","0.000681")</f>
        <v>0.000681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HYPERLINK("http://141.218.60.56/~jnz1568/getInfo.php?workbook=12_04.xlsx&amp;sheet=U0&amp;row=9277&amp;col=6&amp;number=4.3&amp;sourceID=14","4.3")</f>
        <v>4.3</v>
      </c>
      <c r="G9277" s="4" t="str">
        <f>HYPERLINK("http://141.218.60.56/~jnz1568/getInfo.php?workbook=12_04.xlsx&amp;sheet=U0&amp;row=9277&amp;col=7&amp;number=0.000677&amp;sourceID=14","0.000677")</f>
        <v>0.000677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HYPERLINK("http://141.218.60.56/~jnz1568/getInfo.php?workbook=12_04.xlsx&amp;sheet=U0&amp;row=9278&amp;col=6&amp;number=4.4&amp;sourceID=14","4.4")</f>
        <v>4.4</v>
      </c>
      <c r="G9278" s="4" t="str">
        <f>HYPERLINK("http://141.218.60.56/~jnz1568/getInfo.php?workbook=12_04.xlsx&amp;sheet=U0&amp;row=9278&amp;col=7&amp;number=0.000672&amp;sourceID=14","0.000672")</f>
        <v>0.000672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HYPERLINK("http://141.218.60.56/~jnz1568/getInfo.php?workbook=12_04.xlsx&amp;sheet=U0&amp;row=9279&amp;col=6&amp;number=4.5&amp;sourceID=14","4.5")</f>
        <v>4.5</v>
      </c>
      <c r="G9279" s="4" t="str">
        <f>HYPERLINK("http://141.218.60.56/~jnz1568/getInfo.php?workbook=12_04.xlsx&amp;sheet=U0&amp;row=9279&amp;col=7&amp;number=0.000665&amp;sourceID=14","0.000665")</f>
        <v>0.000665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HYPERLINK("http://141.218.60.56/~jnz1568/getInfo.php?workbook=12_04.xlsx&amp;sheet=U0&amp;row=9280&amp;col=6&amp;number=4.6&amp;sourceID=14","4.6")</f>
        <v>4.6</v>
      </c>
      <c r="G9280" s="4" t="str">
        <f>HYPERLINK("http://141.218.60.56/~jnz1568/getInfo.php?workbook=12_04.xlsx&amp;sheet=U0&amp;row=9280&amp;col=7&amp;number=0.000658&amp;sourceID=14","0.000658")</f>
        <v>0.000658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HYPERLINK("http://141.218.60.56/~jnz1568/getInfo.php?workbook=12_04.xlsx&amp;sheet=U0&amp;row=9281&amp;col=6&amp;number=4.7&amp;sourceID=14","4.7")</f>
        <v>4.7</v>
      </c>
      <c r="G9281" s="4" t="str">
        <f>HYPERLINK("http://141.218.60.56/~jnz1568/getInfo.php?workbook=12_04.xlsx&amp;sheet=U0&amp;row=9281&amp;col=7&amp;number=0.000649&amp;sourceID=14","0.000649")</f>
        <v>0.000649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HYPERLINK("http://141.218.60.56/~jnz1568/getInfo.php?workbook=12_04.xlsx&amp;sheet=U0&amp;row=9282&amp;col=6&amp;number=4.8&amp;sourceID=14","4.8")</f>
        <v>4.8</v>
      </c>
      <c r="G9282" s="4" t="str">
        <f>HYPERLINK("http://141.218.60.56/~jnz1568/getInfo.php?workbook=12_04.xlsx&amp;sheet=U0&amp;row=9282&amp;col=7&amp;number=0.000638&amp;sourceID=14","0.000638")</f>
        <v>0.000638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HYPERLINK("http://141.218.60.56/~jnz1568/getInfo.php?workbook=12_04.xlsx&amp;sheet=U0&amp;row=9283&amp;col=6&amp;number=4.9&amp;sourceID=14","4.9")</f>
        <v>4.9</v>
      </c>
      <c r="G9283" s="4" t="str">
        <f>HYPERLINK("http://141.218.60.56/~jnz1568/getInfo.php?workbook=12_04.xlsx&amp;sheet=U0&amp;row=9283&amp;col=7&amp;number=0.000624&amp;sourceID=14","0.000624")</f>
        <v>0.000624</v>
      </c>
    </row>
    <row r="9284" spans="1:7">
      <c r="A9284" s="3">
        <v>12</v>
      </c>
      <c r="B9284" s="3">
        <v>4</v>
      </c>
      <c r="C9284" s="3">
        <v>5</v>
      </c>
      <c r="D9284" s="3">
        <v>88</v>
      </c>
      <c r="E9284" s="3">
        <v>1</v>
      </c>
      <c r="F9284" s="4" t="str">
        <f>HYPERLINK("http://141.218.60.56/~jnz1568/getInfo.php?workbook=12_04.xlsx&amp;sheet=U0&amp;row=9284&amp;col=6&amp;number=3&amp;sourceID=14","3")</f>
        <v>3</v>
      </c>
      <c r="G9284" s="4" t="str">
        <f>HYPERLINK("http://141.218.60.56/~jnz1568/getInfo.php?workbook=12_04.xlsx&amp;sheet=U0&amp;row=9284&amp;col=7&amp;number=0.0021&amp;sourceID=14","0.0021")</f>
        <v>0.0021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HYPERLINK("http://141.218.60.56/~jnz1568/getInfo.php?workbook=12_04.xlsx&amp;sheet=U0&amp;row=9285&amp;col=6&amp;number=3.1&amp;sourceID=14","3.1")</f>
        <v>3.1</v>
      </c>
      <c r="G9285" s="4" t="str">
        <f>HYPERLINK("http://141.218.60.56/~jnz1568/getInfo.php?workbook=12_04.xlsx&amp;sheet=U0&amp;row=9285&amp;col=7&amp;number=0.0021&amp;sourceID=14","0.0021")</f>
        <v>0.0021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HYPERLINK("http://141.218.60.56/~jnz1568/getInfo.php?workbook=12_04.xlsx&amp;sheet=U0&amp;row=9286&amp;col=6&amp;number=3.2&amp;sourceID=14","3.2")</f>
        <v>3.2</v>
      </c>
      <c r="G9286" s="4" t="str">
        <f>HYPERLINK("http://141.218.60.56/~jnz1568/getInfo.php?workbook=12_04.xlsx&amp;sheet=U0&amp;row=9286&amp;col=7&amp;number=0.0021&amp;sourceID=14","0.0021")</f>
        <v>0.0021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HYPERLINK("http://141.218.60.56/~jnz1568/getInfo.php?workbook=12_04.xlsx&amp;sheet=U0&amp;row=9287&amp;col=6&amp;number=3.3&amp;sourceID=14","3.3")</f>
        <v>3.3</v>
      </c>
      <c r="G9287" s="4" t="str">
        <f>HYPERLINK("http://141.218.60.56/~jnz1568/getInfo.php?workbook=12_04.xlsx&amp;sheet=U0&amp;row=9287&amp;col=7&amp;number=0.0021&amp;sourceID=14","0.0021")</f>
        <v>0.0021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HYPERLINK("http://141.218.60.56/~jnz1568/getInfo.php?workbook=12_04.xlsx&amp;sheet=U0&amp;row=9288&amp;col=6&amp;number=3.4&amp;sourceID=14","3.4")</f>
        <v>3.4</v>
      </c>
      <c r="G9288" s="4" t="str">
        <f>HYPERLINK("http://141.218.60.56/~jnz1568/getInfo.php?workbook=12_04.xlsx&amp;sheet=U0&amp;row=9288&amp;col=7&amp;number=0.0021&amp;sourceID=14","0.0021")</f>
        <v>0.0021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HYPERLINK("http://141.218.60.56/~jnz1568/getInfo.php?workbook=12_04.xlsx&amp;sheet=U0&amp;row=9289&amp;col=6&amp;number=3.5&amp;sourceID=14","3.5")</f>
        <v>3.5</v>
      </c>
      <c r="G9289" s="4" t="str">
        <f>HYPERLINK("http://141.218.60.56/~jnz1568/getInfo.php?workbook=12_04.xlsx&amp;sheet=U0&amp;row=9289&amp;col=7&amp;number=0.0021&amp;sourceID=14","0.0021")</f>
        <v>0.0021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HYPERLINK("http://141.218.60.56/~jnz1568/getInfo.php?workbook=12_04.xlsx&amp;sheet=U0&amp;row=9290&amp;col=6&amp;number=3.6&amp;sourceID=14","3.6")</f>
        <v>3.6</v>
      </c>
      <c r="G9290" s="4" t="str">
        <f>HYPERLINK("http://141.218.60.56/~jnz1568/getInfo.php?workbook=12_04.xlsx&amp;sheet=U0&amp;row=9290&amp;col=7&amp;number=0.0021&amp;sourceID=14","0.0021")</f>
        <v>0.0021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HYPERLINK("http://141.218.60.56/~jnz1568/getInfo.php?workbook=12_04.xlsx&amp;sheet=U0&amp;row=9291&amp;col=6&amp;number=3.7&amp;sourceID=14","3.7")</f>
        <v>3.7</v>
      </c>
      <c r="G9291" s="4" t="str">
        <f>HYPERLINK("http://141.218.60.56/~jnz1568/getInfo.php?workbook=12_04.xlsx&amp;sheet=U0&amp;row=9291&amp;col=7&amp;number=0.00209&amp;sourceID=14","0.00209")</f>
        <v>0.00209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HYPERLINK("http://141.218.60.56/~jnz1568/getInfo.php?workbook=12_04.xlsx&amp;sheet=U0&amp;row=9292&amp;col=6&amp;number=3.8&amp;sourceID=14","3.8")</f>
        <v>3.8</v>
      </c>
      <c r="G9292" s="4" t="str">
        <f>HYPERLINK("http://141.218.60.56/~jnz1568/getInfo.php?workbook=12_04.xlsx&amp;sheet=U0&amp;row=9292&amp;col=7&amp;number=0.00209&amp;sourceID=14","0.00209")</f>
        <v>0.00209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HYPERLINK("http://141.218.60.56/~jnz1568/getInfo.php?workbook=12_04.xlsx&amp;sheet=U0&amp;row=9293&amp;col=6&amp;number=3.9&amp;sourceID=14","3.9")</f>
        <v>3.9</v>
      </c>
      <c r="G9293" s="4" t="str">
        <f>HYPERLINK("http://141.218.60.56/~jnz1568/getInfo.php?workbook=12_04.xlsx&amp;sheet=U0&amp;row=9293&amp;col=7&amp;number=0.00209&amp;sourceID=14","0.00209")</f>
        <v>0.00209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HYPERLINK("http://141.218.60.56/~jnz1568/getInfo.php?workbook=12_04.xlsx&amp;sheet=U0&amp;row=9294&amp;col=6&amp;number=4&amp;sourceID=14","4")</f>
        <v>4</v>
      </c>
      <c r="G9294" s="4" t="str">
        <f>HYPERLINK("http://141.218.60.56/~jnz1568/getInfo.php?workbook=12_04.xlsx&amp;sheet=U0&amp;row=9294&amp;col=7&amp;number=0.00208&amp;sourceID=14","0.00208")</f>
        <v>0.00208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HYPERLINK("http://141.218.60.56/~jnz1568/getInfo.php?workbook=12_04.xlsx&amp;sheet=U0&amp;row=9295&amp;col=6&amp;number=4.1&amp;sourceID=14","4.1")</f>
        <v>4.1</v>
      </c>
      <c r="G9295" s="4" t="str">
        <f>HYPERLINK("http://141.218.60.56/~jnz1568/getInfo.php?workbook=12_04.xlsx&amp;sheet=U0&amp;row=9295&amp;col=7&amp;number=0.00208&amp;sourceID=14","0.00208")</f>
        <v>0.00208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HYPERLINK("http://141.218.60.56/~jnz1568/getInfo.php?workbook=12_04.xlsx&amp;sheet=U0&amp;row=9296&amp;col=6&amp;number=4.2&amp;sourceID=14","4.2")</f>
        <v>4.2</v>
      </c>
      <c r="G9296" s="4" t="str">
        <f>HYPERLINK("http://141.218.60.56/~jnz1568/getInfo.php?workbook=12_04.xlsx&amp;sheet=U0&amp;row=9296&amp;col=7&amp;number=0.00207&amp;sourceID=14","0.00207")</f>
        <v>0.00207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HYPERLINK("http://141.218.60.56/~jnz1568/getInfo.php?workbook=12_04.xlsx&amp;sheet=U0&amp;row=9297&amp;col=6&amp;number=4.3&amp;sourceID=14","4.3")</f>
        <v>4.3</v>
      </c>
      <c r="G9297" s="4" t="str">
        <f>HYPERLINK("http://141.218.60.56/~jnz1568/getInfo.php?workbook=12_04.xlsx&amp;sheet=U0&amp;row=9297&amp;col=7&amp;number=0.00206&amp;sourceID=14","0.00206")</f>
        <v>0.00206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HYPERLINK("http://141.218.60.56/~jnz1568/getInfo.php?workbook=12_04.xlsx&amp;sheet=U0&amp;row=9298&amp;col=6&amp;number=4.4&amp;sourceID=14","4.4")</f>
        <v>4.4</v>
      </c>
      <c r="G9298" s="4" t="str">
        <f>HYPERLINK("http://141.218.60.56/~jnz1568/getInfo.php?workbook=12_04.xlsx&amp;sheet=U0&amp;row=9298&amp;col=7&amp;number=0.00205&amp;sourceID=14","0.00205")</f>
        <v>0.00205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HYPERLINK("http://141.218.60.56/~jnz1568/getInfo.php?workbook=12_04.xlsx&amp;sheet=U0&amp;row=9299&amp;col=6&amp;number=4.5&amp;sourceID=14","4.5")</f>
        <v>4.5</v>
      </c>
      <c r="G9299" s="4" t="str">
        <f>HYPERLINK("http://141.218.60.56/~jnz1568/getInfo.php?workbook=12_04.xlsx&amp;sheet=U0&amp;row=9299&amp;col=7&amp;number=0.00204&amp;sourceID=14","0.00204")</f>
        <v>0.00204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HYPERLINK("http://141.218.60.56/~jnz1568/getInfo.php?workbook=12_04.xlsx&amp;sheet=U0&amp;row=9300&amp;col=6&amp;number=4.6&amp;sourceID=14","4.6")</f>
        <v>4.6</v>
      </c>
      <c r="G9300" s="4" t="str">
        <f>HYPERLINK("http://141.218.60.56/~jnz1568/getInfo.php?workbook=12_04.xlsx&amp;sheet=U0&amp;row=9300&amp;col=7&amp;number=0.00202&amp;sourceID=14","0.00202")</f>
        <v>0.00202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HYPERLINK("http://141.218.60.56/~jnz1568/getInfo.php?workbook=12_04.xlsx&amp;sheet=U0&amp;row=9301&amp;col=6&amp;number=4.7&amp;sourceID=14","4.7")</f>
        <v>4.7</v>
      </c>
      <c r="G9301" s="4" t="str">
        <f>HYPERLINK("http://141.218.60.56/~jnz1568/getInfo.php?workbook=12_04.xlsx&amp;sheet=U0&amp;row=9301&amp;col=7&amp;number=0.002&amp;sourceID=14","0.002")</f>
        <v>0.002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HYPERLINK("http://141.218.60.56/~jnz1568/getInfo.php?workbook=12_04.xlsx&amp;sheet=U0&amp;row=9302&amp;col=6&amp;number=4.8&amp;sourceID=14","4.8")</f>
        <v>4.8</v>
      </c>
      <c r="G9302" s="4" t="str">
        <f>HYPERLINK("http://141.218.60.56/~jnz1568/getInfo.php?workbook=12_04.xlsx&amp;sheet=U0&amp;row=9302&amp;col=7&amp;number=0.00197&amp;sourceID=14","0.00197")</f>
        <v>0.00197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HYPERLINK("http://141.218.60.56/~jnz1568/getInfo.php?workbook=12_04.xlsx&amp;sheet=U0&amp;row=9303&amp;col=6&amp;number=4.9&amp;sourceID=14","4.9")</f>
        <v>4.9</v>
      </c>
      <c r="G9303" s="4" t="str">
        <f>HYPERLINK("http://141.218.60.56/~jnz1568/getInfo.php?workbook=12_04.xlsx&amp;sheet=U0&amp;row=9303&amp;col=7&amp;number=0.00195&amp;sourceID=14","0.00195")</f>
        <v>0.00195</v>
      </c>
    </row>
    <row r="9304" spans="1:7">
      <c r="A9304" s="3">
        <v>12</v>
      </c>
      <c r="B9304" s="3">
        <v>4</v>
      </c>
      <c r="C9304" s="3">
        <v>5</v>
      </c>
      <c r="D9304" s="3">
        <v>89</v>
      </c>
      <c r="E9304" s="3">
        <v>1</v>
      </c>
      <c r="F9304" s="4" t="str">
        <f>HYPERLINK("http://141.218.60.56/~jnz1568/getInfo.php?workbook=12_04.xlsx&amp;sheet=U0&amp;row=9304&amp;col=6&amp;number=3&amp;sourceID=14","3")</f>
        <v>3</v>
      </c>
      <c r="G9304" s="4" t="str">
        <f>HYPERLINK("http://141.218.60.56/~jnz1568/getInfo.php?workbook=12_04.xlsx&amp;sheet=U0&amp;row=9304&amp;col=7&amp;number=0.00264&amp;sourceID=14","0.00264")</f>
        <v>0.00264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HYPERLINK("http://141.218.60.56/~jnz1568/getInfo.php?workbook=12_04.xlsx&amp;sheet=U0&amp;row=9305&amp;col=6&amp;number=3.1&amp;sourceID=14","3.1")</f>
        <v>3.1</v>
      </c>
      <c r="G9305" s="4" t="str">
        <f>HYPERLINK("http://141.218.60.56/~jnz1568/getInfo.php?workbook=12_04.xlsx&amp;sheet=U0&amp;row=9305&amp;col=7&amp;number=0.00264&amp;sourceID=14","0.00264")</f>
        <v>0.00264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HYPERLINK("http://141.218.60.56/~jnz1568/getInfo.php?workbook=12_04.xlsx&amp;sheet=U0&amp;row=9306&amp;col=6&amp;number=3.2&amp;sourceID=14","3.2")</f>
        <v>3.2</v>
      </c>
      <c r="G9306" s="4" t="str">
        <f>HYPERLINK("http://141.218.60.56/~jnz1568/getInfo.php?workbook=12_04.xlsx&amp;sheet=U0&amp;row=9306&amp;col=7&amp;number=0.00264&amp;sourceID=14","0.00264")</f>
        <v>0.00264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HYPERLINK("http://141.218.60.56/~jnz1568/getInfo.php?workbook=12_04.xlsx&amp;sheet=U0&amp;row=9307&amp;col=6&amp;number=3.3&amp;sourceID=14","3.3")</f>
        <v>3.3</v>
      </c>
      <c r="G9307" s="4" t="str">
        <f>HYPERLINK("http://141.218.60.56/~jnz1568/getInfo.php?workbook=12_04.xlsx&amp;sheet=U0&amp;row=9307&amp;col=7&amp;number=0.00264&amp;sourceID=14","0.00264")</f>
        <v>0.00264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HYPERLINK("http://141.218.60.56/~jnz1568/getInfo.php?workbook=12_04.xlsx&amp;sheet=U0&amp;row=9308&amp;col=6&amp;number=3.4&amp;sourceID=14","3.4")</f>
        <v>3.4</v>
      </c>
      <c r="G9308" s="4" t="str">
        <f>HYPERLINK("http://141.218.60.56/~jnz1568/getInfo.php?workbook=12_04.xlsx&amp;sheet=U0&amp;row=9308&amp;col=7&amp;number=0.00264&amp;sourceID=14","0.00264")</f>
        <v>0.00264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HYPERLINK("http://141.218.60.56/~jnz1568/getInfo.php?workbook=12_04.xlsx&amp;sheet=U0&amp;row=9309&amp;col=6&amp;number=3.5&amp;sourceID=14","3.5")</f>
        <v>3.5</v>
      </c>
      <c r="G9309" s="4" t="str">
        <f>HYPERLINK("http://141.218.60.56/~jnz1568/getInfo.php?workbook=12_04.xlsx&amp;sheet=U0&amp;row=9309&amp;col=7&amp;number=0.00263&amp;sourceID=14","0.00263")</f>
        <v>0.00263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HYPERLINK("http://141.218.60.56/~jnz1568/getInfo.php?workbook=12_04.xlsx&amp;sheet=U0&amp;row=9310&amp;col=6&amp;number=3.6&amp;sourceID=14","3.6")</f>
        <v>3.6</v>
      </c>
      <c r="G9310" s="4" t="str">
        <f>HYPERLINK("http://141.218.60.56/~jnz1568/getInfo.php?workbook=12_04.xlsx&amp;sheet=U0&amp;row=9310&amp;col=7&amp;number=0.00263&amp;sourceID=14","0.00263")</f>
        <v>0.00263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HYPERLINK("http://141.218.60.56/~jnz1568/getInfo.php?workbook=12_04.xlsx&amp;sheet=U0&amp;row=9311&amp;col=6&amp;number=3.7&amp;sourceID=14","3.7")</f>
        <v>3.7</v>
      </c>
      <c r="G9311" s="4" t="str">
        <f>HYPERLINK("http://141.218.60.56/~jnz1568/getInfo.php?workbook=12_04.xlsx&amp;sheet=U0&amp;row=9311&amp;col=7&amp;number=0.00262&amp;sourceID=14","0.00262")</f>
        <v>0.00262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HYPERLINK("http://141.218.60.56/~jnz1568/getInfo.php?workbook=12_04.xlsx&amp;sheet=U0&amp;row=9312&amp;col=6&amp;number=3.8&amp;sourceID=14","3.8")</f>
        <v>3.8</v>
      </c>
      <c r="G9312" s="4" t="str">
        <f>HYPERLINK("http://141.218.60.56/~jnz1568/getInfo.php?workbook=12_04.xlsx&amp;sheet=U0&amp;row=9312&amp;col=7&amp;number=0.00262&amp;sourceID=14","0.00262")</f>
        <v>0.00262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HYPERLINK("http://141.218.60.56/~jnz1568/getInfo.php?workbook=12_04.xlsx&amp;sheet=U0&amp;row=9313&amp;col=6&amp;number=3.9&amp;sourceID=14","3.9")</f>
        <v>3.9</v>
      </c>
      <c r="G9313" s="4" t="str">
        <f>HYPERLINK("http://141.218.60.56/~jnz1568/getInfo.php?workbook=12_04.xlsx&amp;sheet=U0&amp;row=9313&amp;col=7&amp;number=0.00261&amp;sourceID=14","0.00261")</f>
        <v>0.00261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HYPERLINK("http://141.218.60.56/~jnz1568/getInfo.php?workbook=12_04.xlsx&amp;sheet=U0&amp;row=9314&amp;col=6&amp;number=4&amp;sourceID=14","4")</f>
        <v>4</v>
      </c>
      <c r="G9314" s="4" t="str">
        <f>HYPERLINK("http://141.218.60.56/~jnz1568/getInfo.php?workbook=12_04.xlsx&amp;sheet=U0&amp;row=9314&amp;col=7&amp;number=0.0026&amp;sourceID=14","0.0026")</f>
        <v>0.0026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HYPERLINK("http://141.218.60.56/~jnz1568/getInfo.php?workbook=12_04.xlsx&amp;sheet=U0&amp;row=9315&amp;col=6&amp;number=4.1&amp;sourceID=14","4.1")</f>
        <v>4.1</v>
      </c>
      <c r="G9315" s="4" t="str">
        <f>HYPERLINK("http://141.218.60.56/~jnz1568/getInfo.php?workbook=12_04.xlsx&amp;sheet=U0&amp;row=9315&amp;col=7&amp;number=0.00259&amp;sourceID=14","0.00259")</f>
        <v>0.00259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HYPERLINK("http://141.218.60.56/~jnz1568/getInfo.php?workbook=12_04.xlsx&amp;sheet=U0&amp;row=9316&amp;col=6&amp;number=4.2&amp;sourceID=14","4.2")</f>
        <v>4.2</v>
      </c>
      <c r="G9316" s="4" t="str">
        <f>HYPERLINK("http://141.218.60.56/~jnz1568/getInfo.php?workbook=12_04.xlsx&amp;sheet=U0&amp;row=9316&amp;col=7&amp;number=0.00257&amp;sourceID=14","0.00257")</f>
        <v>0.00257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HYPERLINK("http://141.218.60.56/~jnz1568/getInfo.php?workbook=12_04.xlsx&amp;sheet=U0&amp;row=9317&amp;col=6&amp;number=4.3&amp;sourceID=14","4.3")</f>
        <v>4.3</v>
      </c>
      <c r="G9317" s="4" t="str">
        <f>HYPERLINK("http://141.218.60.56/~jnz1568/getInfo.php?workbook=12_04.xlsx&amp;sheet=U0&amp;row=9317&amp;col=7&amp;number=0.00255&amp;sourceID=14","0.00255")</f>
        <v>0.00255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HYPERLINK("http://141.218.60.56/~jnz1568/getInfo.php?workbook=12_04.xlsx&amp;sheet=U0&amp;row=9318&amp;col=6&amp;number=4.4&amp;sourceID=14","4.4")</f>
        <v>4.4</v>
      </c>
      <c r="G9318" s="4" t="str">
        <f>HYPERLINK("http://141.218.60.56/~jnz1568/getInfo.php?workbook=12_04.xlsx&amp;sheet=U0&amp;row=9318&amp;col=7&amp;number=0.00253&amp;sourceID=14","0.00253")</f>
        <v>0.00253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HYPERLINK("http://141.218.60.56/~jnz1568/getInfo.php?workbook=12_04.xlsx&amp;sheet=U0&amp;row=9319&amp;col=6&amp;number=4.5&amp;sourceID=14","4.5")</f>
        <v>4.5</v>
      </c>
      <c r="G9319" s="4" t="str">
        <f>HYPERLINK("http://141.218.60.56/~jnz1568/getInfo.php?workbook=12_04.xlsx&amp;sheet=U0&amp;row=9319&amp;col=7&amp;number=0.0025&amp;sourceID=14","0.0025")</f>
        <v>0.0025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HYPERLINK("http://141.218.60.56/~jnz1568/getInfo.php?workbook=12_04.xlsx&amp;sheet=U0&amp;row=9320&amp;col=6&amp;number=4.6&amp;sourceID=14","4.6")</f>
        <v>4.6</v>
      </c>
      <c r="G9320" s="4" t="str">
        <f>HYPERLINK("http://141.218.60.56/~jnz1568/getInfo.php?workbook=12_04.xlsx&amp;sheet=U0&amp;row=9320&amp;col=7&amp;number=0.00246&amp;sourceID=14","0.00246")</f>
        <v>0.00246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HYPERLINK("http://141.218.60.56/~jnz1568/getInfo.php?workbook=12_04.xlsx&amp;sheet=U0&amp;row=9321&amp;col=6&amp;number=4.7&amp;sourceID=14","4.7")</f>
        <v>4.7</v>
      </c>
      <c r="G9321" s="4" t="str">
        <f>HYPERLINK("http://141.218.60.56/~jnz1568/getInfo.php?workbook=12_04.xlsx&amp;sheet=U0&amp;row=9321&amp;col=7&amp;number=0.00242&amp;sourceID=14","0.00242")</f>
        <v>0.00242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HYPERLINK("http://141.218.60.56/~jnz1568/getInfo.php?workbook=12_04.xlsx&amp;sheet=U0&amp;row=9322&amp;col=6&amp;number=4.8&amp;sourceID=14","4.8")</f>
        <v>4.8</v>
      </c>
      <c r="G9322" s="4" t="str">
        <f>HYPERLINK("http://141.218.60.56/~jnz1568/getInfo.php?workbook=12_04.xlsx&amp;sheet=U0&amp;row=9322&amp;col=7&amp;number=0.00237&amp;sourceID=14","0.00237")</f>
        <v>0.00237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HYPERLINK("http://141.218.60.56/~jnz1568/getInfo.php?workbook=12_04.xlsx&amp;sheet=U0&amp;row=9323&amp;col=6&amp;number=4.9&amp;sourceID=14","4.9")</f>
        <v>4.9</v>
      </c>
      <c r="G9323" s="4" t="str">
        <f>HYPERLINK("http://141.218.60.56/~jnz1568/getInfo.php?workbook=12_04.xlsx&amp;sheet=U0&amp;row=9323&amp;col=7&amp;number=0.00231&amp;sourceID=14","0.00231")</f>
        <v>0.00231</v>
      </c>
    </row>
    <row r="9324" spans="1:7">
      <c r="A9324" s="3">
        <v>12</v>
      </c>
      <c r="B9324" s="3">
        <v>4</v>
      </c>
      <c r="C9324" s="3">
        <v>5</v>
      </c>
      <c r="D9324" s="3">
        <v>90</v>
      </c>
      <c r="E9324" s="3">
        <v>1</v>
      </c>
      <c r="F9324" s="4" t="str">
        <f>HYPERLINK("http://141.218.60.56/~jnz1568/getInfo.php?workbook=12_04.xlsx&amp;sheet=U0&amp;row=9324&amp;col=6&amp;number=3&amp;sourceID=14","3")</f>
        <v>3</v>
      </c>
      <c r="G9324" s="4" t="str">
        <f>HYPERLINK("http://141.218.60.56/~jnz1568/getInfo.php?workbook=12_04.xlsx&amp;sheet=U0&amp;row=9324&amp;col=7&amp;number=0.00262&amp;sourceID=14","0.00262")</f>
        <v>0.00262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HYPERLINK("http://141.218.60.56/~jnz1568/getInfo.php?workbook=12_04.xlsx&amp;sheet=U0&amp;row=9325&amp;col=6&amp;number=3.1&amp;sourceID=14","3.1")</f>
        <v>3.1</v>
      </c>
      <c r="G9325" s="4" t="str">
        <f>HYPERLINK("http://141.218.60.56/~jnz1568/getInfo.php?workbook=12_04.xlsx&amp;sheet=U0&amp;row=9325&amp;col=7&amp;number=0.00262&amp;sourceID=14","0.00262")</f>
        <v>0.00262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HYPERLINK("http://141.218.60.56/~jnz1568/getInfo.php?workbook=12_04.xlsx&amp;sheet=U0&amp;row=9326&amp;col=6&amp;number=3.2&amp;sourceID=14","3.2")</f>
        <v>3.2</v>
      </c>
      <c r="G9326" s="4" t="str">
        <f>HYPERLINK("http://141.218.60.56/~jnz1568/getInfo.php?workbook=12_04.xlsx&amp;sheet=U0&amp;row=9326&amp;col=7&amp;number=0.00262&amp;sourceID=14","0.00262")</f>
        <v>0.00262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HYPERLINK("http://141.218.60.56/~jnz1568/getInfo.php?workbook=12_04.xlsx&amp;sheet=U0&amp;row=9327&amp;col=6&amp;number=3.3&amp;sourceID=14","3.3")</f>
        <v>3.3</v>
      </c>
      <c r="G9327" s="4" t="str">
        <f>HYPERLINK("http://141.218.60.56/~jnz1568/getInfo.php?workbook=12_04.xlsx&amp;sheet=U0&amp;row=9327&amp;col=7&amp;number=0.00262&amp;sourceID=14","0.00262")</f>
        <v>0.00262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HYPERLINK("http://141.218.60.56/~jnz1568/getInfo.php?workbook=12_04.xlsx&amp;sheet=U0&amp;row=9328&amp;col=6&amp;number=3.4&amp;sourceID=14","3.4")</f>
        <v>3.4</v>
      </c>
      <c r="G9328" s="4" t="str">
        <f>HYPERLINK("http://141.218.60.56/~jnz1568/getInfo.php?workbook=12_04.xlsx&amp;sheet=U0&amp;row=9328&amp;col=7&amp;number=0.00262&amp;sourceID=14","0.00262")</f>
        <v>0.00262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HYPERLINK("http://141.218.60.56/~jnz1568/getInfo.php?workbook=12_04.xlsx&amp;sheet=U0&amp;row=9329&amp;col=6&amp;number=3.5&amp;sourceID=14","3.5")</f>
        <v>3.5</v>
      </c>
      <c r="G9329" s="4" t="str">
        <f>HYPERLINK("http://141.218.60.56/~jnz1568/getInfo.php?workbook=12_04.xlsx&amp;sheet=U0&amp;row=9329&amp;col=7&amp;number=0.00262&amp;sourceID=14","0.00262")</f>
        <v>0.00262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HYPERLINK("http://141.218.60.56/~jnz1568/getInfo.php?workbook=12_04.xlsx&amp;sheet=U0&amp;row=9330&amp;col=6&amp;number=3.6&amp;sourceID=14","3.6")</f>
        <v>3.6</v>
      </c>
      <c r="G9330" s="4" t="str">
        <f>HYPERLINK("http://141.218.60.56/~jnz1568/getInfo.php?workbook=12_04.xlsx&amp;sheet=U0&amp;row=9330&amp;col=7&amp;number=0.00261&amp;sourceID=14","0.00261")</f>
        <v>0.00261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HYPERLINK("http://141.218.60.56/~jnz1568/getInfo.php?workbook=12_04.xlsx&amp;sheet=U0&amp;row=9331&amp;col=6&amp;number=3.7&amp;sourceID=14","3.7")</f>
        <v>3.7</v>
      </c>
      <c r="G9331" s="4" t="str">
        <f>HYPERLINK("http://141.218.60.56/~jnz1568/getInfo.php?workbook=12_04.xlsx&amp;sheet=U0&amp;row=9331&amp;col=7&amp;number=0.00261&amp;sourceID=14","0.00261")</f>
        <v>0.00261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HYPERLINK("http://141.218.60.56/~jnz1568/getInfo.php?workbook=12_04.xlsx&amp;sheet=U0&amp;row=9332&amp;col=6&amp;number=3.8&amp;sourceID=14","3.8")</f>
        <v>3.8</v>
      </c>
      <c r="G9332" s="4" t="str">
        <f>HYPERLINK("http://141.218.60.56/~jnz1568/getInfo.php?workbook=12_04.xlsx&amp;sheet=U0&amp;row=9332&amp;col=7&amp;number=0.00261&amp;sourceID=14","0.00261")</f>
        <v>0.00261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HYPERLINK("http://141.218.60.56/~jnz1568/getInfo.php?workbook=12_04.xlsx&amp;sheet=U0&amp;row=9333&amp;col=6&amp;number=3.9&amp;sourceID=14","3.9")</f>
        <v>3.9</v>
      </c>
      <c r="G9333" s="4" t="str">
        <f>HYPERLINK("http://141.218.60.56/~jnz1568/getInfo.php?workbook=12_04.xlsx&amp;sheet=U0&amp;row=9333&amp;col=7&amp;number=0.00261&amp;sourceID=14","0.00261")</f>
        <v>0.00261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HYPERLINK("http://141.218.60.56/~jnz1568/getInfo.php?workbook=12_04.xlsx&amp;sheet=U0&amp;row=9334&amp;col=6&amp;number=4&amp;sourceID=14","4")</f>
        <v>4</v>
      </c>
      <c r="G9334" s="4" t="str">
        <f>HYPERLINK("http://141.218.60.56/~jnz1568/getInfo.php?workbook=12_04.xlsx&amp;sheet=U0&amp;row=9334&amp;col=7&amp;number=0.0026&amp;sourceID=14","0.0026")</f>
        <v>0.0026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HYPERLINK("http://141.218.60.56/~jnz1568/getInfo.php?workbook=12_04.xlsx&amp;sheet=U0&amp;row=9335&amp;col=6&amp;number=4.1&amp;sourceID=14","4.1")</f>
        <v>4.1</v>
      </c>
      <c r="G9335" s="4" t="str">
        <f>HYPERLINK("http://141.218.60.56/~jnz1568/getInfo.php?workbook=12_04.xlsx&amp;sheet=U0&amp;row=9335&amp;col=7&amp;number=0.0026&amp;sourceID=14","0.0026")</f>
        <v>0.0026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HYPERLINK("http://141.218.60.56/~jnz1568/getInfo.php?workbook=12_04.xlsx&amp;sheet=U0&amp;row=9336&amp;col=6&amp;number=4.2&amp;sourceID=14","4.2")</f>
        <v>4.2</v>
      </c>
      <c r="G9336" s="4" t="str">
        <f>HYPERLINK("http://141.218.60.56/~jnz1568/getInfo.php?workbook=12_04.xlsx&amp;sheet=U0&amp;row=9336&amp;col=7&amp;number=0.00259&amp;sourceID=14","0.00259")</f>
        <v>0.00259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HYPERLINK("http://141.218.60.56/~jnz1568/getInfo.php?workbook=12_04.xlsx&amp;sheet=U0&amp;row=9337&amp;col=6&amp;number=4.3&amp;sourceID=14","4.3")</f>
        <v>4.3</v>
      </c>
      <c r="G9337" s="4" t="str">
        <f>HYPERLINK("http://141.218.60.56/~jnz1568/getInfo.php?workbook=12_04.xlsx&amp;sheet=U0&amp;row=9337&amp;col=7&amp;number=0.00258&amp;sourceID=14","0.00258")</f>
        <v>0.00258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HYPERLINK("http://141.218.60.56/~jnz1568/getInfo.php?workbook=12_04.xlsx&amp;sheet=U0&amp;row=9338&amp;col=6&amp;number=4.4&amp;sourceID=14","4.4")</f>
        <v>4.4</v>
      </c>
      <c r="G9338" s="4" t="str">
        <f>HYPERLINK("http://141.218.60.56/~jnz1568/getInfo.php?workbook=12_04.xlsx&amp;sheet=U0&amp;row=9338&amp;col=7&amp;number=0.00257&amp;sourceID=14","0.00257")</f>
        <v>0.00257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HYPERLINK("http://141.218.60.56/~jnz1568/getInfo.php?workbook=12_04.xlsx&amp;sheet=U0&amp;row=9339&amp;col=6&amp;number=4.5&amp;sourceID=14","4.5")</f>
        <v>4.5</v>
      </c>
      <c r="G9339" s="4" t="str">
        <f>HYPERLINK("http://141.218.60.56/~jnz1568/getInfo.php?workbook=12_04.xlsx&amp;sheet=U0&amp;row=9339&amp;col=7&amp;number=0.00256&amp;sourceID=14","0.00256")</f>
        <v>0.00256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HYPERLINK("http://141.218.60.56/~jnz1568/getInfo.php?workbook=12_04.xlsx&amp;sheet=U0&amp;row=9340&amp;col=6&amp;number=4.6&amp;sourceID=14","4.6")</f>
        <v>4.6</v>
      </c>
      <c r="G9340" s="4" t="str">
        <f>HYPERLINK("http://141.218.60.56/~jnz1568/getInfo.php?workbook=12_04.xlsx&amp;sheet=U0&amp;row=9340&amp;col=7&amp;number=0.00254&amp;sourceID=14","0.00254")</f>
        <v>0.00254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HYPERLINK("http://141.218.60.56/~jnz1568/getInfo.php?workbook=12_04.xlsx&amp;sheet=U0&amp;row=9341&amp;col=6&amp;number=4.7&amp;sourceID=14","4.7")</f>
        <v>4.7</v>
      </c>
      <c r="G9341" s="4" t="str">
        <f>HYPERLINK("http://141.218.60.56/~jnz1568/getInfo.php?workbook=12_04.xlsx&amp;sheet=U0&amp;row=9341&amp;col=7&amp;number=0.00252&amp;sourceID=14","0.00252")</f>
        <v>0.00252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HYPERLINK("http://141.218.60.56/~jnz1568/getInfo.php?workbook=12_04.xlsx&amp;sheet=U0&amp;row=9342&amp;col=6&amp;number=4.8&amp;sourceID=14","4.8")</f>
        <v>4.8</v>
      </c>
      <c r="G9342" s="4" t="str">
        <f>HYPERLINK("http://141.218.60.56/~jnz1568/getInfo.php?workbook=12_04.xlsx&amp;sheet=U0&amp;row=9342&amp;col=7&amp;number=0.0025&amp;sourceID=14","0.0025")</f>
        <v>0.0025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HYPERLINK("http://141.218.60.56/~jnz1568/getInfo.php?workbook=12_04.xlsx&amp;sheet=U0&amp;row=9343&amp;col=6&amp;number=4.9&amp;sourceID=14","4.9")</f>
        <v>4.9</v>
      </c>
      <c r="G9343" s="4" t="str">
        <f>HYPERLINK("http://141.218.60.56/~jnz1568/getInfo.php?workbook=12_04.xlsx&amp;sheet=U0&amp;row=9343&amp;col=7&amp;number=0.00247&amp;sourceID=14","0.00247")</f>
        <v>0.00247</v>
      </c>
    </row>
    <row r="9344" spans="1:7">
      <c r="A9344" s="3">
        <v>12</v>
      </c>
      <c r="B9344" s="3">
        <v>4</v>
      </c>
      <c r="C9344" s="3">
        <v>5</v>
      </c>
      <c r="D9344" s="3">
        <v>91</v>
      </c>
      <c r="E9344" s="3">
        <v>1</v>
      </c>
      <c r="F9344" s="4" t="str">
        <f>HYPERLINK("http://141.218.60.56/~jnz1568/getInfo.php?workbook=12_04.xlsx&amp;sheet=U0&amp;row=9344&amp;col=6&amp;number=3&amp;sourceID=14","3")</f>
        <v>3</v>
      </c>
      <c r="G9344" s="4" t="str">
        <f>HYPERLINK("http://141.218.60.56/~jnz1568/getInfo.php?workbook=12_04.xlsx&amp;sheet=U0&amp;row=9344&amp;col=7&amp;number=0.00182&amp;sourceID=14","0.00182")</f>
        <v>0.00182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HYPERLINK("http://141.218.60.56/~jnz1568/getInfo.php?workbook=12_04.xlsx&amp;sheet=U0&amp;row=9345&amp;col=6&amp;number=3.1&amp;sourceID=14","3.1")</f>
        <v>3.1</v>
      </c>
      <c r="G9345" s="4" t="str">
        <f>HYPERLINK("http://141.218.60.56/~jnz1568/getInfo.php?workbook=12_04.xlsx&amp;sheet=U0&amp;row=9345&amp;col=7&amp;number=0.00182&amp;sourceID=14","0.00182")</f>
        <v>0.00182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HYPERLINK("http://141.218.60.56/~jnz1568/getInfo.php?workbook=12_04.xlsx&amp;sheet=U0&amp;row=9346&amp;col=6&amp;number=3.2&amp;sourceID=14","3.2")</f>
        <v>3.2</v>
      </c>
      <c r="G9346" s="4" t="str">
        <f>HYPERLINK("http://141.218.60.56/~jnz1568/getInfo.php?workbook=12_04.xlsx&amp;sheet=U0&amp;row=9346&amp;col=7&amp;number=0.00182&amp;sourceID=14","0.00182")</f>
        <v>0.00182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HYPERLINK("http://141.218.60.56/~jnz1568/getInfo.php?workbook=12_04.xlsx&amp;sheet=U0&amp;row=9347&amp;col=6&amp;number=3.3&amp;sourceID=14","3.3")</f>
        <v>3.3</v>
      </c>
      <c r="G9347" s="4" t="str">
        <f>HYPERLINK("http://141.218.60.56/~jnz1568/getInfo.php?workbook=12_04.xlsx&amp;sheet=U0&amp;row=9347&amp;col=7&amp;number=0.00182&amp;sourceID=14","0.00182")</f>
        <v>0.00182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HYPERLINK("http://141.218.60.56/~jnz1568/getInfo.php?workbook=12_04.xlsx&amp;sheet=U0&amp;row=9348&amp;col=6&amp;number=3.4&amp;sourceID=14","3.4")</f>
        <v>3.4</v>
      </c>
      <c r="G9348" s="4" t="str">
        <f>HYPERLINK("http://141.218.60.56/~jnz1568/getInfo.php?workbook=12_04.xlsx&amp;sheet=U0&amp;row=9348&amp;col=7&amp;number=0.00182&amp;sourceID=14","0.00182")</f>
        <v>0.00182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HYPERLINK("http://141.218.60.56/~jnz1568/getInfo.php?workbook=12_04.xlsx&amp;sheet=U0&amp;row=9349&amp;col=6&amp;number=3.5&amp;sourceID=14","3.5")</f>
        <v>3.5</v>
      </c>
      <c r="G9349" s="4" t="str">
        <f>HYPERLINK("http://141.218.60.56/~jnz1568/getInfo.php?workbook=12_04.xlsx&amp;sheet=U0&amp;row=9349&amp;col=7&amp;number=0.00182&amp;sourceID=14","0.00182")</f>
        <v>0.00182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HYPERLINK("http://141.218.60.56/~jnz1568/getInfo.php?workbook=12_04.xlsx&amp;sheet=U0&amp;row=9350&amp;col=6&amp;number=3.6&amp;sourceID=14","3.6")</f>
        <v>3.6</v>
      </c>
      <c r="G9350" s="4" t="str">
        <f>HYPERLINK("http://141.218.60.56/~jnz1568/getInfo.php?workbook=12_04.xlsx&amp;sheet=U0&amp;row=9350&amp;col=7&amp;number=0.00182&amp;sourceID=14","0.00182")</f>
        <v>0.00182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HYPERLINK("http://141.218.60.56/~jnz1568/getInfo.php?workbook=12_04.xlsx&amp;sheet=U0&amp;row=9351&amp;col=6&amp;number=3.7&amp;sourceID=14","3.7")</f>
        <v>3.7</v>
      </c>
      <c r="G9351" s="4" t="str">
        <f>HYPERLINK("http://141.218.60.56/~jnz1568/getInfo.php?workbook=12_04.xlsx&amp;sheet=U0&amp;row=9351&amp;col=7&amp;number=0.00182&amp;sourceID=14","0.00182")</f>
        <v>0.00182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HYPERLINK("http://141.218.60.56/~jnz1568/getInfo.php?workbook=12_04.xlsx&amp;sheet=U0&amp;row=9352&amp;col=6&amp;number=3.8&amp;sourceID=14","3.8")</f>
        <v>3.8</v>
      </c>
      <c r="G9352" s="4" t="str">
        <f>HYPERLINK("http://141.218.60.56/~jnz1568/getInfo.php?workbook=12_04.xlsx&amp;sheet=U0&amp;row=9352&amp;col=7&amp;number=0.00182&amp;sourceID=14","0.00182")</f>
        <v>0.00182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HYPERLINK("http://141.218.60.56/~jnz1568/getInfo.php?workbook=12_04.xlsx&amp;sheet=U0&amp;row=9353&amp;col=6&amp;number=3.9&amp;sourceID=14","3.9")</f>
        <v>3.9</v>
      </c>
      <c r="G9353" s="4" t="str">
        <f>HYPERLINK("http://141.218.60.56/~jnz1568/getInfo.php?workbook=12_04.xlsx&amp;sheet=U0&amp;row=9353&amp;col=7&amp;number=0.00181&amp;sourceID=14","0.00181")</f>
        <v>0.00181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HYPERLINK("http://141.218.60.56/~jnz1568/getInfo.php?workbook=12_04.xlsx&amp;sheet=U0&amp;row=9354&amp;col=6&amp;number=4&amp;sourceID=14","4")</f>
        <v>4</v>
      </c>
      <c r="G9354" s="4" t="str">
        <f>HYPERLINK("http://141.218.60.56/~jnz1568/getInfo.php?workbook=12_04.xlsx&amp;sheet=U0&amp;row=9354&amp;col=7&amp;number=0.00181&amp;sourceID=14","0.00181")</f>
        <v>0.00181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HYPERLINK("http://141.218.60.56/~jnz1568/getInfo.php?workbook=12_04.xlsx&amp;sheet=U0&amp;row=9355&amp;col=6&amp;number=4.1&amp;sourceID=14","4.1")</f>
        <v>4.1</v>
      </c>
      <c r="G9355" s="4" t="str">
        <f>HYPERLINK("http://141.218.60.56/~jnz1568/getInfo.php?workbook=12_04.xlsx&amp;sheet=U0&amp;row=9355&amp;col=7&amp;number=0.00181&amp;sourceID=14","0.00181")</f>
        <v>0.00181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HYPERLINK("http://141.218.60.56/~jnz1568/getInfo.php?workbook=12_04.xlsx&amp;sheet=U0&amp;row=9356&amp;col=6&amp;number=4.2&amp;sourceID=14","4.2")</f>
        <v>4.2</v>
      </c>
      <c r="G9356" s="4" t="str">
        <f>HYPERLINK("http://141.218.60.56/~jnz1568/getInfo.php?workbook=12_04.xlsx&amp;sheet=U0&amp;row=9356&amp;col=7&amp;number=0.0018&amp;sourceID=14","0.0018")</f>
        <v>0.0018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HYPERLINK("http://141.218.60.56/~jnz1568/getInfo.php?workbook=12_04.xlsx&amp;sheet=U0&amp;row=9357&amp;col=6&amp;number=4.3&amp;sourceID=14","4.3")</f>
        <v>4.3</v>
      </c>
      <c r="G9357" s="4" t="str">
        <f>HYPERLINK("http://141.218.60.56/~jnz1568/getInfo.php?workbook=12_04.xlsx&amp;sheet=U0&amp;row=9357&amp;col=7&amp;number=0.0018&amp;sourceID=14","0.0018")</f>
        <v>0.0018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HYPERLINK("http://141.218.60.56/~jnz1568/getInfo.php?workbook=12_04.xlsx&amp;sheet=U0&amp;row=9358&amp;col=6&amp;number=4.4&amp;sourceID=14","4.4")</f>
        <v>4.4</v>
      </c>
      <c r="G9358" s="4" t="str">
        <f>HYPERLINK("http://141.218.60.56/~jnz1568/getInfo.php?workbook=12_04.xlsx&amp;sheet=U0&amp;row=9358&amp;col=7&amp;number=0.00179&amp;sourceID=14","0.00179")</f>
        <v>0.00179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HYPERLINK("http://141.218.60.56/~jnz1568/getInfo.php?workbook=12_04.xlsx&amp;sheet=U0&amp;row=9359&amp;col=6&amp;number=4.5&amp;sourceID=14","4.5")</f>
        <v>4.5</v>
      </c>
      <c r="G9359" s="4" t="str">
        <f>HYPERLINK("http://141.218.60.56/~jnz1568/getInfo.php?workbook=12_04.xlsx&amp;sheet=U0&amp;row=9359&amp;col=7&amp;number=0.00178&amp;sourceID=14","0.00178")</f>
        <v>0.00178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HYPERLINK("http://141.218.60.56/~jnz1568/getInfo.php?workbook=12_04.xlsx&amp;sheet=U0&amp;row=9360&amp;col=6&amp;number=4.6&amp;sourceID=14","4.6")</f>
        <v>4.6</v>
      </c>
      <c r="G9360" s="4" t="str">
        <f>HYPERLINK("http://141.218.60.56/~jnz1568/getInfo.php?workbook=12_04.xlsx&amp;sheet=U0&amp;row=9360&amp;col=7&amp;number=0.00177&amp;sourceID=14","0.00177")</f>
        <v>0.00177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HYPERLINK("http://141.218.60.56/~jnz1568/getInfo.php?workbook=12_04.xlsx&amp;sheet=U0&amp;row=9361&amp;col=6&amp;number=4.7&amp;sourceID=14","4.7")</f>
        <v>4.7</v>
      </c>
      <c r="G9361" s="4" t="str">
        <f>HYPERLINK("http://141.218.60.56/~jnz1568/getInfo.php?workbook=12_04.xlsx&amp;sheet=U0&amp;row=9361&amp;col=7&amp;number=0.00176&amp;sourceID=14","0.00176")</f>
        <v>0.00176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HYPERLINK("http://141.218.60.56/~jnz1568/getInfo.php?workbook=12_04.xlsx&amp;sheet=U0&amp;row=9362&amp;col=6&amp;number=4.8&amp;sourceID=14","4.8")</f>
        <v>4.8</v>
      </c>
      <c r="G9362" s="4" t="str">
        <f>HYPERLINK("http://141.218.60.56/~jnz1568/getInfo.php?workbook=12_04.xlsx&amp;sheet=U0&amp;row=9362&amp;col=7&amp;number=0.00174&amp;sourceID=14","0.00174")</f>
        <v>0.00174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HYPERLINK("http://141.218.60.56/~jnz1568/getInfo.php?workbook=12_04.xlsx&amp;sheet=U0&amp;row=9363&amp;col=6&amp;number=4.9&amp;sourceID=14","4.9")</f>
        <v>4.9</v>
      </c>
      <c r="G9363" s="4" t="str">
        <f>HYPERLINK("http://141.218.60.56/~jnz1568/getInfo.php?workbook=12_04.xlsx&amp;sheet=U0&amp;row=9363&amp;col=7&amp;number=0.00172&amp;sourceID=14","0.00172")</f>
        <v>0.00172</v>
      </c>
    </row>
    <row r="9364" spans="1:7">
      <c r="A9364" s="3">
        <v>12</v>
      </c>
      <c r="B9364" s="3">
        <v>4</v>
      </c>
      <c r="C9364" s="3">
        <v>5</v>
      </c>
      <c r="D9364" s="3">
        <v>92</v>
      </c>
      <c r="E9364" s="3">
        <v>1</v>
      </c>
      <c r="F9364" s="4" t="str">
        <f>HYPERLINK("http://141.218.60.56/~jnz1568/getInfo.php?workbook=12_04.xlsx&amp;sheet=U0&amp;row=9364&amp;col=6&amp;number=3&amp;sourceID=14","3")</f>
        <v>3</v>
      </c>
      <c r="G9364" s="4" t="str">
        <f>HYPERLINK("http://141.218.60.56/~jnz1568/getInfo.php?workbook=12_04.xlsx&amp;sheet=U0&amp;row=9364&amp;col=7&amp;number=0.00622&amp;sourceID=14","0.00622")</f>
        <v>0.00622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HYPERLINK("http://141.218.60.56/~jnz1568/getInfo.php?workbook=12_04.xlsx&amp;sheet=U0&amp;row=9365&amp;col=6&amp;number=3.1&amp;sourceID=14","3.1")</f>
        <v>3.1</v>
      </c>
      <c r="G9365" s="4" t="str">
        <f>HYPERLINK("http://141.218.60.56/~jnz1568/getInfo.php?workbook=12_04.xlsx&amp;sheet=U0&amp;row=9365&amp;col=7&amp;number=0.00621&amp;sourceID=14","0.00621")</f>
        <v>0.00621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HYPERLINK("http://141.218.60.56/~jnz1568/getInfo.php?workbook=12_04.xlsx&amp;sheet=U0&amp;row=9366&amp;col=6&amp;number=3.2&amp;sourceID=14","3.2")</f>
        <v>3.2</v>
      </c>
      <c r="G9366" s="4" t="str">
        <f>HYPERLINK("http://141.218.60.56/~jnz1568/getInfo.php?workbook=12_04.xlsx&amp;sheet=U0&amp;row=9366&amp;col=7&amp;number=0.0062&amp;sourceID=14","0.0062")</f>
        <v>0.0062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HYPERLINK("http://141.218.60.56/~jnz1568/getInfo.php?workbook=12_04.xlsx&amp;sheet=U0&amp;row=9367&amp;col=6&amp;number=3.3&amp;sourceID=14","3.3")</f>
        <v>3.3</v>
      </c>
      <c r="G9367" s="4" t="str">
        <f>HYPERLINK("http://141.218.60.56/~jnz1568/getInfo.php?workbook=12_04.xlsx&amp;sheet=U0&amp;row=9367&amp;col=7&amp;number=0.00619&amp;sourceID=14","0.00619")</f>
        <v>0.00619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HYPERLINK("http://141.218.60.56/~jnz1568/getInfo.php?workbook=12_04.xlsx&amp;sheet=U0&amp;row=9368&amp;col=6&amp;number=3.4&amp;sourceID=14","3.4")</f>
        <v>3.4</v>
      </c>
      <c r="G9368" s="4" t="str">
        <f>HYPERLINK("http://141.218.60.56/~jnz1568/getInfo.php?workbook=12_04.xlsx&amp;sheet=U0&amp;row=9368&amp;col=7&amp;number=0.00618&amp;sourceID=14","0.00618")</f>
        <v>0.00618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HYPERLINK("http://141.218.60.56/~jnz1568/getInfo.php?workbook=12_04.xlsx&amp;sheet=U0&amp;row=9369&amp;col=6&amp;number=3.5&amp;sourceID=14","3.5")</f>
        <v>3.5</v>
      </c>
      <c r="G9369" s="4" t="str">
        <f>HYPERLINK("http://141.218.60.56/~jnz1568/getInfo.php?workbook=12_04.xlsx&amp;sheet=U0&amp;row=9369&amp;col=7&amp;number=0.00616&amp;sourceID=14","0.00616")</f>
        <v>0.00616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HYPERLINK("http://141.218.60.56/~jnz1568/getInfo.php?workbook=12_04.xlsx&amp;sheet=U0&amp;row=9370&amp;col=6&amp;number=3.6&amp;sourceID=14","3.6")</f>
        <v>3.6</v>
      </c>
      <c r="G9370" s="4" t="str">
        <f>HYPERLINK("http://141.218.60.56/~jnz1568/getInfo.php?workbook=12_04.xlsx&amp;sheet=U0&amp;row=9370&amp;col=7&amp;number=0.00614&amp;sourceID=14","0.00614")</f>
        <v>0.00614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HYPERLINK("http://141.218.60.56/~jnz1568/getInfo.php?workbook=12_04.xlsx&amp;sheet=U0&amp;row=9371&amp;col=6&amp;number=3.7&amp;sourceID=14","3.7")</f>
        <v>3.7</v>
      </c>
      <c r="G9371" s="4" t="str">
        <f>HYPERLINK("http://141.218.60.56/~jnz1568/getInfo.php?workbook=12_04.xlsx&amp;sheet=U0&amp;row=9371&amp;col=7&amp;number=0.00611&amp;sourceID=14","0.00611")</f>
        <v>0.00611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HYPERLINK("http://141.218.60.56/~jnz1568/getInfo.php?workbook=12_04.xlsx&amp;sheet=U0&amp;row=9372&amp;col=6&amp;number=3.8&amp;sourceID=14","3.8")</f>
        <v>3.8</v>
      </c>
      <c r="G9372" s="4" t="str">
        <f>HYPERLINK("http://141.218.60.56/~jnz1568/getInfo.php?workbook=12_04.xlsx&amp;sheet=U0&amp;row=9372&amp;col=7&amp;number=0.00607&amp;sourceID=14","0.00607")</f>
        <v>0.00607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HYPERLINK("http://141.218.60.56/~jnz1568/getInfo.php?workbook=12_04.xlsx&amp;sheet=U0&amp;row=9373&amp;col=6&amp;number=3.9&amp;sourceID=14","3.9")</f>
        <v>3.9</v>
      </c>
      <c r="G9373" s="4" t="str">
        <f>HYPERLINK("http://141.218.60.56/~jnz1568/getInfo.php?workbook=12_04.xlsx&amp;sheet=U0&amp;row=9373&amp;col=7&amp;number=0.00602&amp;sourceID=14","0.00602")</f>
        <v>0.00602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HYPERLINK("http://141.218.60.56/~jnz1568/getInfo.php?workbook=12_04.xlsx&amp;sheet=U0&amp;row=9374&amp;col=6&amp;number=4&amp;sourceID=14","4")</f>
        <v>4</v>
      </c>
      <c r="G9374" s="4" t="str">
        <f>HYPERLINK("http://141.218.60.56/~jnz1568/getInfo.php?workbook=12_04.xlsx&amp;sheet=U0&amp;row=9374&amp;col=7&amp;number=0.00597&amp;sourceID=14","0.00597")</f>
        <v>0.00597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HYPERLINK("http://141.218.60.56/~jnz1568/getInfo.php?workbook=12_04.xlsx&amp;sheet=U0&amp;row=9375&amp;col=6&amp;number=4.1&amp;sourceID=14","4.1")</f>
        <v>4.1</v>
      </c>
      <c r="G9375" s="4" t="str">
        <f>HYPERLINK("http://141.218.60.56/~jnz1568/getInfo.php?workbook=12_04.xlsx&amp;sheet=U0&amp;row=9375&amp;col=7&amp;number=0.0059&amp;sourceID=14","0.0059")</f>
        <v>0.0059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HYPERLINK("http://141.218.60.56/~jnz1568/getInfo.php?workbook=12_04.xlsx&amp;sheet=U0&amp;row=9376&amp;col=6&amp;number=4.2&amp;sourceID=14","4.2")</f>
        <v>4.2</v>
      </c>
      <c r="G9376" s="4" t="str">
        <f>HYPERLINK("http://141.218.60.56/~jnz1568/getInfo.php?workbook=12_04.xlsx&amp;sheet=U0&amp;row=9376&amp;col=7&amp;number=0.00581&amp;sourceID=14","0.00581")</f>
        <v>0.00581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HYPERLINK("http://141.218.60.56/~jnz1568/getInfo.php?workbook=12_04.xlsx&amp;sheet=U0&amp;row=9377&amp;col=6&amp;number=4.3&amp;sourceID=14","4.3")</f>
        <v>4.3</v>
      </c>
      <c r="G9377" s="4" t="str">
        <f>HYPERLINK("http://141.218.60.56/~jnz1568/getInfo.php?workbook=12_04.xlsx&amp;sheet=U0&amp;row=9377&amp;col=7&amp;number=0.0057&amp;sourceID=14","0.0057")</f>
        <v>0.0057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HYPERLINK("http://141.218.60.56/~jnz1568/getInfo.php?workbook=12_04.xlsx&amp;sheet=U0&amp;row=9378&amp;col=6&amp;number=4.4&amp;sourceID=14","4.4")</f>
        <v>4.4</v>
      </c>
      <c r="G9378" s="4" t="str">
        <f>HYPERLINK("http://141.218.60.56/~jnz1568/getInfo.php?workbook=12_04.xlsx&amp;sheet=U0&amp;row=9378&amp;col=7&amp;number=0.00557&amp;sourceID=14","0.00557")</f>
        <v>0.00557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HYPERLINK("http://141.218.60.56/~jnz1568/getInfo.php?workbook=12_04.xlsx&amp;sheet=U0&amp;row=9379&amp;col=6&amp;number=4.5&amp;sourceID=14","4.5")</f>
        <v>4.5</v>
      </c>
      <c r="G9379" s="4" t="str">
        <f>HYPERLINK("http://141.218.60.56/~jnz1568/getInfo.php?workbook=12_04.xlsx&amp;sheet=U0&amp;row=9379&amp;col=7&amp;number=0.00541&amp;sourceID=14","0.00541")</f>
        <v>0.00541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HYPERLINK("http://141.218.60.56/~jnz1568/getInfo.php?workbook=12_04.xlsx&amp;sheet=U0&amp;row=9380&amp;col=6&amp;number=4.6&amp;sourceID=14","4.6")</f>
        <v>4.6</v>
      </c>
      <c r="G9380" s="4" t="str">
        <f>HYPERLINK("http://141.218.60.56/~jnz1568/getInfo.php?workbook=12_04.xlsx&amp;sheet=U0&amp;row=9380&amp;col=7&amp;number=0.00523&amp;sourceID=14","0.00523")</f>
        <v>0.00523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HYPERLINK("http://141.218.60.56/~jnz1568/getInfo.php?workbook=12_04.xlsx&amp;sheet=U0&amp;row=9381&amp;col=6&amp;number=4.7&amp;sourceID=14","4.7")</f>
        <v>4.7</v>
      </c>
      <c r="G9381" s="4" t="str">
        <f>HYPERLINK("http://141.218.60.56/~jnz1568/getInfo.php?workbook=12_04.xlsx&amp;sheet=U0&amp;row=9381&amp;col=7&amp;number=0.00502&amp;sourceID=14","0.00502")</f>
        <v>0.00502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HYPERLINK("http://141.218.60.56/~jnz1568/getInfo.php?workbook=12_04.xlsx&amp;sheet=U0&amp;row=9382&amp;col=6&amp;number=4.8&amp;sourceID=14","4.8")</f>
        <v>4.8</v>
      </c>
      <c r="G9382" s="4" t="str">
        <f>HYPERLINK("http://141.218.60.56/~jnz1568/getInfo.php?workbook=12_04.xlsx&amp;sheet=U0&amp;row=9382&amp;col=7&amp;number=0.00479&amp;sourceID=14","0.00479")</f>
        <v>0.00479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HYPERLINK("http://141.218.60.56/~jnz1568/getInfo.php?workbook=12_04.xlsx&amp;sheet=U0&amp;row=9383&amp;col=6&amp;number=4.9&amp;sourceID=14","4.9")</f>
        <v>4.9</v>
      </c>
      <c r="G9383" s="4" t="str">
        <f>HYPERLINK("http://141.218.60.56/~jnz1568/getInfo.php?workbook=12_04.xlsx&amp;sheet=U0&amp;row=9383&amp;col=7&amp;number=0.00458&amp;sourceID=14","0.00458")</f>
        <v>0.00458</v>
      </c>
    </row>
    <row r="9384" spans="1:7">
      <c r="A9384" s="3">
        <v>12</v>
      </c>
      <c r="B9384" s="3">
        <v>4</v>
      </c>
      <c r="C9384" s="3">
        <v>5</v>
      </c>
      <c r="D9384" s="3">
        <v>93</v>
      </c>
      <c r="E9384" s="3">
        <v>1</v>
      </c>
      <c r="F9384" s="4" t="str">
        <f>HYPERLINK("http://141.218.60.56/~jnz1568/getInfo.php?workbook=12_04.xlsx&amp;sheet=U0&amp;row=9384&amp;col=6&amp;number=3&amp;sourceID=14","3")</f>
        <v>3</v>
      </c>
      <c r="G9384" s="4" t="str">
        <f>HYPERLINK("http://141.218.60.56/~jnz1568/getInfo.php?workbook=12_04.xlsx&amp;sheet=U0&amp;row=9384&amp;col=7&amp;number=0.00174&amp;sourceID=14","0.00174")</f>
        <v>0.00174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HYPERLINK("http://141.218.60.56/~jnz1568/getInfo.php?workbook=12_04.xlsx&amp;sheet=U0&amp;row=9385&amp;col=6&amp;number=3.1&amp;sourceID=14","3.1")</f>
        <v>3.1</v>
      </c>
      <c r="G9385" s="4" t="str">
        <f>HYPERLINK("http://141.218.60.56/~jnz1568/getInfo.php?workbook=12_04.xlsx&amp;sheet=U0&amp;row=9385&amp;col=7&amp;number=0.00174&amp;sourceID=14","0.00174")</f>
        <v>0.00174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HYPERLINK("http://141.218.60.56/~jnz1568/getInfo.php?workbook=12_04.xlsx&amp;sheet=U0&amp;row=9386&amp;col=6&amp;number=3.2&amp;sourceID=14","3.2")</f>
        <v>3.2</v>
      </c>
      <c r="G9386" s="4" t="str">
        <f>HYPERLINK("http://141.218.60.56/~jnz1568/getInfo.php?workbook=12_04.xlsx&amp;sheet=U0&amp;row=9386&amp;col=7&amp;number=0.00174&amp;sourceID=14","0.00174")</f>
        <v>0.00174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HYPERLINK("http://141.218.60.56/~jnz1568/getInfo.php?workbook=12_04.xlsx&amp;sheet=U0&amp;row=9387&amp;col=6&amp;number=3.3&amp;sourceID=14","3.3")</f>
        <v>3.3</v>
      </c>
      <c r="G9387" s="4" t="str">
        <f>HYPERLINK("http://141.218.60.56/~jnz1568/getInfo.php?workbook=12_04.xlsx&amp;sheet=U0&amp;row=9387&amp;col=7&amp;number=0.00174&amp;sourceID=14","0.00174")</f>
        <v>0.00174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HYPERLINK("http://141.218.60.56/~jnz1568/getInfo.php?workbook=12_04.xlsx&amp;sheet=U0&amp;row=9388&amp;col=6&amp;number=3.4&amp;sourceID=14","3.4")</f>
        <v>3.4</v>
      </c>
      <c r="G9388" s="4" t="str">
        <f>HYPERLINK("http://141.218.60.56/~jnz1568/getInfo.php?workbook=12_04.xlsx&amp;sheet=U0&amp;row=9388&amp;col=7&amp;number=0.00174&amp;sourceID=14","0.00174")</f>
        <v>0.00174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HYPERLINK("http://141.218.60.56/~jnz1568/getInfo.php?workbook=12_04.xlsx&amp;sheet=U0&amp;row=9389&amp;col=6&amp;number=3.5&amp;sourceID=14","3.5")</f>
        <v>3.5</v>
      </c>
      <c r="G9389" s="4" t="str">
        <f>HYPERLINK("http://141.218.60.56/~jnz1568/getInfo.php?workbook=12_04.xlsx&amp;sheet=U0&amp;row=9389&amp;col=7&amp;number=0.00173&amp;sourceID=14","0.00173")</f>
        <v>0.00173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HYPERLINK("http://141.218.60.56/~jnz1568/getInfo.php?workbook=12_04.xlsx&amp;sheet=U0&amp;row=9390&amp;col=6&amp;number=3.6&amp;sourceID=14","3.6")</f>
        <v>3.6</v>
      </c>
      <c r="G9390" s="4" t="str">
        <f>HYPERLINK("http://141.218.60.56/~jnz1568/getInfo.php?workbook=12_04.xlsx&amp;sheet=U0&amp;row=9390&amp;col=7&amp;number=0.00173&amp;sourceID=14","0.00173")</f>
        <v>0.00173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HYPERLINK("http://141.218.60.56/~jnz1568/getInfo.php?workbook=12_04.xlsx&amp;sheet=U0&amp;row=9391&amp;col=6&amp;number=3.7&amp;sourceID=14","3.7")</f>
        <v>3.7</v>
      </c>
      <c r="G9391" s="4" t="str">
        <f>HYPERLINK("http://141.218.60.56/~jnz1568/getInfo.php?workbook=12_04.xlsx&amp;sheet=U0&amp;row=9391&amp;col=7&amp;number=0.00173&amp;sourceID=14","0.00173")</f>
        <v>0.00173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HYPERLINK("http://141.218.60.56/~jnz1568/getInfo.php?workbook=12_04.xlsx&amp;sheet=U0&amp;row=9392&amp;col=6&amp;number=3.8&amp;sourceID=14","3.8")</f>
        <v>3.8</v>
      </c>
      <c r="G9392" s="4" t="str">
        <f>HYPERLINK("http://141.218.60.56/~jnz1568/getInfo.php?workbook=12_04.xlsx&amp;sheet=U0&amp;row=9392&amp;col=7&amp;number=0.00173&amp;sourceID=14","0.00173")</f>
        <v>0.00173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HYPERLINK("http://141.218.60.56/~jnz1568/getInfo.php?workbook=12_04.xlsx&amp;sheet=U0&amp;row=9393&amp;col=6&amp;number=3.9&amp;sourceID=14","3.9")</f>
        <v>3.9</v>
      </c>
      <c r="G9393" s="4" t="str">
        <f>HYPERLINK("http://141.218.60.56/~jnz1568/getInfo.php?workbook=12_04.xlsx&amp;sheet=U0&amp;row=9393&amp;col=7&amp;number=0.00172&amp;sourceID=14","0.00172")</f>
        <v>0.00172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HYPERLINK("http://141.218.60.56/~jnz1568/getInfo.php?workbook=12_04.xlsx&amp;sheet=U0&amp;row=9394&amp;col=6&amp;number=4&amp;sourceID=14","4")</f>
        <v>4</v>
      </c>
      <c r="G9394" s="4" t="str">
        <f>HYPERLINK("http://141.218.60.56/~jnz1568/getInfo.php?workbook=12_04.xlsx&amp;sheet=U0&amp;row=9394&amp;col=7&amp;number=0.00172&amp;sourceID=14","0.00172")</f>
        <v>0.00172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HYPERLINK("http://141.218.60.56/~jnz1568/getInfo.php?workbook=12_04.xlsx&amp;sheet=U0&amp;row=9395&amp;col=6&amp;number=4.1&amp;sourceID=14","4.1")</f>
        <v>4.1</v>
      </c>
      <c r="G9395" s="4" t="str">
        <f>HYPERLINK("http://141.218.60.56/~jnz1568/getInfo.php?workbook=12_04.xlsx&amp;sheet=U0&amp;row=9395&amp;col=7&amp;number=0.00171&amp;sourceID=14","0.00171")</f>
        <v>0.00171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HYPERLINK("http://141.218.60.56/~jnz1568/getInfo.php?workbook=12_04.xlsx&amp;sheet=U0&amp;row=9396&amp;col=6&amp;number=4.2&amp;sourceID=14","4.2")</f>
        <v>4.2</v>
      </c>
      <c r="G9396" s="4" t="str">
        <f>HYPERLINK("http://141.218.60.56/~jnz1568/getInfo.php?workbook=12_04.xlsx&amp;sheet=U0&amp;row=9396&amp;col=7&amp;number=0.00171&amp;sourceID=14","0.00171")</f>
        <v>0.00171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HYPERLINK("http://141.218.60.56/~jnz1568/getInfo.php?workbook=12_04.xlsx&amp;sheet=U0&amp;row=9397&amp;col=6&amp;number=4.3&amp;sourceID=14","4.3")</f>
        <v>4.3</v>
      </c>
      <c r="G9397" s="4" t="str">
        <f>HYPERLINK("http://141.218.60.56/~jnz1568/getInfo.php?workbook=12_04.xlsx&amp;sheet=U0&amp;row=9397&amp;col=7&amp;number=0.0017&amp;sourceID=14","0.0017")</f>
        <v>0.0017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HYPERLINK("http://141.218.60.56/~jnz1568/getInfo.php?workbook=12_04.xlsx&amp;sheet=U0&amp;row=9398&amp;col=6&amp;number=4.4&amp;sourceID=14","4.4")</f>
        <v>4.4</v>
      </c>
      <c r="G9398" s="4" t="str">
        <f>HYPERLINK("http://141.218.60.56/~jnz1568/getInfo.php?workbook=12_04.xlsx&amp;sheet=U0&amp;row=9398&amp;col=7&amp;number=0.00169&amp;sourceID=14","0.00169")</f>
        <v>0.00169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HYPERLINK("http://141.218.60.56/~jnz1568/getInfo.php?workbook=12_04.xlsx&amp;sheet=U0&amp;row=9399&amp;col=6&amp;number=4.5&amp;sourceID=14","4.5")</f>
        <v>4.5</v>
      </c>
      <c r="G9399" s="4" t="str">
        <f>HYPERLINK("http://141.218.60.56/~jnz1568/getInfo.php?workbook=12_04.xlsx&amp;sheet=U0&amp;row=9399&amp;col=7&amp;number=0.00167&amp;sourceID=14","0.00167")</f>
        <v>0.00167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HYPERLINK("http://141.218.60.56/~jnz1568/getInfo.php?workbook=12_04.xlsx&amp;sheet=U0&amp;row=9400&amp;col=6&amp;number=4.6&amp;sourceID=14","4.6")</f>
        <v>4.6</v>
      </c>
      <c r="G9400" s="4" t="str">
        <f>HYPERLINK("http://141.218.60.56/~jnz1568/getInfo.php?workbook=12_04.xlsx&amp;sheet=U0&amp;row=9400&amp;col=7&amp;number=0.00166&amp;sourceID=14","0.00166")</f>
        <v>0.00166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HYPERLINK("http://141.218.60.56/~jnz1568/getInfo.php?workbook=12_04.xlsx&amp;sheet=U0&amp;row=9401&amp;col=6&amp;number=4.7&amp;sourceID=14","4.7")</f>
        <v>4.7</v>
      </c>
      <c r="G9401" s="4" t="str">
        <f>HYPERLINK("http://141.218.60.56/~jnz1568/getInfo.php?workbook=12_04.xlsx&amp;sheet=U0&amp;row=9401&amp;col=7&amp;number=0.00163&amp;sourceID=14","0.00163")</f>
        <v>0.00163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HYPERLINK("http://141.218.60.56/~jnz1568/getInfo.php?workbook=12_04.xlsx&amp;sheet=U0&amp;row=9402&amp;col=6&amp;number=4.8&amp;sourceID=14","4.8")</f>
        <v>4.8</v>
      </c>
      <c r="G9402" s="4" t="str">
        <f>HYPERLINK("http://141.218.60.56/~jnz1568/getInfo.php?workbook=12_04.xlsx&amp;sheet=U0&amp;row=9402&amp;col=7&amp;number=0.00161&amp;sourceID=14","0.00161")</f>
        <v>0.00161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HYPERLINK("http://141.218.60.56/~jnz1568/getInfo.php?workbook=12_04.xlsx&amp;sheet=U0&amp;row=9403&amp;col=6&amp;number=4.9&amp;sourceID=14","4.9")</f>
        <v>4.9</v>
      </c>
      <c r="G9403" s="4" t="str">
        <f>HYPERLINK("http://141.218.60.56/~jnz1568/getInfo.php?workbook=12_04.xlsx&amp;sheet=U0&amp;row=9403&amp;col=7&amp;number=0.00158&amp;sourceID=14","0.00158")</f>
        <v>0.00158</v>
      </c>
    </row>
    <row r="9404" spans="1:7">
      <c r="A9404" s="3">
        <v>12</v>
      </c>
      <c r="B9404" s="3">
        <v>4</v>
      </c>
      <c r="C9404" s="3">
        <v>5</v>
      </c>
      <c r="D9404" s="3">
        <v>94</v>
      </c>
      <c r="E9404" s="3">
        <v>1</v>
      </c>
      <c r="F9404" s="4" t="str">
        <f>HYPERLINK("http://141.218.60.56/~jnz1568/getInfo.php?workbook=12_04.xlsx&amp;sheet=U0&amp;row=9404&amp;col=6&amp;number=3&amp;sourceID=14","3")</f>
        <v>3</v>
      </c>
      <c r="G9404" s="4" t="str">
        <f>HYPERLINK("http://141.218.60.56/~jnz1568/getInfo.php?workbook=12_04.xlsx&amp;sheet=U0&amp;row=9404&amp;col=7&amp;number=0.000736&amp;sourceID=14","0.000736")</f>
        <v>0.000736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HYPERLINK("http://141.218.60.56/~jnz1568/getInfo.php?workbook=12_04.xlsx&amp;sheet=U0&amp;row=9405&amp;col=6&amp;number=3.1&amp;sourceID=14","3.1")</f>
        <v>3.1</v>
      </c>
      <c r="G9405" s="4" t="str">
        <f>HYPERLINK("http://141.218.60.56/~jnz1568/getInfo.php?workbook=12_04.xlsx&amp;sheet=U0&amp;row=9405&amp;col=7&amp;number=0.000736&amp;sourceID=14","0.000736")</f>
        <v>0.000736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HYPERLINK("http://141.218.60.56/~jnz1568/getInfo.php?workbook=12_04.xlsx&amp;sheet=U0&amp;row=9406&amp;col=6&amp;number=3.2&amp;sourceID=14","3.2")</f>
        <v>3.2</v>
      </c>
      <c r="G9406" s="4" t="str">
        <f>HYPERLINK("http://141.218.60.56/~jnz1568/getInfo.php?workbook=12_04.xlsx&amp;sheet=U0&amp;row=9406&amp;col=7&amp;number=0.000736&amp;sourceID=14","0.000736")</f>
        <v>0.000736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HYPERLINK("http://141.218.60.56/~jnz1568/getInfo.php?workbook=12_04.xlsx&amp;sheet=U0&amp;row=9407&amp;col=6&amp;number=3.3&amp;sourceID=14","3.3")</f>
        <v>3.3</v>
      </c>
      <c r="G9407" s="4" t="str">
        <f>HYPERLINK("http://141.218.60.56/~jnz1568/getInfo.php?workbook=12_04.xlsx&amp;sheet=U0&amp;row=9407&amp;col=7&amp;number=0.000736&amp;sourceID=14","0.000736")</f>
        <v>0.000736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HYPERLINK("http://141.218.60.56/~jnz1568/getInfo.php?workbook=12_04.xlsx&amp;sheet=U0&amp;row=9408&amp;col=6&amp;number=3.4&amp;sourceID=14","3.4")</f>
        <v>3.4</v>
      </c>
      <c r="G9408" s="4" t="str">
        <f>HYPERLINK("http://141.218.60.56/~jnz1568/getInfo.php?workbook=12_04.xlsx&amp;sheet=U0&amp;row=9408&amp;col=7&amp;number=0.000735&amp;sourceID=14","0.000735")</f>
        <v>0.000735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HYPERLINK("http://141.218.60.56/~jnz1568/getInfo.php?workbook=12_04.xlsx&amp;sheet=U0&amp;row=9409&amp;col=6&amp;number=3.5&amp;sourceID=14","3.5")</f>
        <v>3.5</v>
      </c>
      <c r="G9409" s="4" t="str">
        <f>HYPERLINK("http://141.218.60.56/~jnz1568/getInfo.php?workbook=12_04.xlsx&amp;sheet=U0&amp;row=9409&amp;col=7&amp;number=0.000735&amp;sourceID=14","0.000735")</f>
        <v>0.000735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HYPERLINK("http://141.218.60.56/~jnz1568/getInfo.php?workbook=12_04.xlsx&amp;sheet=U0&amp;row=9410&amp;col=6&amp;number=3.6&amp;sourceID=14","3.6")</f>
        <v>3.6</v>
      </c>
      <c r="G9410" s="4" t="str">
        <f>HYPERLINK("http://141.218.60.56/~jnz1568/getInfo.php?workbook=12_04.xlsx&amp;sheet=U0&amp;row=9410&amp;col=7&amp;number=0.000735&amp;sourceID=14","0.000735")</f>
        <v>0.000735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HYPERLINK("http://141.218.60.56/~jnz1568/getInfo.php?workbook=12_04.xlsx&amp;sheet=U0&amp;row=9411&amp;col=6&amp;number=3.7&amp;sourceID=14","3.7")</f>
        <v>3.7</v>
      </c>
      <c r="G9411" s="4" t="str">
        <f>HYPERLINK("http://141.218.60.56/~jnz1568/getInfo.php?workbook=12_04.xlsx&amp;sheet=U0&amp;row=9411&amp;col=7&amp;number=0.000735&amp;sourceID=14","0.000735")</f>
        <v>0.000735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HYPERLINK("http://141.218.60.56/~jnz1568/getInfo.php?workbook=12_04.xlsx&amp;sheet=U0&amp;row=9412&amp;col=6&amp;number=3.8&amp;sourceID=14","3.8")</f>
        <v>3.8</v>
      </c>
      <c r="G9412" s="4" t="str">
        <f>HYPERLINK("http://141.218.60.56/~jnz1568/getInfo.php?workbook=12_04.xlsx&amp;sheet=U0&amp;row=9412&amp;col=7&amp;number=0.000734&amp;sourceID=14","0.000734")</f>
        <v>0.000734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HYPERLINK("http://141.218.60.56/~jnz1568/getInfo.php?workbook=12_04.xlsx&amp;sheet=U0&amp;row=9413&amp;col=6&amp;number=3.9&amp;sourceID=14","3.9")</f>
        <v>3.9</v>
      </c>
      <c r="G9413" s="4" t="str">
        <f>HYPERLINK("http://141.218.60.56/~jnz1568/getInfo.php?workbook=12_04.xlsx&amp;sheet=U0&amp;row=9413&amp;col=7&amp;number=0.000733&amp;sourceID=14","0.000733")</f>
        <v>0.000733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HYPERLINK("http://141.218.60.56/~jnz1568/getInfo.php?workbook=12_04.xlsx&amp;sheet=U0&amp;row=9414&amp;col=6&amp;number=4&amp;sourceID=14","4")</f>
        <v>4</v>
      </c>
      <c r="G9414" s="4" t="str">
        <f>HYPERLINK("http://141.218.60.56/~jnz1568/getInfo.php?workbook=12_04.xlsx&amp;sheet=U0&amp;row=9414&amp;col=7&amp;number=0.000733&amp;sourceID=14","0.000733")</f>
        <v>0.000733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HYPERLINK("http://141.218.60.56/~jnz1568/getInfo.php?workbook=12_04.xlsx&amp;sheet=U0&amp;row=9415&amp;col=6&amp;number=4.1&amp;sourceID=14","4.1")</f>
        <v>4.1</v>
      </c>
      <c r="G9415" s="4" t="str">
        <f>HYPERLINK("http://141.218.60.56/~jnz1568/getInfo.php?workbook=12_04.xlsx&amp;sheet=U0&amp;row=9415&amp;col=7&amp;number=0.000732&amp;sourceID=14","0.000732")</f>
        <v>0.000732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HYPERLINK("http://141.218.60.56/~jnz1568/getInfo.php?workbook=12_04.xlsx&amp;sheet=U0&amp;row=9416&amp;col=6&amp;number=4.2&amp;sourceID=14","4.2")</f>
        <v>4.2</v>
      </c>
      <c r="G9416" s="4" t="str">
        <f>HYPERLINK("http://141.218.60.56/~jnz1568/getInfo.php?workbook=12_04.xlsx&amp;sheet=U0&amp;row=9416&amp;col=7&amp;number=0.00073&amp;sourceID=14","0.00073")</f>
        <v>0.00073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HYPERLINK("http://141.218.60.56/~jnz1568/getInfo.php?workbook=12_04.xlsx&amp;sheet=U0&amp;row=9417&amp;col=6&amp;number=4.3&amp;sourceID=14","4.3")</f>
        <v>4.3</v>
      </c>
      <c r="G9417" s="4" t="str">
        <f>HYPERLINK("http://141.218.60.56/~jnz1568/getInfo.php?workbook=12_04.xlsx&amp;sheet=U0&amp;row=9417&amp;col=7&amp;number=0.000729&amp;sourceID=14","0.000729")</f>
        <v>0.000729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HYPERLINK("http://141.218.60.56/~jnz1568/getInfo.php?workbook=12_04.xlsx&amp;sheet=U0&amp;row=9418&amp;col=6&amp;number=4.4&amp;sourceID=14","4.4")</f>
        <v>4.4</v>
      </c>
      <c r="G9418" s="4" t="str">
        <f>HYPERLINK("http://141.218.60.56/~jnz1568/getInfo.php?workbook=12_04.xlsx&amp;sheet=U0&amp;row=9418&amp;col=7&amp;number=0.000727&amp;sourceID=14","0.000727")</f>
        <v>0.000727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HYPERLINK("http://141.218.60.56/~jnz1568/getInfo.php?workbook=12_04.xlsx&amp;sheet=U0&amp;row=9419&amp;col=6&amp;number=4.5&amp;sourceID=14","4.5")</f>
        <v>4.5</v>
      </c>
      <c r="G9419" s="4" t="str">
        <f>HYPERLINK("http://141.218.60.56/~jnz1568/getInfo.php?workbook=12_04.xlsx&amp;sheet=U0&amp;row=9419&amp;col=7&amp;number=0.000724&amp;sourceID=14","0.000724")</f>
        <v>0.000724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HYPERLINK("http://141.218.60.56/~jnz1568/getInfo.php?workbook=12_04.xlsx&amp;sheet=U0&amp;row=9420&amp;col=6&amp;number=4.6&amp;sourceID=14","4.6")</f>
        <v>4.6</v>
      </c>
      <c r="G9420" s="4" t="str">
        <f>HYPERLINK("http://141.218.60.56/~jnz1568/getInfo.php?workbook=12_04.xlsx&amp;sheet=U0&amp;row=9420&amp;col=7&amp;number=0.000721&amp;sourceID=14","0.000721")</f>
        <v>0.000721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HYPERLINK("http://141.218.60.56/~jnz1568/getInfo.php?workbook=12_04.xlsx&amp;sheet=U0&amp;row=9421&amp;col=6&amp;number=4.7&amp;sourceID=14","4.7")</f>
        <v>4.7</v>
      </c>
      <c r="G9421" s="4" t="str">
        <f>HYPERLINK("http://141.218.60.56/~jnz1568/getInfo.php?workbook=12_04.xlsx&amp;sheet=U0&amp;row=9421&amp;col=7&amp;number=0.000717&amp;sourceID=14","0.000717")</f>
        <v>0.000717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HYPERLINK("http://141.218.60.56/~jnz1568/getInfo.php?workbook=12_04.xlsx&amp;sheet=U0&amp;row=9422&amp;col=6&amp;number=4.8&amp;sourceID=14","4.8")</f>
        <v>4.8</v>
      </c>
      <c r="G9422" s="4" t="str">
        <f>HYPERLINK("http://141.218.60.56/~jnz1568/getInfo.php?workbook=12_04.xlsx&amp;sheet=U0&amp;row=9422&amp;col=7&amp;number=0.000712&amp;sourceID=14","0.000712")</f>
        <v>0.000712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HYPERLINK("http://141.218.60.56/~jnz1568/getInfo.php?workbook=12_04.xlsx&amp;sheet=U0&amp;row=9423&amp;col=6&amp;number=4.9&amp;sourceID=14","4.9")</f>
        <v>4.9</v>
      </c>
      <c r="G9423" s="4" t="str">
        <f>HYPERLINK("http://141.218.60.56/~jnz1568/getInfo.php?workbook=12_04.xlsx&amp;sheet=U0&amp;row=9423&amp;col=7&amp;number=0.000706&amp;sourceID=14","0.000706")</f>
        <v>0.000706</v>
      </c>
    </row>
    <row r="9424" spans="1:7">
      <c r="A9424" s="3">
        <v>12</v>
      </c>
      <c r="B9424" s="3">
        <v>4</v>
      </c>
      <c r="C9424" s="3">
        <v>5</v>
      </c>
      <c r="D9424" s="3">
        <v>95</v>
      </c>
      <c r="E9424" s="3">
        <v>1</v>
      </c>
      <c r="F9424" s="4" t="str">
        <f>HYPERLINK("http://141.218.60.56/~jnz1568/getInfo.php?workbook=12_04.xlsx&amp;sheet=U0&amp;row=9424&amp;col=6&amp;number=3&amp;sourceID=14","3")</f>
        <v>3</v>
      </c>
      <c r="G9424" s="4" t="str">
        <f>HYPERLINK("http://141.218.60.56/~jnz1568/getInfo.php?workbook=12_04.xlsx&amp;sheet=U0&amp;row=9424&amp;col=7&amp;number=0.00202&amp;sourceID=14","0.00202")</f>
        <v>0.00202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HYPERLINK("http://141.218.60.56/~jnz1568/getInfo.php?workbook=12_04.xlsx&amp;sheet=U0&amp;row=9425&amp;col=6&amp;number=3.1&amp;sourceID=14","3.1")</f>
        <v>3.1</v>
      </c>
      <c r="G9425" s="4" t="str">
        <f>HYPERLINK("http://141.218.60.56/~jnz1568/getInfo.php?workbook=12_04.xlsx&amp;sheet=U0&amp;row=9425&amp;col=7&amp;number=0.00202&amp;sourceID=14","0.00202")</f>
        <v>0.00202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HYPERLINK("http://141.218.60.56/~jnz1568/getInfo.php?workbook=12_04.xlsx&amp;sheet=U0&amp;row=9426&amp;col=6&amp;number=3.2&amp;sourceID=14","3.2")</f>
        <v>3.2</v>
      </c>
      <c r="G9426" s="4" t="str">
        <f>HYPERLINK("http://141.218.60.56/~jnz1568/getInfo.php?workbook=12_04.xlsx&amp;sheet=U0&amp;row=9426&amp;col=7&amp;number=0.00202&amp;sourceID=14","0.00202")</f>
        <v>0.00202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HYPERLINK("http://141.218.60.56/~jnz1568/getInfo.php?workbook=12_04.xlsx&amp;sheet=U0&amp;row=9427&amp;col=6&amp;number=3.3&amp;sourceID=14","3.3")</f>
        <v>3.3</v>
      </c>
      <c r="G9427" s="4" t="str">
        <f>HYPERLINK("http://141.218.60.56/~jnz1568/getInfo.php?workbook=12_04.xlsx&amp;sheet=U0&amp;row=9427&amp;col=7&amp;number=0.00201&amp;sourceID=14","0.00201")</f>
        <v>0.00201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HYPERLINK("http://141.218.60.56/~jnz1568/getInfo.php?workbook=12_04.xlsx&amp;sheet=U0&amp;row=9428&amp;col=6&amp;number=3.4&amp;sourceID=14","3.4")</f>
        <v>3.4</v>
      </c>
      <c r="G9428" s="4" t="str">
        <f>HYPERLINK("http://141.218.60.56/~jnz1568/getInfo.php?workbook=12_04.xlsx&amp;sheet=U0&amp;row=9428&amp;col=7&amp;number=0.00201&amp;sourceID=14","0.00201")</f>
        <v>0.00201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HYPERLINK("http://141.218.60.56/~jnz1568/getInfo.php?workbook=12_04.xlsx&amp;sheet=U0&amp;row=9429&amp;col=6&amp;number=3.5&amp;sourceID=14","3.5")</f>
        <v>3.5</v>
      </c>
      <c r="G9429" s="4" t="str">
        <f>HYPERLINK("http://141.218.60.56/~jnz1568/getInfo.php?workbook=12_04.xlsx&amp;sheet=U0&amp;row=9429&amp;col=7&amp;number=0.002&amp;sourceID=14","0.002")</f>
        <v>0.002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HYPERLINK("http://141.218.60.56/~jnz1568/getInfo.php?workbook=12_04.xlsx&amp;sheet=U0&amp;row=9430&amp;col=6&amp;number=3.6&amp;sourceID=14","3.6")</f>
        <v>3.6</v>
      </c>
      <c r="G9430" s="4" t="str">
        <f>HYPERLINK("http://141.218.60.56/~jnz1568/getInfo.php?workbook=12_04.xlsx&amp;sheet=U0&amp;row=9430&amp;col=7&amp;number=0.00199&amp;sourceID=14","0.00199")</f>
        <v>0.00199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HYPERLINK("http://141.218.60.56/~jnz1568/getInfo.php?workbook=12_04.xlsx&amp;sheet=U0&amp;row=9431&amp;col=6&amp;number=3.7&amp;sourceID=14","3.7")</f>
        <v>3.7</v>
      </c>
      <c r="G9431" s="4" t="str">
        <f>HYPERLINK("http://141.218.60.56/~jnz1568/getInfo.php?workbook=12_04.xlsx&amp;sheet=U0&amp;row=9431&amp;col=7&amp;number=0.00199&amp;sourceID=14","0.00199")</f>
        <v>0.00199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HYPERLINK("http://141.218.60.56/~jnz1568/getInfo.php?workbook=12_04.xlsx&amp;sheet=U0&amp;row=9432&amp;col=6&amp;number=3.8&amp;sourceID=14","3.8")</f>
        <v>3.8</v>
      </c>
      <c r="G9432" s="4" t="str">
        <f>HYPERLINK("http://141.218.60.56/~jnz1568/getInfo.php?workbook=12_04.xlsx&amp;sheet=U0&amp;row=9432&amp;col=7&amp;number=0.00197&amp;sourceID=14","0.00197")</f>
        <v>0.00197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HYPERLINK("http://141.218.60.56/~jnz1568/getInfo.php?workbook=12_04.xlsx&amp;sheet=U0&amp;row=9433&amp;col=6&amp;number=3.9&amp;sourceID=14","3.9")</f>
        <v>3.9</v>
      </c>
      <c r="G9433" s="4" t="str">
        <f>HYPERLINK("http://141.218.60.56/~jnz1568/getInfo.php?workbook=12_04.xlsx&amp;sheet=U0&amp;row=9433&amp;col=7&amp;number=0.00196&amp;sourceID=14","0.00196")</f>
        <v>0.00196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HYPERLINK("http://141.218.60.56/~jnz1568/getInfo.php?workbook=12_04.xlsx&amp;sheet=U0&amp;row=9434&amp;col=6&amp;number=4&amp;sourceID=14","4")</f>
        <v>4</v>
      </c>
      <c r="G9434" s="4" t="str">
        <f>HYPERLINK("http://141.218.60.56/~jnz1568/getInfo.php?workbook=12_04.xlsx&amp;sheet=U0&amp;row=9434&amp;col=7&amp;number=0.00194&amp;sourceID=14","0.00194")</f>
        <v>0.00194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HYPERLINK("http://141.218.60.56/~jnz1568/getInfo.php?workbook=12_04.xlsx&amp;sheet=U0&amp;row=9435&amp;col=6&amp;number=4.1&amp;sourceID=14","4.1")</f>
        <v>4.1</v>
      </c>
      <c r="G9435" s="4" t="str">
        <f>HYPERLINK("http://141.218.60.56/~jnz1568/getInfo.php?workbook=12_04.xlsx&amp;sheet=U0&amp;row=9435&amp;col=7&amp;number=0.00192&amp;sourceID=14","0.00192")</f>
        <v>0.00192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HYPERLINK("http://141.218.60.56/~jnz1568/getInfo.php?workbook=12_04.xlsx&amp;sheet=U0&amp;row=9436&amp;col=6&amp;number=4.2&amp;sourceID=14","4.2")</f>
        <v>4.2</v>
      </c>
      <c r="G9436" s="4" t="str">
        <f>HYPERLINK("http://141.218.60.56/~jnz1568/getInfo.php?workbook=12_04.xlsx&amp;sheet=U0&amp;row=9436&amp;col=7&amp;number=0.00189&amp;sourceID=14","0.00189")</f>
        <v>0.00189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HYPERLINK("http://141.218.60.56/~jnz1568/getInfo.php?workbook=12_04.xlsx&amp;sheet=U0&amp;row=9437&amp;col=6&amp;number=4.3&amp;sourceID=14","4.3")</f>
        <v>4.3</v>
      </c>
      <c r="G9437" s="4" t="str">
        <f>HYPERLINK("http://141.218.60.56/~jnz1568/getInfo.php?workbook=12_04.xlsx&amp;sheet=U0&amp;row=9437&amp;col=7&amp;number=0.00186&amp;sourceID=14","0.00186")</f>
        <v>0.00186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HYPERLINK("http://141.218.60.56/~jnz1568/getInfo.php?workbook=12_04.xlsx&amp;sheet=U0&amp;row=9438&amp;col=6&amp;number=4.4&amp;sourceID=14","4.4")</f>
        <v>4.4</v>
      </c>
      <c r="G9438" s="4" t="str">
        <f>HYPERLINK("http://141.218.60.56/~jnz1568/getInfo.php?workbook=12_04.xlsx&amp;sheet=U0&amp;row=9438&amp;col=7&amp;number=0.00183&amp;sourceID=14","0.00183")</f>
        <v>0.00183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HYPERLINK("http://141.218.60.56/~jnz1568/getInfo.php?workbook=12_04.xlsx&amp;sheet=U0&amp;row=9439&amp;col=6&amp;number=4.5&amp;sourceID=14","4.5")</f>
        <v>4.5</v>
      </c>
      <c r="G9439" s="4" t="str">
        <f>HYPERLINK("http://141.218.60.56/~jnz1568/getInfo.php?workbook=12_04.xlsx&amp;sheet=U0&amp;row=9439&amp;col=7&amp;number=0.00179&amp;sourceID=14","0.00179")</f>
        <v>0.00179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HYPERLINK("http://141.218.60.56/~jnz1568/getInfo.php?workbook=12_04.xlsx&amp;sheet=U0&amp;row=9440&amp;col=6&amp;number=4.6&amp;sourceID=14","4.6")</f>
        <v>4.6</v>
      </c>
      <c r="G9440" s="4" t="str">
        <f>HYPERLINK("http://141.218.60.56/~jnz1568/getInfo.php?workbook=12_04.xlsx&amp;sheet=U0&amp;row=9440&amp;col=7&amp;number=0.00175&amp;sourceID=14","0.00175")</f>
        <v>0.00175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HYPERLINK("http://141.218.60.56/~jnz1568/getInfo.php?workbook=12_04.xlsx&amp;sheet=U0&amp;row=9441&amp;col=6&amp;number=4.7&amp;sourceID=14","4.7")</f>
        <v>4.7</v>
      </c>
      <c r="G9441" s="4" t="str">
        <f>HYPERLINK("http://141.218.60.56/~jnz1568/getInfo.php?workbook=12_04.xlsx&amp;sheet=U0&amp;row=9441&amp;col=7&amp;number=0.00172&amp;sourceID=14","0.00172")</f>
        <v>0.00172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HYPERLINK("http://141.218.60.56/~jnz1568/getInfo.php?workbook=12_04.xlsx&amp;sheet=U0&amp;row=9442&amp;col=6&amp;number=4.8&amp;sourceID=14","4.8")</f>
        <v>4.8</v>
      </c>
      <c r="G9442" s="4" t="str">
        <f>HYPERLINK("http://141.218.60.56/~jnz1568/getInfo.php?workbook=12_04.xlsx&amp;sheet=U0&amp;row=9442&amp;col=7&amp;number=0.0017&amp;sourceID=14","0.0017")</f>
        <v>0.0017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HYPERLINK("http://141.218.60.56/~jnz1568/getInfo.php?workbook=12_04.xlsx&amp;sheet=U0&amp;row=9443&amp;col=6&amp;number=4.9&amp;sourceID=14","4.9")</f>
        <v>4.9</v>
      </c>
      <c r="G9443" s="4" t="str">
        <f>HYPERLINK("http://141.218.60.56/~jnz1568/getInfo.php?workbook=12_04.xlsx&amp;sheet=U0&amp;row=9443&amp;col=7&amp;number=0.00169&amp;sourceID=14","0.00169")</f>
        <v>0.00169</v>
      </c>
    </row>
    <row r="9444" spans="1:7">
      <c r="A9444" s="3">
        <v>12</v>
      </c>
      <c r="B9444" s="3">
        <v>4</v>
      </c>
      <c r="C9444" s="3">
        <v>5</v>
      </c>
      <c r="D9444" s="3">
        <v>96</v>
      </c>
      <c r="E9444" s="3">
        <v>1</v>
      </c>
      <c r="F9444" s="4" t="str">
        <f>HYPERLINK("http://141.218.60.56/~jnz1568/getInfo.php?workbook=12_04.xlsx&amp;sheet=U0&amp;row=9444&amp;col=6&amp;number=3&amp;sourceID=14","3")</f>
        <v>3</v>
      </c>
      <c r="G9444" s="4" t="str">
        <f>HYPERLINK("http://141.218.60.56/~jnz1568/getInfo.php?workbook=12_04.xlsx&amp;sheet=U0&amp;row=9444&amp;col=7&amp;number=0.00305&amp;sourceID=14","0.00305")</f>
        <v>0.00305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HYPERLINK("http://141.218.60.56/~jnz1568/getInfo.php?workbook=12_04.xlsx&amp;sheet=U0&amp;row=9445&amp;col=6&amp;number=3.1&amp;sourceID=14","3.1")</f>
        <v>3.1</v>
      </c>
      <c r="G9445" s="4" t="str">
        <f>HYPERLINK("http://141.218.60.56/~jnz1568/getInfo.php?workbook=12_04.xlsx&amp;sheet=U0&amp;row=9445&amp;col=7&amp;number=0.00304&amp;sourceID=14","0.00304")</f>
        <v>0.00304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HYPERLINK("http://141.218.60.56/~jnz1568/getInfo.php?workbook=12_04.xlsx&amp;sheet=U0&amp;row=9446&amp;col=6&amp;number=3.2&amp;sourceID=14","3.2")</f>
        <v>3.2</v>
      </c>
      <c r="G9446" s="4" t="str">
        <f>HYPERLINK("http://141.218.60.56/~jnz1568/getInfo.php?workbook=12_04.xlsx&amp;sheet=U0&amp;row=9446&amp;col=7&amp;number=0.00304&amp;sourceID=14","0.00304")</f>
        <v>0.00304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HYPERLINK("http://141.218.60.56/~jnz1568/getInfo.php?workbook=12_04.xlsx&amp;sheet=U0&amp;row=9447&amp;col=6&amp;number=3.3&amp;sourceID=14","3.3")</f>
        <v>3.3</v>
      </c>
      <c r="G9447" s="4" t="str">
        <f>HYPERLINK("http://141.218.60.56/~jnz1568/getInfo.php?workbook=12_04.xlsx&amp;sheet=U0&amp;row=9447&amp;col=7&amp;number=0.00304&amp;sourceID=14","0.00304")</f>
        <v>0.00304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HYPERLINK("http://141.218.60.56/~jnz1568/getInfo.php?workbook=12_04.xlsx&amp;sheet=U0&amp;row=9448&amp;col=6&amp;number=3.4&amp;sourceID=14","3.4")</f>
        <v>3.4</v>
      </c>
      <c r="G9448" s="4" t="str">
        <f>HYPERLINK("http://141.218.60.56/~jnz1568/getInfo.php?workbook=12_04.xlsx&amp;sheet=U0&amp;row=9448&amp;col=7&amp;number=0.00303&amp;sourceID=14","0.00303")</f>
        <v>0.00303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HYPERLINK("http://141.218.60.56/~jnz1568/getInfo.php?workbook=12_04.xlsx&amp;sheet=U0&amp;row=9449&amp;col=6&amp;number=3.5&amp;sourceID=14","3.5")</f>
        <v>3.5</v>
      </c>
      <c r="G9449" s="4" t="str">
        <f>HYPERLINK("http://141.218.60.56/~jnz1568/getInfo.php?workbook=12_04.xlsx&amp;sheet=U0&amp;row=9449&amp;col=7&amp;number=0.00302&amp;sourceID=14","0.00302")</f>
        <v>0.00302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HYPERLINK("http://141.218.60.56/~jnz1568/getInfo.php?workbook=12_04.xlsx&amp;sheet=U0&amp;row=9450&amp;col=6&amp;number=3.6&amp;sourceID=14","3.6")</f>
        <v>3.6</v>
      </c>
      <c r="G9450" s="4" t="str">
        <f>HYPERLINK("http://141.218.60.56/~jnz1568/getInfo.php?workbook=12_04.xlsx&amp;sheet=U0&amp;row=9450&amp;col=7&amp;number=0.00302&amp;sourceID=14","0.00302")</f>
        <v>0.00302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HYPERLINK("http://141.218.60.56/~jnz1568/getInfo.php?workbook=12_04.xlsx&amp;sheet=U0&amp;row=9451&amp;col=6&amp;number=3.7&amp;sourceID=14","3.7")</f>
        <v>3.7</v>
      </c>
      <c r="G9451" s="4" t="str">
        <f>HYPERLINK("http://141.218.60.56/~jnz1568/getInfo.php?workbook=12_04.xlsx&amp;sheet=U0&amp;row=9451&amp;col=7&amp;number=0.00301&amp;sourceID=14","0.00301")</f>
        <v>0.00301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HYPERLINK("http://141.218.60.56/~jnz1568/getInfo.php?workbook=12_04.xlsx&amp;sheet=U0&amp;row=9452&amp;col=6&amp;number=3.8&amp;sourceID=14","3.8")</f>
        <v>3.8</v>
      </c>
      <c r="G9452" s="4" t="str">
        <f>HYPERLINK("http://141.218.60.56/~jnz1568/getInfo.php?workbook=12_04.xlsx&amp;sheet=U0&amp;row=9452&amp;col=7&amp;number=0.00299&amp;sourceID=14","0.00299")</f>
        <v>0.00299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HYPERLINK("http://141.218.60.56/~jnz1568/getInfo.php?workbook=12_04.xlsx&amp;sheet=U0&amp;row=9453&amp;col=6&amp;number=3.9&amp;sourceID=14","3.9")</f>
        <v>3.9</v>
      </c>
      <c r="G9453" s="4" t="str">
        <f>HYPERLINK("http://141.218.60.56/~jnz1568/getInfo.php?workbook=12_04.xlsx&amp;sheet=U0&amp;row=9453&amp;col=7&amp;number=0.00298&amp;sourceID=14","0.00298")</f>
        <v>0.00298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HYPERLINK("http://141.218.60.56/~jnz1568/getInfo.php?workbook=12_04.xlsx&amp;sheet=U0&amp;row=9454&amp;col=6&amp;number=4&amp;sourceID=14","4")</f>
        <v>4</v>
      </c>
      <c r="G9454" s="4" t="str">
        <f>HYPERLINK("http://141.218.60.56/~jnz1568/getInfo.php?workbook=12_04.xlsx&amp;sheet=U0&amp;row=9454&amp;col=7&amp;number=0.00296&amp;sourceID=14","0.00296")</f>
        <v>0.00296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HYPERLINK("http://141.218.60.56/~jnz1568/getInfo.php?workbook=12_04.xlsx&amp;sheet=U0&amp;row=9455&amp;col=6&amp;number=4.1&amp;sourceID=14","4.1")</f>
        <v>4.1</v>
      </c>
      <c r="G9455" s="4" t="str">
        <f>HYPERLINK("http://141.218.60.56/~jnz1568/getInfo.php?workbook=12_04.xlsx&amp;sheet=U0&amp;row=9455&amp;col=7&amp;number=0.00293&amp;sourceID=14","0.00293")</f>
        <v>0.00293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HYPERLINK("http://141.218.60.56/~jnz1568/getInfo.php?workbook=12_04.xlsx&amp;sheet=U0&amp;row=9456&amp;col=6&amp;number=4.2&amp;sourceID=14","4.2")</f>
        <v>4.2</v>
      </c>
      <c r="G9456" s="4" t="str">
        <f>HYPERLINK("http://141.218.60.56/~jnz1568/getInfo.php?workbook=12_04.xlsx&amp;sheet=U0&amp;row=9456&amp;col=7&amp;number=0.0029&amp;sourceID=14","0.0029")</f>
        <v>0.0029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HYPERLINK("http://141.218.60.56/~jnz1568/getInfo.php?workbook=12_04.xlsx&amp;sheet=U0&amp;row=9457&amp;col=6&amp;number=4.3&amp;sourceID=14","4.3")</f>
        <v>4.3</v>
      </c>
      <c r="G9457" s="4" t="str">
        <f>HYPERLINK("http://141.218.60.56/~jnz1568/getInfo.php?workbook=12_04.xlsx&amp;sheet=U0&amp;row=9457&amp;col=7&amp;number=0.00287&amp;sourceID=14","0.00287")</f>
        <v>0.00287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HYPERLINK("http://141.218.60.56/~jnz1568/getInfo.php?workbook=12_04.xlsx&amp;sheet=U0&amp;row=9458&amp;col=6&amp;number=4.4&amp;sourceID=14","4.4")</f>
        <v>4.4</v>
      </c>
      <c r="G9458" s="4" t="str">
        <f>HYPERLINK("http://141.218.60.56/~jnz1568/getInfo.php?workbook=12_04.xlsx&amp;sheet=U0&amp;row=9458&amp;col=7&amp;number=0.00283&amp;sourceID=14","0.00283")</f>
        <v>0.00283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HYPERLINK("http://141.218.60.56/~jnz1568/getInfo.php?workbook=12_04.xlsx&amp;sheet=U0&amp;row=9459&amp;col=6&amp;number=4.5&amp;sourceID=14","4.5")</f>
        <v>4.5</v>
      </c>
      <c r="G9459" s="4" t="str">
        <f>HYPERLINK("http://141.218.60.56/~jnz1568/getInfo.php?workbook=12_04.xlsx&amp;sheet=U0&amp;row=9459&amp;col=7&amp;number=0.00279&amp;sourceID=14","0.00279")</f>
        <v>0.00279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HYPERLINK("http://141.218.60.56/~jnz1568/getInfo.php?workbook=12_04.xlsx&amp;sheet=U0&amp;row=9460&amp;col=6&amp;number=4.6&amp;sourceID=14","4.6")</f>
        <v>4.6</v>
      </c>
      <c r="G9460" s="4" t="str">
        <f>HYPERLINK("http://141.218.60.56/~jnz1568/getInfo.php?workbook=12_04.xlsx&amp;sheet=U0&amp;row=9460&amp;col=7&amp;number=0.00274&amp;sourceID=14","0.00274")</f>
        <v>0.00274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HYPERLINK("http://141.218.60.56/~jnz1568/getInfo.php?workbook=12_04.xlsx&amp;sheet=U0&amp;row=9461&amp;col=6&amp;number=4.7&amp;sourceID=14","4.7")</f>
        <v>4.7</v>
      </c>
      <c r="G9461" s="4" t="str">
        <f>HYPERLINK("http://141.218.60.56/~jnz1568/getInfo.php?workbook=12_04.xlsx&amp;sheet=U0&amp;row=9461&amp;col=7&amp;number=0.00271&amp;sourceID=14","0.00271")</f>
        <v>0.00271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HYPERLINK("http://141.218.60.56/~jnz1568/getInfo.php?workbook=12_04.xlsx&amp;sheet=U0&amp;row=9462&amp;col=6&amp;number=4.8&amp;sourceID=14","4.8")</f>
        <v>4.8</v>
      </c>
      <c r="G9462" s="4" t="str">
        <f>HYPERLINK("http://141.218.60.56/~jnz1568/getInfo.php?workbook=12_04.xlsx&amp;sheet=U0&amp;row=9462&amp;col=7&amp;number=0.00268&amp;sourceID=14","0.00268")</f>
        <v>0.00268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HYPERLINK("http://141.218.60.56/~jnz1568/getInfo.php?workbook=12_04.xlsx&amp;sheet=U0&amp;row=9463&amp;col=6&amp;number=4.9&amp;sourceID=14","4.9")</f>
        <v>4.9</v>
      </c>
      <c r="G9463" s="4" t="str">
        <f>HYPERLINK("http://141.218.60.56/~jnz1568/getInfo.php?workbook=12_04.xlsx&amp;sheet=U0&amp;row=9463&amp;col=7&amp;number=0.00267&amp;sourceID=14","0.00267")</f>
        <v>0.00267</v>
      </c>
    </row>
    <row r="9464" spans="1:7">
      <c r="A9464" s="3">
        <v>12</v>
      </c>
      <c r="B9464" s="3">
        <v>4</v>
      </c>
      <c r="C9464" s="3">
        <v>5</v>
      </c>
      <c r="D9464" s="3">
        <v>97</v>
      </c>
      <c r="E9464" s="3">
        <v>1</v>
      </c>
      <c r="F9464" s="4" t="str">
        <f>HYPERLINK("http://141.218.60.56/~jnz1568/getInfo.php?workbook=12_04.xlsx&amp;sheet=U0&amp;row=9464&amp;col=6&amp;number=3&amp;sourceID=14","3")</f>
        <v>3</v>
      </c>
      <c r="G9464" s="4" t="str">
        <f>HYPERLINK("http://141.218.60.56/~jnz1568/getInfo.php?workbook=12_04.xlsx&amp;sheet=U0&amp;row=9464&amp;col=7&amp;number=0.00937&amp;sourceID=14","0.00937")</f>
        <v>0.00937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HYPERLINK("http://141.218.60.56/~jnz1568/getInfo.php?workbook=12_04.xlsx&amp;sheet=U0&amp;row=9465&amp;col=6&amp;number=3.1&amp;sourceID=14","3.1")</f>
        <v>3.1</v>
      </c>
      <c r="G9465" s="4" t="str">
        <f>HYPERLINK("http://141.218.60.56/~jnz1568/getInfo.php?workbook=12_04.xlsx&amp;sheet=U0&amp;row=9465&amp;col=7&amp;number=0.00937&amp;sourceID=14","0.00937")</f>
        <v>0.00937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HYPERLINK("http://141.218.60.56/~jnz1568/getInfo.php?workbook=12_04.xlsx&amp;sheet=U0&amp;row=9466&amp;col=6&amp;number=3.2&amp;sourceID=14","3.2")</f>
        <v>3.2</v>
      </c>
      <c r="G9466" s="4" t="str">
        <f>HYPERLINK("http://141.218.60.56/~jnz1568/getInfo.php?workbook=12_04.xlsx&amp;sheet=U0&amp;row=9466&amp;col=7&amp;number=0.00937&amp;sourceID=14","0.00937")</f>
        <v>0.00937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HYPERLINK("http://141.218.60.56/~jnz1568/getInfo.php?workbook=12_04.xlsx&amp;sheet=U0&amp;row=9467&amp;col=6&amp;number=3.3&amp;sourceID=14","3.3")</f>
        <v>3.3</v>
      </c>
      <c r="G9467" s="4" t="str">
        <f>HYPERLINK("http://141.218.60.56/~jnz1568/getInfo.php?workbook=12_04.xlsx&amp;sheet=U0&amp;row=9467&amp;col=7&amp;number=0.00938&amp;sourceID=14","0.00938")</f>
        <v>0.00938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HYPERLINK("http://141.218.60.56/~jnz1568/getInfo.php?workbook=12_04.xlsx&amp;sheet=U0&amp;row=9468&amp;col=6&amp;number=3.4&amp;sourceID=14","3.4")</f>
        <v>3.4</v>
      </c>
      <c r="G9468" s="4" t="str">
        <f>HYPERLINK("http://141.218.60.56/~jnz1568/getInfo.php?workbook=12_04.xlsx&amp;sheet=U0&amp;row=9468&amp;col=7&amp;number=0.00938&amp;sourceID=14","0.00938")</f>
        <v>0.00938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HYPERLINK("http://141.218.60.56/~jnz1568/getInfo.php?workbook=12_04.xlsx&amp;sheet=U0&amp;row=9469&amp;col=6&amp;number=3.5&amp;sourceID=14","3.5")</f>
        <v>3.5</v>
      </c>
      <c r="G9469" s="4" t="str">
        <f>HYPERLINK("http://141.218.60.56/~jnz1568/getInfo.php?workbook=12_04.xlsx&amp;sheet=U0&amp;row=9469&amp;col=7&amp;number=0.00939&amp;sourceID=14","0.00939")</f>
        <v>0.00939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HYPERLINK("http://141.218.60.56/~jnz1568/getInfo.php?workbook=12_04.xlsx&amp;sheet=U0&amp;row=9470&amp;col=6&amp;number=3.6&amp;sourceID=14","3.6")</f>
        <v>3.6</v>
      </c>
      <c r="G9470" s="4" t="str">
        <f>HYPERLINK("http://141.218.60.56/~jnz1568/getInfo.php?workbook=12_04.xlsx&amp;sheet=U0&amp;row=9470&amp;col=7&amp;number=0.00939&amp;sourceID=14","0.00939")</f>
        <v>0.00939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HYPERLINK("http://141.218.60.56/~jnz1568/getInfo.php?workbook=12_04.xlsx&amp;sheet=U0&amp;row=9471&amp;col=6&amp;number=3.7&amp;sourceID=14","3.7")</f>
        <v>3.7</v>
      </c>
      <c r="G9471" s="4" t="str">
        <f>HYPERLINK("http://141.218.60.56/~jnz1568/getInfo.php?workbook=12_04.xlsx&amp;sheet=U0&amp;row=9471&amp;col=7&amp;number=0.0094&amp;sourceID=14","0.0094")</f>
        <v>0.0094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HYPERLINK("http://141.218.60.56/~jnz1568/getInfo.php?workbook=12_04.xlsx&amp;sheet=U0&amp;row=9472&amp;col=6&amp;number=3.8&amp;sourceID=14","3.8")</f>
        <v>3.8</v>
      </c>
      <c r="G9472" s="4" t="str">
        <f>HYPERLINK("http://141.218.60.56/~jnz1568/getInfo.php?workbook=12_04.xlsx&amp;sheet=U0&amp;row=9472&amp;col=7&amp;number=0.00941&amp;sourceID=14","0.00941")</f>
        <v>0.00941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HYPERLINK("http://141.218.60.56/~jnz1568/getInfo.php?workbook=12_04.xlsx&amp;sheet=U0&amp;row=9473&amp;col=6&amp;number=3.9&amp;sourceID=14","3.9")</f>
        <v>3.9</v>
      </c>
      <c r="G9473" s="4" t="str">
        <f>HYPERLINK("http://141.218.60.56/~jnz1568/getInfo.php?workbook=12_04.xlsx&amp;sheet=U0&amp;row=9473&amp;col=7&amp;number=0.00943&amp;sourceID=14","0.00943")</f>
        <v>0.00943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HYPERLINK("http://141.218.60.56/~jnz1568/getInfo.php?workbook=12_04.xlsx&amp;sheet=U0&amp;row=9474&amp;col=6&amp;number=4&amp;sourceID=14","4")</f>
        <v>4</v>
      </c>
      <c r="G9474" s="4" t="str">
        <f>HYPERLINK("http://141.218.60.56/~jnz1568/getInfo.php?workbook=12_04.xlsx&amp;sheet=U0&amp;row=9474&amp;col=7&amp;number=0.00945&amp;sourceID=14","0.00945")</f>
        <v>0.00945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HYPERLINK("http://141.218.60.56/~jnz1568/getInfo.php?workbook=12_04.xlsx&amp;sheet=U0&amp;row=9475&amp;col=6&amp;number=4.1&amp;sourceID=14","4.1")</f>
        <v>4.1</v>
      </c>
      <c r="G9475" s="4" t="str">
        <f>HYPERLINK("http://141.218.60.56/~jnz1568/getInfo.php?workbook=12_04.xlsx&amp;sheet=U0&amp;row=9475&amp;col=7&amp;number=0.00947&amp;sourceID=14","0.00947")</f>
        <v>0.00947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HYPERLINK("http://141.218.60.56/~jnz1568/getInfo.php?workbook=12_04.xlsx&amp;sheet=U0&amp;row=9476&amp;col=6&amp;number=4.2&amp;sourceID=14","4.2")</f>
        <v>4.2</v>
      </c>
      <c r="G9476" s="4" t="str">
        <f>HYPERLINK("http://141.218.60.56/~jnz1568/getInfo.php?workbook=12_04.xlsx&amp;sheet=U0&amp;row=9476&amp;col=7&amp;number=0.0095&amp;sourceID=14","0.0095")</f>
        <v>0.0095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HYPERLINK("http://141.218.60.56/~jnz1568/getInfo.php?workbook=12_04.xlsx&amp;sheet=U0&amp;row=9477&amp;col=6&amp;number=4.3&amp;sourceID=14","4.3")</f>
        <v>4.3</v>
      </c>
      <c r="G9477" s="4" t="str">
        <f>HYPERLINK("http://141.218.60.56/~jnz1568/getInfo.php?workbook=12_04.xlsx&amp;sheet=U0&amp;row=9477&amp;col=7&amp;number=0.00953&amp;sourceID=14","0.00953")</f>
        <v>0.00953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HYPERLINK("http://141.218.60.56/~jnz1568/getInfo.php?workbook=12_04.xlsx&amp;sheet=U0&amp;row=9478&amp;col=6&amp;number=4.4&amp;sourceID=14","4.4")</f>
        <v>4.4</v>
      </c>
      <c r="G9478" s="4" t="str">
        <f>HYPERLINK("http://141.218.60.56/~jnz1568/getInfo.php?workbook=12_04.xlsx&amp;sheet=U0&amp;row=9478&amp;col=7&amp;number=0.00958&amp;sourceID=14","0.00958")</f>
        <v>0.00958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HYPERLINK("http://141.218.60.56/~jnz1568/getInfo.php?workbook=12_04.xlsx&amp;sheet=U0&amp;row=9479&amp;col=6&amp;number=4.5&amp;sourceID=14","4.5")</f>
        <v>4.5</v>
      </c>
      <c r="G9479" s="4" t="str">
        <f>HYPERLINK("http://141.218.60.56/~jnz1568/getInfo.php?workbook=12_04.xlsx&amp;sheet=U0&amp;row=9479&amp;col=7&amp;number=0.00963&amp;sourceID=14","0.00963")</f>
        <v>0.00963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HYPERLINK("http://141.218.60.56/~jnz1568/getInfo.php?workbook=12_04.xlsx&amp;sheet=U0&amp;row=9480&amp;col=6&amp;number=4.6&amp;sourceID=14","4.6")</f>
        <v>4.6</v>
      </c>
      <c r="G9480" s="4" t="str">
        <f>HYPERLINK("http://141.218.60.56/~jnz1568/getInfo.php?workbook=12_04.xlsx&amp;sheet=U0&amp;row=9480&amp;col=7&amp;number=0.0097&amp;sourceID=14","0.0097")</f>
        <v>0.0097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HYPERLINK("http://141.218.60.56/~jnz1568/getInfo.php?workbook=12_04.xlsx&amp;sheet=U0&amp;row=9481&amp;col=6&amp;number=4.7&amp;sourceID=14","4.7")</f>
        <v>4.7</v>
      </c>
      <c r="G9481" s="4" t="str">
        <f>HYPERLINK("http://141.218.60.56/~jnz1568/getInfo.php?workbook=12_04.xlsx&amp;sheet=U0&amp;row=9481&amp;col=7&amp;number=0.00979&amp;sourceID=14","0.00979")</f>
        <v>0.00979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HYPERLINK("http://141.218.60.56/~jnz1568/getInfo.php?workbook=12_04.xlsx&amp;sheet=U0&amp;row=9482&amp;col=6&amp;number=4.8&amp;sourceID=14","4.8")</f>
        <v>4.8</v>
      </c>
      <c r="G9482" s="4" t="str">
        <f>HYPERLINK("http://141.218.60.56/~jnz1568/getInfo.php?workbook=12_04.xlsx&amp;sheet=U0&amp;row=9482&amp;col=7&amp;number=0.00989&amp;sourceID=14","0.00989")</f>
        <v>0.00989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HYPERLINK("http://141.218.60.56/~jnz1568/getInfo.php?workbook=12_04.xlsx&amp;sheet=U0&amp;row=9483&amp;col=6&amp;number=4.9&amp;sourceID=14","4.9")</f>
        <v>4.9</v>
      </c>
      <c r="G9483" s="4" t="str">
        <f>HYPERLINK("http://141.218.60.56/~jnz1568/getInfo.php?workbook=12_04.xlsx&amp;sheet=U0&amp;row=9483&amp;col=7&amp;number=0.01&amp;sourceID=14","0.01")</f>
        <v>0.01</v>
      </c>
    </row>
    <row r="9484" spans="1:7">
      <c r="A9484" s="3">
        <v>12</v>
      </c>
      <c r="B9484" s="3">
        <v>4</v>
      </c>
      <c r="C9484" s="3">
        <v>5</v>
      </c>
      <c r="D9484" s="3">
        <v>98</v>
      </c>
      <c r="E9484" s="3">
        <v>1</v>
      </c>
      <c r="F9484" s="4" t="str">
        <f>HYPERLINK("http://141.218.60.56/~jnz1568/getInfo.php?workbook=12_04.xlsx&amp;sheet=U0&amp;row=9484&amp;col=6&amp;number=3&amp;sourceID=14","3")</f>
        <v>3</v>
      </c>
      <c r="G9484" s="4" t="str">
        <f>HYPERLINK("http://141.218.60.56/~jnz1568/getInfo.php?workbook=12_04.xlsx&amp;sheet=U0&amp;row=9484&amp;col=7&amp;number=0.00523&amp;sourceID=14","0.00523")</f>
        <v>0.00523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HYPERLINK("http://141.218.60.56/~jnz1568/getInfo.php?workbook=12_04.xlsx&amp;sheet=U0&amp;row=9485&amp;col=6&amp;number=3.1&amp;sourceID=14","3.1")</f>
        <v>3.1</v>
      </c>
      <c r="G9485" s="4" t="str">
        <f>HYPERLINK("http://141.218.60.56/~jnz1568/getInfo.php?workbook=12_04.xlsx&amp;sheet=U0&amp;row=9485&amp;col=7&amp;number=0.00523&amp;sourceID=14","0.00523")</f>
        <v>0.00523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HYPERLINK("http://141.218.60.56/~jnz1568/getInfo.php?workbook=12_04.xlsx&amp;sheet=U0&amp;row=9486&amp;col=6&amp;number=3.2&amp;sourceID=14","3.2")</f>
        <v>3.2</v>
      </c>
      <c r="G9486" s="4" t="str">
        <f>HYPERLINK("http://141.218.60.56/~jnz1568/getInfo.php?workbook=12_04.xlsx&amp;sheet=U0&amp;row=9486&amp;col=7&amp;number=0.00523&amp;sourceID=14","0.00523")</f>
        <v>0.00523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HYPERLINK("http://141.218.60.56/~jnz1568/getInfo.php?workbook=12_04.xlsx&amp;sheet=U0&amp;row=9487&amp;col=6&amp;number=3.3&amp;sourceID=14","3.3")</f>
        <v>3.3</v>
      </c>
      <c r="G9487" s="4" t="str">
        <f>HYPERLINK("http://141.218.60.56/~jnz1568/getInfo.php?workbook=12_04.xlsx&amp;sheet=U0&amp;row=9487&amp;col=7&amp;number=0.00523&amp;sourceID=14","0.00523")</f>
        <v>0.00523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HYPERLINK("http://141.218.60.56/~jnz1568/getInfo.php?workbook=12_04.xlsx&amp;sheet=U0&amp;row=9488&amp;col=6&amp;number=3.4&amp;sourceID=14","3.4")</f>
        <v>3.4</v>
      </c>
      <c r="G9488" s="4" t="str">
        <f>HYPERLINK("http://141.218.60.56/~jnz1568/getInfo.php?workbook=12_04.xlsx&amp;sheet=U0&amp;row=9488&amp;col=7&amp;number=0.00523&amp;sourceID=14","0.00523")</f>
        <v>0.00523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HYPERLINK("http://141.218.60.56/~jnz1568/getInfo.php?workbook=12_04.xlsx&amp;sheet=U0&amp;row=9489&amp;col=6&amp;number=3.5&amp;sourceID=14","3.5")</f>
        <v>3.5</v>
      </c>
      <c r="G9489" s="4" t="str">
        <f>HYPERLINK("http://141.218.60.56/~jnz1568/getInfo.php?workbook=12_04.xlsx&amp;sheet=U0&amp;row=9489&amp;col=7&amp;number=0.00524&amp;sourceID=14","0.00524")</f>
        <v>0.00524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HYPERLINK("http://141.218.60.56/~jnz1568/getInfo.php?workbook=12_04.xlsx&amp;sheet=U0&amp;row=9490&amp;col=6&amp;number=3.6&amp;sourceID=14","3.6")</f>
        <v>3.6</v>
      </c>
      <c r="G9490" s="4" t="str">
        <f>HYPERLINK("http://141.218.60.56/~jnz1568/getInfo.php?workbook=12_04.xlsx&amp;sheet=U0&amp;row=9490&amp;col=7&amp;number=0.00524&amp;sourceID=14","0.00524")</f>
        <v>0.00524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HYPERLINK("http://141.218.60.56/~jnz1568/getInfo.php?workbook=12_04.xlsx&amp;sheet=U0&amp;row=9491&amp;col=6&amp;number=3.7&amp;sourceID=14","3.7")</f>
        <v>3.7</v>
      </c>
      <c r="G9491" s="4" t="str">
        <f>HYPERLINK("http://141.218.60.56/~jnz1568/getInfo.php?workbook=12_04.xlsx&amp;sheet=U0&amp;row=9491&amp;col=7&amp;number=0.00524&amp;sourceID=14","0.00524")</f>
        <v>0.00524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HYPERLINK("http://141.218.60.56/~jnz1568/getInfo.php?workbook=12_04.xlsx&amp;sheet=U0&amp;row=9492&amp;col=6&amp;number=3.8&amp;sourceID=14","3.8")</f>
        <v>3.8</v>
      </c>
      <c r="G9492" s="4" t="str">
        <f>HYPERLINK("http://141.218.60.56/~jnz1568/getInfo.php?workbook=12_04.xlsx&amp;sheet=U0&amp;row=9492&amp;col=7&amp;number=0.00525&amp;sourceID=14","0.00525")</f>
        <v>0.00525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HYPERLINK("http://141.218.60.56/~jnz1568/getInfo.php?workbook=12_04.xlsx&amp;sheet=U0&amp;row=9493&amp;col=6&amp;number=3.9&amp;sourceID=14","3.9")</f>
        <v>3.9</v>
      </c>
      <c r="G9493" s="4" t="str">
        <f>HYPERLINK("http://141.218.60.56/~jnz1568/getInfo.php?workbook=12_04.xlsx&amp;sheet=U0&amp;row=9493&amp;col=7&amp;number=0.00526&amp;sourceID=14","0.00526")</f>
        <v>0.00526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HYPERLINK("http://141.218.60.56/~jnz1568/getInfo.php?workbook=12_04.xlsx&amp;sheet=U0&amp;row=9494&amp;col=6&amp;number=4&amp;sourceID=14","4")</f>
        <v>4</v>
      </c>
      <c r="G9494" s="4" t="str">
        <f>HYPERLINK("http://141.218.60.56/~jnz1568/getInfo.php?workbook=12_04.xlsx&amp;sheet=U0&amp;row=9494&amp;col=7&amp;number=0.00526&amp;sourceID=14","0.00526")</f>
        <v>0.00526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HYPERLINK("http://141.218.60.56/~jnz1568/getInfo.php?workbook=12_04.xlsx&amp;sheet=U0&amp;row=9495&amp;col=6&amp;number=4.1&amp;sourceID=14","4.1")</f>
        <v>4.1</v>
      </c>
      <c r="G9495" s="4" t="str">
        <f>HYPERLINK("http://141.218.60.56/~jnz1568/getInfo.php?workbook=12_04.xlsx&amp;sheet=U0&amp;row=9495&amp;col=7&amp;number=0.00528&amp;sourceID=14","0.00528")</f>
        <v>0.00528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HYPERLINK("http://141.218.60.56/~jnz1568/getInfo.php?workbook=12_04.xlsx&amp;sheet=U0&amp;row=9496&amp;col=6&amp;number=4.2&amp;sourceID=14","4.2")</f>
        <v>4.2</v>
      </c>
      <c r="G9496" s="4" t="str">
        <f>HYPERLINK("http://141.218.60.56/~jnz1568/getInfo.php?workbook=12_04.xlsx&amp;sheet=U0&amp;row=9496&amp;col=7&amp;number=0.00529&amp;sourceID=14","0.00529")</f>
        <v>0.00529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HYPERLINK("http://141.218.60.56/~jnz1568/getInfo.php?workbook=12_04.xlsx&amp;sheet=U0&amp;row=9497&amp;col=6&amp;number=4.3&amp;sourceID=14","4.3")</f>
        <v>4.3</v>
      </c>
      <c r="G9497" s="4" t="str">
        <f>HYPERLINK("http://141.218.60.56/~jnz1568/getInfo.php?workbook=12_04.xlsx&amp;sheet=U0&amp;row=9497&amp;col=7&amp;number=0.00531&amp;sourceID=14","0.00531")</f>
        <v>0.00531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HYPERLINK("http://141.218.60.56/~jnz1568/getInfo.php?workbook=12_04.xlsx&amp;sheet=U0&amp;row=9498&amp;col=6&amp;number=4.4&amp;sourceID=14","4.4")</f>
        <v>4.4</v>
      </c>
      <c r="G9498" s="4" t="str">
        <f>HYPERLINK("http://141.218.60.56/~jnz1568/getInfo.php?workbook=12_04.xlsx&amp;sheet=U0&amp;row=9498&amp;col=7&amp;number=0.00533&amp;sourceID=14","0.00533")</f>
        <v>0.00533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HYPERLINK("http://141.218.60.56/~jnz1568/getInfo.php?workbook=12_04.xlsx&amp;sheet=U0&amp;row=9499&amp;col=6&amp;number=4.5&amp;sourceID=14","4.5")</f>
        <v>4.5</v>
      </c>
      <c r="G9499" s="4" t="str">
        <f>HYPERLINK("http://141.218.60.56/~jnz1568/getInfo.php?workbook=12_04.xlsx&amp;sheet=U0&amp;row=9499&amp;col=7&amp;number=0.00535&amp;sourceID=14","0.00535")</f>
        <v>0.00535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HYPERLINK("http://141.218.60.56/~jnz1568/getInfo.php?workbook=12_04.xlsx&amp;sheet=U0&amp;row=9500&amp;col=6&amp;number=4.6&amp;sourceID=14","4.6")</f>
        <v>4.6</v>
      </c>
      <c r="G9500" s="4" t="str">
        <f>HYPERLINK("http://141.218.60.56/~jnz1568/getInfo.php?workbook=12_04.xlsx&amp;sheet=U0&amp;row=9500&amp;col=7&amp;number=0.00539&amp;sourceID=14","0.00539")</f>
        <v>0.00539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HYPERLINK("http://141.218.60.56/~jnz1568/getInfo.php?workbook=12_04.xlsx&amp;sheet=U0&amp;row=9501&amp;col=6&amp;number=4.7&amp;sourceID=14","4.7")</f>
        <v>4.7</v>
      </c>
      <c r="G9501" s="4" t="str">
        <f>HYPERLINK("http://141.218.60.56/~jnz1568/getInfo.php?workbook=12_04.xlsx&amp;sheet=U0&amp;row=9501&amp;col=7&amp;number=0.00543&amp;sourceID=14","0.00543")</f>
        <v>0.00543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HYPERLINK("http://141.218.60.56/~jnz1568/getInfo.php?workbook=12_04.xlsx&amp;sheet=U0&amp;row=9502&amp;col=6&amp;number=4.8&amp;sourceID=14","4.8")</f>
        <v>4.8</v>
      </c>
      <c r="G9502" s="4" t="str">
        <f>HYPERLINK("http://141.218.60.56/~jnz1568/getInfo.php?workbook=12_04.xlsx&amp;sheet=U0&amp;row=9502&amp;col=7&amp;number=0.00547&amp;sourceID=14","0.00547")</f>
        <v>0.00547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HYPERLINK("http://141.218.60.56/~jnz1568/getInfo.php?workbook=12_04.xlsx&amp;sheet=U0&amp;row=9503&amp;col=6&amp;number=4.9&amp;sourceID=14","4.9")</f>
        <v>4.9</v>
      </c>
      <c r="G9503" s="4" t="str">
        <f>HYPERLINK("http://141.218.60.56/~jnz1568/getInfo.php?workbook=12_04.xlsx&amp;sheet=U0&amp;row=9503&amp;col=7&amp;number=0.00554&amp;sourceID=14","0.00554")</f>
        <v>0.00554</v>
      </c>
    </row>
    <row r="9504" spans="1:7">
      <c r="A9504" s="3">
        <v>12</v>
      </c>
      <c r="B9504" s="3">
        <v>4</v>
      </c>
      <c r="C9504" s="3">
        <v>1</v>
      </c>
      <c r="D9504" s="3">
        <v>99</v>
      </c>
      <c r="E9504" s="3">
        <v>1</v>
      </c>
      <c r="F9504" s="4" t="str">
        <f>HYPERLINK("http://141.218.60.56/~jnz1568/getInfo.php?workbook=12_04.xlsx&amp;sheet=U0&amp;row=9504&amp;col=6&amp;number=3&amp;sourceID=14","3")</f>
        <v>3</v>
      </c>
      <c r="G9504" s="4" t="str">
        <f>HYPERLINK("http://141.218.60.56/~jnz1568/getInfo.php?workbook=12_04.xlsx&amp;sheet=U0&amp;row=9504&amp;col=7&amp;number=0.000553&amp;sourceID=14","0.000553")</f>
        <v>0.000553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HYPERLINK("http://141.218.60.56/~jnz1568/getInfo.php?workbook=12_04.xlsx&amp;sheet=U0&amp;row=9505&amp;col=6&amp;number=3.1&amp;sourceID=14","3.1")</f>
        <v>3.1</v>
      </c>
      <c r="G9505" s="4" t="str">
        <f>HYPERLINK("http://141.218.60.56/~jnz1568/getInfo.php?workbook=12_04.xlsx&amp;sheet=U0&amp;row=9505&amp;col=7&amp;number=0.000553&amp;sourceID=14","0.000553")</f>
        <v>0.000553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HYPERLINK("http://141.218.60.56/~jnz1568/getInfo.php?workbook=12_04.xlsx&amp;sheet=U0&amp;row=9506&amp;col=6&amp;number=3.2&amp;sourceID=14","3.2")</f>
        <v>3.2</v>
      </c>
      <c r="G9506" s="4" t="str">
        <f>HYPERLINK("http://141.218.60.56/~jnz1568/getInfo.php?workbook=12_04.xlsx&amp;sheet=U0&amp;row=9506&amp;col=7&amp;number=0.000553&amp;sourceID=14","0.000553")</f>
        <v>0.000553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HYPERLINK("http://141.218.60.56/~jnz1568/getInfo.php?workbook=12_04.xlsx&amp;sheet=U0&amp;row=9507&amp;col=6&amp;number=3.3&amp;sourceID=14","3.3")</f>
        <v>3.3</v>
      </c>
      <c r="G9507" s="4" t="str">
        <f>HYPERLINK("http://141.218.60.56/~jnz1568/getInfo.php?workbook=12_04.xlsx&amp;sheet=U0&amp;row=9507&amp;col=7&amp;number=0.000553&amp;sourceID=14","0.000553")</f>
        <v>0.000553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HYPERLINK("http://141.218.60.56/~jnz1568/getInfo.php?workbook=12_04.xlsx&amp;sheet=U0&amp;row=9508&amp;col=6&amp;number=3.4&amp;sourceID=14","3.4")</f>
        <v>3.4</v>
      </c>
      <c r="G9508" s="4" t="str">
        <f>HYPERLINK("http://141.218.60.56/~jnz1568/getInfo.php?workbook=12_04.xlsx&amp;sheet=U0&amp;row=9508&amp;col=7&amp;number=0.000552&amp;sourceID=14","0.000552")</f>
        <v>0.000552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HYPERLINK("http://141.218.60.56/~jnz1568/getInfo.php?workbook=12_04.xlsx&amp;sheet=U0&amp;row=9509&amp;col=6&amp;number=3.5&amp;sourceID=14","3.5")</f>
        <v>3.5</v>
      </c>
      <c r="G9509" s="4" t="str">
        <f>HYPERLINK("http://141.218.60.56/~jnz1568/getInfo.php?workbook=12_04.xlsx&amp;sheet=U0&amp;row=9509&amp;col=7&amp;number=0.000552&amp;sourceID=14","0.000552")</f>
        <v>0.000552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HYPERLINK("http://141.218.60.56/~jnz1568/getInfo.php?workbook=12_04.xlsx&amp;sheet=U0&amp;row=9510&amp;col=6&amp;number=3.6&amp;sourceID=14","3.6")</f>
        <v>3.6</v>
      </c>
      <c r="G9510" s="4" t="str">
        <f>HYPERLINK("http://141.218.60.56/~jnz1568/getInfo.php?workbook=12_04.xlsx&amp;sheet=U0&amp;row=9510&amp;col=7&amp;number=0.000552&amp;sourceID=14","0.000552")</f>
        <v>0.000552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HYPERLINK("http://141.218.60.56/~jnz1568/getInfo.php?workbook=12_04.xlsx&amp;sheet=U0&amp;row=9511&amp;col=6&amp;number=3.7&amp;sourceID=14","3.7")</f>
        <v>3.7</v>
      </c>
      <c r="G9511" s="4" t="str">
        <f>HYPERLINK("http://141.218.60.56/~jnz1568/getInfo.php?workbook=12_04.xlsx&amp;sheet=U0&amp;row=9511&amp;col=7&amp;number=0.000552&amp;sourceID=14","0.000552")</f>
        <v>0.000552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HYPERLINK("http://141.218.60.56/~jnz1568/getInfo.php?workbook=12_04.xlsx&amp;sheet=U0&amp;row=9512&amp;col=6&amp;number=3.8&amp;sourceID=14","3.8")</f>
        <v>3.8</v>
      </c>
      <c r="G9512" s="4" t="str">
        <f>HYPERLINK("http://141.218.60.56/~jnz1568/getInfo.php?workbook=12_04.xlsx&amp;sheet=U0&amp;row=9512&amp;col=7&amp;number=0.000552&amp;sourceID=14","0.000552")</f>
        <v>0.000552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HYPERLINK("http://141.218.60.56/~jnz1568/getInfo.php?workbook=12_04.xlsx&amp;sheet=U0&amp;row=9513&amp;col=6&amp;number=3.9&amp;sourceID=14","3.9")</f>
        <v>3.9</v>
      </c>
      <c r="G9513" s="4" t="str">
        <f>HYPERLINK("http://141.218.60.56/~jnz1568/getInfo.php?workbook=12_04.xlsx&amp;sheet=U0&amp;row=9513&amp;col=7&amp;number=0.000552&amp;sourceID=14","0.000552")</f>
        <v>0.000552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HYPERLINK("http://141.218.60.56/~jnz1568/getInfo.php?workbook=12_04.xlsx&amp;sheet=U0&amp;row=9514&amp;col=6&amp;number=4&amp;sourceID=14","4")</f>
        <v>4</v>
      </c>
      <c r="G9514" s="4" t="str">
        <f>HYPERLINK("http://141.218.60.56/~jnz1568/getInfo.php?workbook=12_04.xlsx&amp;sheet=U0&amp;row=9514&amp;col=7&amp;number=0.000551&amp;sourceID=14","0.000551")</f>
        <v>0.000551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HYPERLINK("http://141.218.60.56/~jnz1568/getInfo.php?workbook=12_04.xlsx&amp;sheet=U0&amp;row=9515&amp;col=6&amp;number=4.1&amp;sourceID=14","4.1")</f>
        <v>4.1</v>
      </c>
      <c r="G9515" s="4" t="str">
        <f>HYPERLINK("http://141.218.60.56/~jnz1568/getInfo.php?workbook=12_04.xlsx&amp;sheet=U0&amp;row=9515&amp;col=7&amp;number=0.000551&amp;sourceID=14","0.000551")</f>
        <v>0.000551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HYPERLINK("http://141.218.60.56/~jnz1568/getInfo.php?workbook=12_04.xlsx&amp;sheet=U0&amp;row=9516&amp;col=6&amp;number=4.2&amp;sourceID=14","4.2")</f>
        <v>4.2</v>
      </c>
      <c r="G9516" s="4" t="str">
        <f>HYPERLINK("http://141.218.60.56/~jnz1568/getInfo.php?workbook=12_04.xlsx&amp;sheet=U0&amp;row=9516&amp;col=7&amp;number=0.00055&amp;sourceID=14","0.00055")</f>
        <v>0.00055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HYPERLINK("http://141.218.60.56/~jnz1568/getInfo.php?workbook=12_04.xlsx&amp;sheet=U0&amp;row=9517&amp;col=6&amp;number=4.3&amp;sourceID=14","4.3")</f>
        <v>4.3</v>
      </c>
      <c r="G9517" s="4" t="str">
        <f>HYPERLINK("http://141.218.60.56/~jnz1568/getInfo.php?workbook=12_04.xlsx&amp;sheet=U0&amp;row=9517&amp;col=7&amp;number=0.00055&amp;sourceID=14","0.00055")</f>
        <v>0.00055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HYPERLINK("http://141.218.60.56/~jnz1568/getInfo.php?workbook=12_04.xlsx&amp;sheet=U0&amp;row=9518&amp;col=6&amp;number=4.4&amp;sourceID=14","4.4")</f>
        <v>4.4</v>
      </c>
      <c r="G9518" s="4" t="str">
        <f>HYPERLINK("http://141.218.60.56/~jnz1568/getInfo.php?workbook=12_04.xlsx&amp;sheet=U0&amp;row=9518&amp;col=7&amp;number=0.000549&amp;sourceID=14","0.000549")</f>
        <v>0.000549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HYPERLINK("http://141.218.60.56/~jnz1568/getInfo.php?workbook=12_04.xlsx&amp;sheet=U0&amp;row=9519&amp;col=6&amp;number=4.5&amp;sourceID=14","4.5")</f>
        <v>4.5</v>
      </c>
      <c r="G9519" s="4" t="str">
        <f>HYPERLINK("http://141.218.60.56/~jnz1568/getInfo.php?workbook=12_04.xlsx&amp;sheet=U0&amp;row=9519&amp;col=7&amp;number=0.000548&amp;sourceID=14","0.000548")</f>
        <v>0.000548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HYPERLINK("http://141.218.60.56/~jnz1568/getInfo.php?workbook=12_04.xlsx&amp;sheet=U0&amp;row=9520&amp;col=6&amp;number=4.6&amp;sourceID=14","4.6")</f>
        <v>4.6</v>
      </c>
      <c r="G9520" s="4" t="str">
        <f>HYPERLINK("http://141.218.60.56/~jnz1568/getInfo.php?workbook=12_04.xlsx&amp;sheet=U0&amp;row=9520&amp;col=7&amp;number=0.000547&amp;sourceID=14","0.000547")</f>
        <v>0.000547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HYPERLINK("http://141.218.60.56/~jnz1568/getInfo.php?workbook=12_04.xlsx&amp;sheet=U0&amp;row=9521&amp;col=6&amp;number=4.7&amp;sourceID=14","4.7")</f>
        <v>4.7</v>
      </c>
      <c r="G9521" s="4" t="str">
        <f>HYPERLINK("http://141.218.60.56/~jnz1568/getInfo.php?workbook=12_04.xlsx&amp;sheet=U0&amp;row=9521&amp;col=7&amp;number=0.000546&amp;sourceID=14","0.000546")</f>
        <v>0.000546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HYPERLINK("http://141.218.60.56/~jnz1568/getInfo.php?workbook=12_04.xlsx&amp;sheet=U0&amp;row=9522&amp;col=6&amp;number=4.8&amp;sourceID=14","4.8")</f>
        <v>4.8</v>
      </c>
      <c r="G9522" s="4" t="str">
        <f>HYPERLINK("http://141.218.60.56/~jnz1568/getInfo.php?workbook=12_04.xlsx&amp;sheet=U0&amp;row=9522&amp;col=7&amp;number=0.000544&amp;sourceID=14","0.000544")</f>
        <v>0.000544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HYPERLINK("http://141.218.60.56/~jnz1568/getInfo.php?workbook=12_04.xlsx&amp;sheet=U0&amp;row=9523&amp;col=6&amp;number=4.9&amp;sourceID=14","4.9")</f>
        <v>4.9</v>
      </c>
      <c r="G9523" s="4" t="str">
        <f>HYPERLINK("http://141.218.60.56/~jnz1568/getInfo.php?workbook=12_04.xlsx&amp;sheet=U0&amp;row=9523&amp;col=7&amp;number=0.000541&amp;sourceID=14","0.000541")</f>
        <v>0.000541</v>
      </c>
    </row>
    <row r="9524" spans="1:7">
      <c r="A9524" s="3">
        <v>12</v>
      </c>
      <c r="B9524" s="3">
        <v>4</v>
      </c>
      <c r="C9524" s="3">
        <v>1</v>
      </c>
      <c r="D9524" s="3">
        <v>100</v>
      </c>
      <c r="E9524" s="3">
        <v>1</v>
      </c>
      <c r="F9524" s="4" t="str">
        <f>HYPERLINK("http://141.218.60.56/~jnz1568/getInfo.php?workbook=12_04.xlsx&amp;sheet=U0&amp;row=9524&amp;col=6&amp;number=3&amp;sourceID=14","3")</f>
        <v>3</v>
      </c>
      <c r="G9524" s="4" t="str">
        <f>HYPERLINK("http://141.218.60.56/~jnz1568/getInfo.php?workbook=12_04.xlsx&amp;sheet=U0&amp;row=9524&amp;col=7&amp;number=0.000288&amp;sourceID=14","0.000288")</f>
        <v>0.000288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HYPERLINK("http://141.218.60.56/~jnz1568/getInfo.php?workbook=12_04.xlsx&amp;sheet=U0&amp;row=9525&amp;col=6&amp;number=3.1&amp;sourceID=14","3.1")</f>
        <v>3.1</v>
      </c>
      <c r="G9525" s="4" t="str">
        <f>HYPERLINK("http://141.218.60.56/~jnz1568/getInfo.php?workbook=12_04.xlsx&amp;sheet=U0&amp;row=9525&amp;col=7&amp;number=0.000288&amp;sourceID=14","0.000288")</f>
        <v>0.000288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HYPERLINK("http://141.218.60.56/~jnz1568/getInfo.php?workbook=12_04.xlsx&amp;sheet=U0&amp;row=9526&amp;col=6&amp;number=3.2&amp;sourceID=14","3.2")</f>
        <v>3.2</v>
      </c>
      <c r="G9526" s="4" t="str">
        <f>HYPERLINK("http://141.218.60.56/~jnz1568/getInfo.php?workbook=12_04.xlsx&amp;sheet=U0&amp;row=9526&amp;col=7&amp;number=0.000288&amp;sourceID=14","0.000288")</f>
        <v>0.000288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HYPERLINK("http://141.218.60.56/~jnz1568/getInfo.php?workbook=12_04.xlsx&amp;sheet=U0&amp;row=9527&amp;col=6&amp;number=3.3&amp;sourceID=14","3.3")</f>
        <v>3.3</v>
      </c>
      <c r="G9527" s="4" t="str">
        <f>HYPERLINK("http://141.218.60.56/~jnz1568/getInfo.php?workbook=12_04.xlsx&amp;sheet=U0&amp;row=9527&amp;col=7&amp;number=0.000288&amp;sourceID=14","0.000288")</f>
        <v>0.000288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HYPERLINK("http://141.218.60.56/~jnz1568/getInfo.php?workbook=12_04.xlsx&amp;sheet=U0&amp;row=9528&amp;col=6&amp;number=3.4&amp;sourceID=14","3.4")</f>
        <v>3.4</v>
      </c>
      <c r="G9528" s="4" t="str">
        <f>HYPERLINK("http://141.218.60.56/~jnz1568/getInfo.php?workbook=12_04.xlsx&amp;sheet=U0&amp;row=9528&amp;col=7&amp;number=0.000288&amp;sourceID=14","0.000288")</f>
        <v>0.000288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HYPERLINK("http://141.218.60.56/~jnz1568/getInfo.php?workbook=12_04.xlsx&amp;sheet=U0&amp;row=9529&amp;col=6&amp;number=3.5&amp;sourceID=14","3.5")</f>
        <v>3.5</v>
      </c>
      <c r="G9529" s="4" t="str">
        <f>HYPERLINK("http://141.218.60.56/~jnz1568/getInfo.php?workbook=12_04.xlsx&amp;sheet=U0&amp;row=9529&amp;col=7&amp;number=0.000288&amp;sourceID=14","0.000288")</f>
        <v>0.000288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HYPERLINK("http://141.218.60.56/~jnz1568/getInfo.php?workbook=12_04.xlsx&amp;sheet=U0&amp;row=9530&amp;col=6&amp;number=3.6&amp;sourceID=14","3.6")</f>
        <v>3.6</v>
      </c>
      <c r="G9530" s="4" t="str">
        <f>HYPERLINK("http://141.218.60.56/~jnz1568/getInfo.php?workbook=12_04.xlsx&amp;sheet=U0&amp;row=9530&amp;col=7&amp;number=0.000288&amp;sourceID=14","0.000288")</f>
        <v>0.000288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HYPERLINK("http://141.218.60.56/~jnz1568/getInfo.php?workbook=12_04.xlsx&amp;sheet=U0&amp;row=9531&amp;col=6&amp;number=3.7&amp;sourceID=14","3.7")</f>
        <v>3.7</v>
      </c>
      <c r="G9531" s="4" t="str">
        <f>HYPERLINK("http://141.218.60.56/~jnz1568/getInfo.php?workbook=12_04.xlsx&amp;sheet=U0&amp;row=9531&amp;col=7&amp;number=0.000288&amp;sourceID=14","0.000288")</f>
        <v>0.000288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HYPERLINK("http://141.218.60.56/~jnz1568/getInfo.php?workbook=12_04.xlsx&amp;sheet=U0&amp;row=9532&amp;col=6&amp;number=3.8&amp;sourceID=14","3.8")</f>
        <v>3.8</v>
      </c>
      <c r="G9532" s="4" t="str">
        <f>HYPERLINK("http://141.218.60.56/~jnz1568/getInfo.php?workbook=12_04.xlsx&amp;sheet=U0&amp;row=9532&amp;col=7&amp;number=0.000288&amp;sourceID=14","0.000288")</f>
        <v>0.000288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HYPERLINK("http://141.218.60.56/~jnz1568/getInfo.php?workbook=12_04.xlsx&amp;sheet=U0&amp;row=9533&amp;col=6&amp;number=3.9&amp;sourceID=14","3.9")</f>
        <v>3.9</v>
      </c>
      <c r="G9533" s="4" t="str">
        <f>HYPERLINK("http://141.218.60.56/~jnz1568/getInfo.php?workbook=12_04.xlsx&amp;sheet=U0&amp;row=9533&amp;col=7&amp;number=0.000288&amp;sourceID=14","0.000288")</f>
        <v>0.000288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HYPERLINK("http://141.218.60.56/~jnz1568/getInfo.php?workbook=12_04.xlsx&amp;sheet=U0&amp;row=9534&amp;col=6&amp;number=4&amp;sourceID=14","4")</f>
        <v>4</v>
      </c>
      <c r="G9534" s="4" t="str">
        <f>HYPERLINK("http://141.218.60.56/~jnz1568/getInfo.php?workbook=12_04.xlsx&amp;sheet=U0&amp;row=9534&amp;col=7&amp;number=0.000287&amp;sourceID=14","0.000287")</f>
        <v>0.000287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HYPERLINK("http://141.218.60.56/~jnz1568/getInfo.php?workbook=12_04.xlsx&amp;sheet=U0&amp;row=9535&amp;col=6&amp;number=4.1&amp;sourceID=14","4.1")</f>
        <v>4.1</v>
      </c>
      <c r="G9535" s="4" t="str">
        <f>HYPERLINK("http://141.218.60.56/~jnz1568/getInfo.php?workbook=12_04.xlsx&amp;sheet=U0&amp;row=9535&amp;col=7&amp;number=0.000287&amp;sourceID=14","0.000287")</f>
        <v>0.000287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HYPERLINK("http://141.218.60.56/~jnz1568/getInfo.php?workbook=12_04.xlsx&amp;sheet=U0&amp;row=9536&amp;col=6&amp;number=4.2&amp;sourceID=14","4.2")</f>
        <v>4.2</v>
      </c>
      <c r="G9536" s="4" t="str">
        <f>HYPERLINK("http://141.218.60.56/~jnz1568/getInfo.php?workbook=12_04.xlsx&amp;sheet=U0&amp;row=9536&amp;col=7&amp;number=0.000287&amp;sourceID=14","0.000287")</f>
        <v>0.000287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HYPERLINK("http://141.218.60.56/~jnz1568/getInfo.php?workbook=12_04.xlsx&amp;sheet=U0&amp;row=9537&amp;col=6&amp;number=4.3&amp;sourceID=14","4.3")</f>
        <v>4.3</v>
      </c>
      <c r="G9537" s="4" t="str">
        <f>HYPERLINK("http://141.218.60.56/~jnz1568/getInfo.php?workbook=12_04.xlsx&amp;sheet=U0&amp;row=9537&amp;col=7&amp;number=0.000286&amp;sourceID=14","0.000286")</f>
        <v>0.000286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HYPERLINK("http://141.218.60.56/~jnz1568/getInfo.php?workbook=12_04.xlsx&amp;sheet=U0&amp;row=9538&amp;col=6&amp;number=4.4&amp;sourceID=14","4.4")</f>
        <v>4.4</v>
      </c>
      <c r="G9538" s="4" t="str">
        <f>HYPERLINK("http://141.218.60.56/~jnz1568/getInfo.php?workbook=12_04.xlsx&amp;sheet=U0&amp;row=9538&amp;col=7&amp;number=0.000286&amp;sourceID=14","0.000286")</f>
        <v>0.000286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HYPERLINK("http://141.218.60.56/~jnz1568/getInfo.php?workbook=12_04.xlsx&amp;sheet=U0&amp;row=9539&amp;col=6&amp;number=4.5&amp;sourceID=14","4.5")</f>
        <v>4.5</v>
      </c>
      <c r="G9539" s="4" t="str">
        <f>HYPERLINK("http://141.218.60.56/~jnz1568/getInfo.php?workbook=12_04.xlsx&amp;sheet=U0&amp;row=9539&amp;col=7&amp;number=0.000285&amp;sourceID=14","0.000285")</f>
        <v>0.000285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HYPERLINK("http://141.218.60.56/~jnz1568/getInfo.php?workbook=12_04.xlsx&amp;sheet=U0&amp;row=9540&amp;col=6&amp;number=4.6&amp;sourceID=14","4.6")</f>
        <v>4.6</v>
      </c>
      <c r="G9540" s="4" t="str">
        <f>HYPERLINK("http://141.218.60.56/~jnz1568/getInfo.php?workbook=12_04.xlsx&amp;sheet=U0&amp;row=9540&amp;col=7&amp;number=0.000284&amp;sourceID=14","0.000284")</f>
        <v>0.000284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HYPERLINK("http://141.218.60.56/~jnz1568/getInfo.php?workbook=12_04.xlsx&amp;sheet=U0&amp;row=9541&amp;col=6&amp;number=4.7&amp;sourceID=14","4.7")</f>
        <v>4.7</v>
      </c>
      <c r="G9541" s="4" t="str">
        <f>HYPERLINK("http://141.218.60.56/~jnz1568/getInfo.php?workbook=12_04.xlsx&amp;sheet=U0&amp;row=9541&amp;col=7&amp;number=0.000283&amp;sourceID=14","0.000283")</f>
        <v>0.000283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HYPERLINK("http://141.218.60.56/~jnz1568/getInfo.php?workbook=12_04.xlsx&amp;sheet=U0&amp;row=9542&amp;col=6&amp;number=4.8&amp;sourceID=14","4.8")</f>
        <v>4.8</v>
      </c>
      <c r="G9542" s="4" t="str">
        <f>HYPERLINK("http://141.218.60.56/~jnz1568/getInfo.php?workbook=12_04.xlsx&amp;sheet=U0&amp;row=9542&amp;col=7&amp;number=0.000281&amp;sourceID=14","0.000281")</f>
        <v>0.000281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HYPERLINK("http://141.218.60.56/~jnz1568/getInfo.php?workbook=12_04.xlsx&amp;sheet=U0&amp;row=9543&amp;col=6&amp;number=4.9&amp;sourceID=14","4.9")</f>
        <v>4.9</v>
      </c>
      <c r="G9543" s="4" t="str">
        <f>HYPERLINK("http://141.218.60.56/~jnz1568/getInfo.php?workbook=12_04.xlsx&amp;sheet=U0&amp;row=9543&amp;col=7&amp;number=0.00028&amp;sourceID=14","0.00028")</f>
        <v>0.00028</v>
      </c>
    </row>
    <row r="9544" spans="1:7">
      <c r="A9544" s="3">
        <v>12</v>
      </c>
      <c r="B9544" s="3">
        <v>4</v>
      </c>
      <c r="C9544" s="3">
        <v>1</v>
      </c>
      <c r="D9544" s="3">
        <v>101</v>
      </c>
      <c r="E9544" s="3">
        <v>1</v>
      </c>
      <c r="F9544" s="4" t="str">
        <f>HYPERLINK("http://141.218.60.56/~jnz1568/getInfo.php?workbook=12_04.xlsx&amp;sheet=U0&amp;row=9544&amp;col=6&amp;number=3&amp;sourceID=14","3")</f>
        <v>3</v>
      </c>
      <c r="G9544" s="4" t="str">
        <f>HYPERLINK("http://141.218.60.56/~jnz1568/getInfo.php?workbook=12_04.xlsx&amp;sheet=U0&amp;row=9544&amp;col=7&amp;number=0.00086&amp;sourceID=14","0.00086")</f>
        <v>0.00086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HYPERLINK("http://141.218.60.56/~jnz1568/getInfo.php?workbook=12_04.xlsx&amp;sheet=U0&amp;row=9545&amp;col=6&amp;number=3.1&amp;sourceID=14","3.1")</f>
        <v>3.1</v>
      </c>
      <c r="G9545" s="4" t="str">
        <f>HYPERLINK("http://141.218.60.56/~jnz1568/getInfo.php?workbook=12_04.xlsx&amp;sheet=U0&amp;row=9545&amp;col=7&amp;number=0.00086&amp;sourceID=14","0.00086")</f>
        <v>0.00086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HYPERLINK("http://141.218.60.56/~jnz1568/getInfo.php?workbook=12_04.xlsx&amp;sheet=U0&amp;row=9546&amp;col=6&amp;number=3.2&amp;sourceID=14","3.2")</f>
        <v>3.2</v>
      </c>
      <c r="G9546" s="4" t="str">
        <f>HYPERLINK("http://141.218.60.56/~jnz1568/getInfo.php?workbook=12_04.xlsx&amp;sheet=U0&amp;row=9546&amp;col=7&amp;number=0.00086&amp;sourceID=14","0.00086")</f>
        <v>0.00086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HYPERLINK("http://141.218.60.56/~jnz1568/getInfo.php?workbook=12_04.xlsx&amp;sheet=U0&amp;row=9547&amp;col=6&amp;number=3.3&amp;sourceID=14","3.3")</f>
        <v>3.3</v>
      </c>
      <c r="G9547" s="4" t="str">
        <f>HYPERLINK("http://141.218.60.56/~jnz1568/getInfo.php?workbook=12_04.xlsx&amp;sheet=U0&amp;row=9547&amp;col=7&amp;number=0.00086&amp;sourceID=14","0.00086")</f>
        <v>0.00086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HYPERLINK("http://141.218.60.56/~jnz1568/getInfo.php?workbook=12_04.xlsx&amp;sheet=U0&amp;row=9548&amp;col=6&amp;number=3.4&amp;sourceID=14","3.4")</f>
        <v>3.4</v>
      </c>
      <c r="G9548" s="4" t="str">
        <f>HYPERLINK("http://141.218.60.56/~jnz1568/getInfo.php?workbook=12_04.xlsx&amp;sheet=U0&amp;row=9548&amp;col=7&amp;number=0.000859&amp;sourceID=14","0.000859")</f>
        <v>0.000859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HYPERLINK("http://141.218.60.56/~jnz1568/getInfo.php?workbook=12_04.xlsx&amp;sheet=U0&amp;row=9549&amp;col=6&amp;number=3.5&amp;sourceID=14","3.5")</f>
        <v>3.5</v>
      </c>
      <c r="G9549" s="4" t="str">
        <f>HYPERLINK("http://141.218.60.56/~jnz1568/getInfo.php?workbook=12_04.xlsx&amp;sheet=U0&amp;row=9549&amp;col=7&amp;number=0.000859&amp;sourceID=14","0.000859")</f>
        <v>0.000859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HYPERLINK("http://141.218.60.56/~jnz1568/getInfo.php?workbook=12_04.xlsx&amp;sheet=U0&amp;row=9550&amp;col=6&amp;number=3.6&amp;sourceID=14","3.6")</f>
        <v>3.6</v>
      </c>
      <c r="G9550" s="4" t="str">
        <f>HYPERLINK("http://141.218.60.56/~jnz1568/getInfo.php?workbook=12_04.xlsx&amp;sheet=U0&amp;row=9550&amp;col=7&amp;number=0.000859&amp;sourceID=14","0.000859")</f>
        <v>0.000859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HYPERLINK("http://141.218.60.56/~jnz1568/getInfo.php?workbook=12_04.xlsx&amp;sheet=U0&amp;row=9551&amp;col=6&amp;number=3.7&amp;sourceID=14","3.7")</f>
        <v>3.7</v>
      </c>
      <c r="G9551" s="4" t="str">
        <f>HYPERLINK("http://141.218.60.56/~jnz1568/getInfo.php?workbook=12_04.xlsx&amp;sheet=U0&amp;row=9551&amp;col=7&amp;number=0.000859&amp;sourceID=14","0.000859")</f>
        <v>0.000859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HYPERLINK("http://141.218.60.56/~jnz1568/getInfo.php?workbook=12_04.xlsx&amp;sheet=U0&amp;row=9552&amp;col=6&amp;number=3.8&amp;sourceID=14","3.8")</f>
        <v>3.8</v>
      </c>
      <c r="G9552" s="4" t="str">
        <f>HYPERLINK("http://141.218.60.56/~jnz1568/getInfo.php?workbook=12_04.xlsx&amp;sheet=U0&amp;row=9552&amp;col=7&amp;number=0.000858&amp;sourceID=14","0.000858")</f>
        <v>0.000858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HYPERLINK("http://141.218.60.56/~jnz1568/getInfo.php?workbook=12_04.xlsx&amp;sheet=U0&amp;row=9553&amp;col=6&amp;number=3.9&amp;sourceID=14","3.9")</f>
        <v>3.9</v>
      </c>
      <c r="G9553" s="4" t="str">
        <f>HYPERLINK("http://141.218.60.56/~jnz1568/getInfo.php?workbook=12_04.xlsx&amp;sheet=U0&amp;row=9553&amp;col=7&amp;number=0.000858&amp;sourceID=14","0.000858")</f>
        <v>0.000858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HYPERLINK("http://141.218.60.56/~jnz1568/getInfo.php?workbook=12_04.xlsx&amp;sheet=U0&amp;row=9554&amp;col=6&amp;number=4&amp;sourceID=14","4")</f>
        <v>4</v>
      </c>
      <c r="G9554" s="4" t="str">
        <f>HYPERLINK("http://141.218.60.56/~jnz1568/getInfo.php?workbook=12_04.xlsx&amp;sheet=U0&amp;row=9554&amp;col=7&amp;number=0.000857&amp;sourceID=14","0.000857")</f>
        <v>0.000857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HYPERLINK("http://141.218.60.56/~jnz1568/getInfo.php?workbook=12_04.xlsx&amp;sheet=U0&amp;row=9555&amp;col=6&amp;number=4.1&amp;sourceID=14","4.1")</f>
        <v>4.1</v>
      </c>
      <c r="G9555" s="4" t="str">
        <f>HYPERLINK("http://141.218.60.56/~jnz1568/getInfo.php?workbook=12_04.xlsx&amp;sheet=U0&amp;row=9555&amp;col=7&amp;number=0.000856&amp;sourceID=14","0.000856")</f>
        <v>0.000856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HYPERLINK("http://141.218.60.56/~jnz1568/getInfo.php?workbook=12_04.xlsx&amp;sheet=U0&amp;row=9556&amp;col=6&amp;number=4.2&amp;sourceID=14","4.2")</f>
        <v>4.2</v>
      </c>
      <c r="G9556" s="4" t="str">
        <f>HYPERLINK("http://141.218.60.56/~jnz1568/getInfo.php?workbook=12_04.xlsx&amp;sheet=U0&amp;row=9556&amp;col=7&amp;number=0.000855&amp;sourceID=14","0.000855")</f>
        <v>0.000855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HYPERLINK("http://141.218.60.56/~jnz1568/getInfo.php?workbook=12_04.xlsx&amp;sheet=U0&amp;row=9557&amp;col=6&amp;number=4.3&amp;sourceID=14","4.3")</f>
        <v>4.3</v>
      </c>
      <c r="G9557" s="4" t="str">
        <f>HYPERLINK("http://141.218.60.56/~jnz1568/getInfo.php?workbook=12_04.xlsx&amp;sheet=U0&amp;row=9557&amp;col=7&amp;number=0.000854&amp;sourceID=14","0.000854")</f>
        <v>0.000854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HYPERLINK("http://141.218.60.56/~jnz1568/getInfo.php?workbook=12_04.xlsx&amp;sheet=U0&amp;row=9558&amp;col=6&amp;number=4.4&amp;sourceID=14","4.4")</f>
        <v>4.4</v>
      </c>
      <c r="G9558" s="4" t="str">
        <f>HYPERLINK("http://141.218.60.56/~jnz1568/getInfo.php?workbook=12_04.xlsx&amp;sheet=U0&amp;row=9558&amp;col=7&amp;number=0.000852&amp;sourceID=14","0.000852")</f>
        <v>0.000852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HYPERLINK("http://141.218.60.56/~jnz1568/getInfo.php?workbook=12_04.xlsx&amp;sheet=U0&amp;row=9559&amp;col=6&amp;number=4.5&amp;sourceID=14","4.5")</f>
        <v>4.5</v>
      </c>
      <c r="G9559" s="4" t="str">
        <f>HYPERLINK("http://141.218.60.56/~jnz1568/getInfo.php?workbook=12_04.xlsx&amp;sheet=U0&amp;row=9559&amp;col=7&amp;number=0.00085&amp;sourceID=14","0.00085")</f>
        <v>0.00085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HYPERLINK("http://141.218.60.56/~jnz1568/getInfo.php?workbook=12_04.xlsx&amp;sheet=U0&amp;row=9560&amp;col=6&amp;number=4.6&amp;sourceID=14","4.6")</f>
        <v>4.6</v>
      </c>
      <c r="G9560" s="4" t="str">
        <f>HYPERLINK("http://141.218.60.56/~jnz1568/getInfo.php?workbook=12_04.xlsx&amp;sheet=U0&amp;row=9560&amp;col=7&amp;number=0.000847&amp;sourceID=14","0.000847")</f>
        <v>0.000847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HYPERLINK("http://141.218.60.56/~jnz1568/getInfo.php?workbook=12_04.xlsx&amp;sheet=U0&amp;row=9561&amp;col=6&amp;number=4.7&amp;sourceID=14","4.7")</f>
        <v>4.7</v>
      </c>
      <c r="G9561" s="4" t="str">
        <f>HYPERLINK("http://141.218.60.56/~jnz1568/getInfo.php?workbook=12_04.xlsx&amp;sheet=U0&amp;row=9561&amp;col=7&amp;number=0.000844&amp;sourceID=14","0.000844")</f>
        <v>0.000844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HYPERLINK("http://141.218.60.56/~jnz1568/getInfo.php?workbook=12_04.xlsx&amp;sheet=U0&amp;row=9562&amp;col=6&amp;number=4.8&amp;sourceID=14","4.8")</f>
        <v>4.8</v>
      </c>
      <c r="G9562" s="4" t="str">
        <f>HYPERLINK("http://141.218.60.56/~jnz1568/getInfo.php?workbook=12_04.xlsx&amp;sheet=U0&amp;row=9562&amp;col=7&amp;number=0.00084&amp;sourceID=14","0.00084")</f>
        <v>0.00084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HYPERLINK("http://141.218.60.56/~jnz1568/getInfo.php?workbook=12_04.xlsx&amp;sheet=U0&amp;row=9563&amp;col=6&amp;number=4.9&amp;sourceID=14","4.9")</f>
        <v>4.9</v>
      </c>
      <c r="G9563" s="4" t="str">
        <f>HYPERLINK("http://141.218.60.56/~jnz1568/getInfo.php?workbook=12_04.xlsx&amp;sheet=U0&amp;row=9563&amp;col=7&amp;number=0.000834&amp;sourceID=14","0.000834")</f>
        <v>0.000834</v>
      </c>
    </row>
    <row r="9564" spans="1:7">
      <c r="A9564" s="3">
        <v>12</v>
      </c>
      <c r="B9564" s="3">
        <v>4</v>
      </c>
      <c r="C9564" s="3">
        <v>1</v>
      </c>
      <c r="D9564" s="3">
        <v>102</v>
      </c>
      <c r="E9564" s="3">
        <v>1</v>
      </c>
      <c r="F9564" s="4" t="str">
        <f>HYPERLINK("http://141.218.60.56/~jnz1568/getInfo.php?workbook=12_04.xlsx&amp;sheet=U0&amp;row=9564&amp;col=6&amp;number=3&amp;sourceID=14","3")</f>
        <v>3</v>
      </c>
      <c r="G9564" s="4" t="str">
        <f>HYPERLINK("http://141.218.60.56/~jnz1568/getInfo.php?workbook=12_04.xlsx&amp;sheet=U0&amp;row=9564&amp;col=7&amp;number=0.00146&amp;sourceID=14","0.00146")</f>
        <v>0.00146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HYPERLINK("http://141.218.60.56/~jnz1568/getInfo.php?workbook=12_04.xlsx&amp;sheet=U0&amp;row=9565&amp;col=6&amp;number=3.1&amp;sourceID=14","3.1")</f>
        <v>3.1</v>
      </c>
      <c r="G9565" s="4" t="str">
        <f>HYPERLINK("http://141.218.60.56/~jnz1568/getInfo.php?workbook=12_04.xlsx&amp;sheet=U0&amp;row=9565&amp;col=7&amp;number=0.00146&amp;sourceID=14","0.00146")</f>
        <v>0.00146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HYPERLINK("http://141.218.60.56/~jnz1568/getInfo.php?workbook=12_04.xlsx&amp;sheet=U0&amp;row=9566&amp;col=6&amp;number=3.2&amp;sourceID=14","3.2")</f>
        <v>3.2</v>
      </c>
      <c r="G9566" s="4" t="str">
        <f>HYPERLINK("http://141.218.60.56/~jnz1568/getInfo.php?workbook=12_04.xlsx&amp;sheet=U0&amp;row=9566&amp;col=7&amp;number=0.00146&amp;sourceID=14","0.00146")</f>
        <v>0.00146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HYPERLINK("http://141.218.60.56/~jnz1568/getInfo.php?workbook=12_04.xlsx&amp;sheet=U0&amp;row=9567&amp;col=6&amp;number=3.3&amp;sourceID=14","3.3")</f>
        <v>3.3</v>
      </c>
      <c r="G9567" s="4" t="str">
        <f>HYPERLINK("http://141.218.60.56/~jnz1568/getInfo.php?workbook=12_04.xlsx&amp;sheet=U0&amp;row=9567&amp;col=7&amp;number=0.00146&amp;sourceID=14","0.00146")</f>
        <v>0.00146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HYPERLINK("http://141.218.60.56/~jnz1568/getInfo.php?workbook=12_04.xlsx&amp;sheet=U0&amp;row=9568&amp;col=6&amp;number=3.4&amp;sourceID=14","3.4")</f>
        <v>3.4</v>
      </c>
      <c r="G9568" s="4" t="str">
        <f>HYPERLINK("http://141.218.60.56/~jnz1568/getInfo.php?workbook=12_04.xlsx&amp;sheet=U0&amp;row=9568&amp;col=7&amp;number=0.00146&amp;sourceID=14","0.00146")</f>
        <v>0.00146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HYPERLINK("http://141.218.60.56/~jnz1568/getInfo.php?workbook=12_04.xlsx&amp;sheet=U0&amp;row=9569&amp;col=6&amp;number=3.5&amp;sourceID=14","3.5")</f>
        <v>3.5</v>
      </c>
      <c r="G9569" s="4" t="str">
        <f>HYPERLINK("http://141.218.60.56/~jnz1568/getInfo.php?workbook=12_04.xlsx&amp;sheet=U0&amp;row=9569&amp;col=7&amp;number=0.00146&amp;sourceID=14","0.00146")</f>
        <v>0.00146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HYPERLINK("http://141.218.60.56/~jnz1568/getInfo.php?workbook=12_04.xlsx&amp;sheet=U0&amp;row=9570&amp;col=6&amp;number=3.6&amp;sourceID=14","3.6")</f>
        <v>3.6</v>
      </c>
      <c r="G9570" s="4" t="str">
        <f>HYPERLINK("http://141.218.60.56/~jnz1568/getInfo.php?workbook=12_04.xlsx&amp;sheet=U0&amp;row=9570&amp;col=7&amp;number=0.00146&amp;sourceID=14","0.00146")</f>
        <v>0.00146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HYPERLINK("http://141.218.60.56/~jnz1568/getInfo.php?workbook=12_04.xlsx&amp;sheet=U0&amp;row=9571&amp;col=6&amp;number=3.7&amp;sourceID=14","3.7")</f>
        <v>3.7</v>
      </c>
      <c r="G9571" s="4" t="str">
        <f>HYPERLINK("http://141.218.60.56/~jnz1568/getInfo.php?workbook=12_04.xlsx&amp;sheet=U0&amp;row=9571&amp;col=7&amp;number=0.00146&amp;sourceID=14","0.00146")</f>
        <v>0.00146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HYPERLINK("http://141.218.60.56/~jnz1568/getInfo.php?workbook=12_04.xlsx&amp;sheet=U0&amp;row=9572&amp;col=6&amp;number=3.8&amp;sourceID=14","3.8")</f>
        <v>3.8</v>
      </c>
      <c r="G9572" s="4" t="str">
        <f>HYPERLINK("http://141.218.60.56/~jnz1568/getInfo.php?workbook=12_04.xlsx&amp;sheet=U0&amp;row=9572&amp;col=7&amp;number=0.00146&amp;sourceID=14","0.00146")</f>
        <v>0.00146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HYPERLINK("http://141.218.60.56/~jnz1568/getInfo.php?workbook=12_04.xlsx&amp;sheet=U0&amp;row=9573&amp;col=6&amp;number=3.9&amp;sourceID=14","3.9")</f>
        <v>3.9</v>
      </c>
      <c r="G9573" s="4" t="str">
        <f>HYPERLINK("http://141.218.60.56/~jnz1568/getInfo.php?workbook=12_04.xlsx&amp;sheet=U0&amp;row=9573&amp;col=7&amp;number=0.00146&amp;sourceID=14","0.00146")</f>
        <v>0.00146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HYPERLINK("http://141.218.60.56/~jnz1568/getInfo.php?workbook=12_04.xlsx&amp;sheet=U0&amp;row=9574&amp;col=6&amp;number=4&amp;sourceID=14","4")</f>
        <v>4</v>
      </c>
      <c r="G9574" s="4" t="str">
        <f>HYPERLINK("http://141.218.60.56/~jnz1568/getInfo.php?workbook=12_04.xlsx&amp;sheet=U0&amp;row=9574&amp;col=7&amp;number=0.00146&amp;sourceID=14","0.00146")</f>
        <v>0.00146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HYPERLINK("http://141.218.60.56/~jnz1568/getInfo.php?workbook=12_04.xlsx&amp;sheet=U0&amp;row=9575&amp;col=6&amp;number=4.1&amp;sourceID=14","4.1")</f>
        <v>4.1</v>
      </c>
      <c r="G9575" s="4" t="str">
        <f>HYPERLINK("http://141.218.60.56/~jnz1568/getInfo.php?workbook=12_04.xlsx&amp;sheet=U0&amp;row=9575&amp;col=7&amp;number=0.00145&amp;sourceID=14","0.00145")</f>
        <v>0.00145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HYPERLINK("http://141.218.60.56/~jnz1568/getInfo.php?workbook=12_04.xlsx&amp;sheet=U0&amp;row=9576&amp;col=6&amp;number=4.2&amp;sourceID=14","4.2")</f>
        <v>4.2</v>
      </c>
      <c r="G9576" s="4" t="str">
        <f>HYPERLINK("http://141.218.60.56/~jnz1568/getInfo.php?workbook=12_04.xlsx&amp;sheet=U0&amp;row=9576&amp;col=7&amp;number=0.00145&amp;sourceID=14","0.00145")</f>
        <v>0.00145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HYPERLINK("http://141.218.60.56/~jnz1568/getInfo.php?workbook=12_04.xlsx&amp;sheet=U0&amp;row=9577&amp;col=6&amp;number=4.3&amp;sourceID=14","4.3")</f>
        <v>4.3</v>
      </c>
      <c r="G9577" s="4" t="str">
        <f>HYPERLINK("http://141.218.60.56/~jnz1568/getInfo.php?workbook=12_04.xlsx&amp;sheet=U0&amp;row=9577&amp;col=7&amp;number=0.00145&amp;sourceID=14","0.00145")</f>
        <v>0.00145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HYPERLINK("http://141.218.60.56/~jnz1568/getInfo.php?workbook=12_04.xlsx&amp;sheet=U0&amp;row=9578&amp;col=6&amp;number=4.4&amp;sourceID=14","4.4")</f>
        <v>4.4</v>
      </c>
      <c r="G9578" s="4" t="str">
        <f>HYPERLINK("http://141.218.60.56/~jnz1568/getInfo.php?workbook=12_04.xlsx&amp;sheet=U0&amp;row=9578&amp;col=7&amp;number=0.00145&amp;sourceID=14","0.00145")</f>
        <v>0.00145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HYPERLINK("http://141.218.60.56/~jnz1568/getInfo.php?workbook=12_04.xlsx&amp;sheet=U0&amp;row=9579&amp;col=6&amp;number=4.5&amp;sourceID=14","4.5")</f>
        <v>4.5</v>
      </c>
      <c r="G9579" s="4" t="str">
        <f>HYPERLINK("http://141.218.60.56/~jnz1568/getInfo.php?workbook=12_04.xlsx&amp;sheet=U0&amp;row=9579&amp;col=7&amp;number=0.00144&amp;sourceID=14","0.00144")</f>
        <v>0.00144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HYPERLINK("http://141.218.60.56/~jnz1568/getInfo.php?workbook=12_04.xlsx&amp;sheet=U0&amp;row=9580&amp;col=6&amp;number=4.6&amp;sourceID=14","4.6")</f>
        <v>4.6</v>
      </c>
      <c r="G9580" s="4" t="str">
        <f>HYPERLINK("http://141.218.60.56/~jnz1568/getInfo.php?workbook=12_04.xlsx&amp;sheet=U0&amp;row=9580&amp;col=7&amp;number=0.00144&amp;sourceID=14","0.00144")</f>
        <v>0.00144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HYPERLINK("http://141.218.60.56/~jnz1568/getInfo.php?workbook=12_04.xlsx&amp;sheet=U0&amp;row=9581&amp;col=6&amp;number=4.7&amp;sourceID=14","4.7")</f>
        <v>4.7</v>
      </c>
      <c r="G9581" s="4" t="str">
        <f>HYPERLINK("http://141.218.60.56/~jnz1568/getInfo.php?workbook=12_04.xlsx&amp;sheet=U0&amp;row=9581&amp;col=7&amp;number=0.00143&amp;sourceID=14","0.00143")</f>
        <v>0.00143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HYPERLINK("http://141.218.60.56/~jnz1568/getInfo.php?workbook=12_04.xlsx&amp;sheet=U0&amp;row=9582&amp;col=6&amp;number=4.8&amp;sourceID=14","4.8")</f>
        <v>4.8</v>
      </c>
      <c r="G9582" s="4" t="str">
        <f>HYPERLINK("http://141.218.60.56/~jnz1568/getInfo.php?workbook=12_04.xlsx&amp;sheet=U0&amp;row=9582&amp;col=7&amp;number=0.00142&amp;sourceID=14","0.00142")</f>
        <v>0.00142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HYPERLINK("http://141.218.60.56/~jnz1568/getInfo.php?workbook=12_04.xlsx&amp;sheet=U0&amp;row=9583&amp;col=6&amp;number=4.9&amp;sourceID=14","4.9")</f>
        <v>4.9</v>
      </c>
      <c r="G9583" s="4" t="str">
        <f>HYPERLINK("http://141.218.60.56/~jnz1568/getInfo.php?workbook=12_04.xlsx&amp;sheet=U0&amp;row=9583&amp;col=7&amp;number=0.00142&amp;sourceID=14","0.00142")</f>
        <v>0.00142</v>
      </c>
    </row>
    <row r="9584" spans="1:7">
      <c r="A9584" s="3">
        <v>12</v>
      </c>
      <c r="B9584" s="3">
        <v>4</v>
      </c>
      <c r="C9584" s="3">
        <v>1</v>
      </c>
      <c r="D9584" s="3">
        <v>103</v>
      </c>
      <c r="E9584" s="3">
        <v>1</v>
      </c>
      <c r="F9584" s="4" t="str">
        <f>HYPERLINK("http://141.218.60.56/~jnz1568/getInfo.php?workbook=12_04.xlsx&amp;sheet=U0&amp;row=9584&amp;col=6&amp;number=3&amp;sourceID=14","3")</f>
        <v>3</v>
      </c>
      <c r="G9584" s="4" t="str">
        <f>HYPERLINK("http://141.218.60.56/~jnz1568/getInfo.php?workbook=12_04.xlsx&amp;sheet=U0&amp;row=9584&amp;col=7&amp;number=0.0018&amp;sourceID=14","0.0018")</f>
        <v>0.0018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HYPERLINK("http://141.218.60.56/~jnz1568/getInfo.php?workbook=12_04.xlsx&amp;sheet=U0&amp;row=9585&amp;col=6&amp;number=3.1&amp;sourceID=14","3.1")</f>
        <v>3.1</v>
      </c>
      <c r="G9585" s="4" t="str">
        <f>HYPERLINK("http://141.218.60.56/~jnz1568/getInfo.php?workbook=12_04.xlsx&amp;sheet=U0&amp;row=9585&amp;col=7&amp;number=0.0018&amp;sourceID=14","0.0018")</f>
        <v>0.0018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HYPERLINK("http://141.218.60.56/~jnz1568/getInfo.php?workbook=12_04.xlsx&amp;sheet=U0&amp;row=9586&amp;col=6&amp;number=3.2&amp;sourceID=14","3.2")</f>
        <v>3.2</v>
      </c>
      <c r="G9586" s="4" t="str">
        <f>HYPERLINK("http://141.218.60.56/~jnz1568/getInfo.php?workbook=12_04.xlsx&amp;sheet=U0&amp;row=9586&amp;col=7&amp;number=0.0018&amp;sourceID=14","0.0018")</f>
        <v>0.0018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HYPERLINK("http://141.218.60.56/~jnz1568/getInfo.php?workbook=12_04.xlsx&amp;sheet=U0&amp;row=9587&amp;col=6&amp;number=3.3&amp;sourceID=14","3.3")</f>
        <v>3.3</v>
      </c>
      <c r="G9587" s="4" t="str">
        <f>HYPERLINK("http://141.218.60.56/~jnz1568/getInfo.php?workbook=12_04.xlsx&amp;sheet=U0&amp;row=9587&amp;col=7&amp;number=0.0018&amp;sourceID=14","0.0018")</f>
        <v>0.0018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HYPERLINK("http://141.218.60.56/~jnz1568/getInfo.php?workbook=12_04.xlsx&amp;sheet=U0&amp;row=9588&amp;col=6&amp;number=3.4&amp;sourceID=14","3.4")</f>
        <v>3.4</v>
      </c>
      <c r="G9588" s="4" t="str">
        <f>HYPERLINK("http://141.218.60.56/~jnz1568/getInfo.php?workbook=12_04.xlsx&amp;sheet=U0&amp;row=9588&amp;col=7&amp;number=0.0018&amp;sourceID=14","0.0018")</f>
        <v>0.0018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HYPERLINK("http://141.218.60.56/~jnz1568/getInfo.php?workbook=12_04.xlsx&amp;sheet=U0&amp;row=9589&amp;col=6&amp;number=3.5&amp;sourceID=14","3.5")</f>
        <v>3.5</v>
      </c>
      <c r="G9589" s="4" t="str">
        <f>HYPERLINK("http://141.218.60.56/~jnz1568/getInfo.php?workbook=12_04.xlsx&amp;sheet=U0&amp;row=9589&amp;col=7&amp;number=0.0018&amp;sourceID=14","0.0018")</f>
        <v>0.0018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HYPERLINK("http://141.218.60.56/~jnz1568/getInfo.php?workbook=12_04.xlsx&amp;sheet=U0&amp;row=9590&amp;col=6&amp;number=3.6&amp;sourceID=14","3.6")</f>
        <v>3.6</v>
      </c>
      <c r="G9590" s="4" t="str">
        <f>HYPERLINK("http://141.218.60.56/~jnz1568/getInfo.php?workbook=12_04.xlsx&amp;sheet=U0&amp;row=9590&amp;col=7&amp;number=0.0018&amp;sourceID=14","0.0018")</f>
        <v>0.0018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HYPERLINK("http://141.218.60.56/~jnz1568/getInfo.php?workbook=12_04.xlsx&amp;sheet=U0&amp;row=9591&amp;col=6&amp;number=3.7&amp;sourceID=14","3.7")</f>
        <v>3.7</v>
      </c>
      <c r="G9591" s="4" t="str">
        <f>HYPERLINK("http://141.218.60.56/~jnz1568/getInfo.php?workbook=12_04.xlsx&amp;sheet=U0&amp;row=9591&amp;col=7&amp;number=0.0018&amp;sourceID=14","0.0018")</f>
        <v>0.0018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HYPERLINK("http://141.218.60.56/~jnz1568/getInfo.php?workbook=12_04.xlsx&amp;sheet=U0&amp;row=9592&amp;col=6&amp;number=3.8&amp;sourceID=14","3.8")</f>
        <v>3.8</v>
      </c>
      <c r="G9592" s="4" t="str">
        <f>HYPERLINK("http://141.218.60.56/~jnz1568/getInfo.php?workbook=12_04.xlsx&amp;sheet=U0&amp;row=9592&amp;col=7&amp;number=0.0018&amp;sourceID=14","0.0018")</f>
        <v>0.0018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HYPERLINK("http://141.218.60.56/~jnz1568/getInfo.php?workbook=12_04.xlsx&amp;sheet=U0&amp;row=9593&amp;col=6&amp;number=3.9&amp;sourceID=14","3.9")</f>
        <v>3.9</v>
      </c>
      <c r="G9593" s="4" t="str">
        <f>HYPERLINK("http://141.218.60.56/~jnz1568/getInfo.php?workbook=12_04.xlsx&amp;sheet=U0&amp;row=9593&amp;col=7&amp;number=0.0018&amp;sourceID=14","0.0018")</f>
        <v>0.0018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HYPERLINK("http://141.218.60.56/~jnz1568/getInfo.php?workbook=12_04.xlsx&amp;sheet=U0&amp;row=9594&amp;col=6&amp;number=4&amp;sourceID=14","4")</f>
        <v>4</v>
      </c>
      <c r="G9594" s="4" t="str">
        <f>HYPERLINK("http://141.218.60.56/~jnz1568/getInfo.php?workbook=12_04.xlsx&amp;sheet=U0&amp;row=9594&amp;col=7&amp;number=0.0018&amp;sourceID=14","0.0018")</f>
        <v>0.0018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HYPERLINK("http://141.218.60.56/~jnz1568/getInfo.php?workbook=12_04.xlsx&amp;sheet=U0&amp;row=9595&amp;col=6&amp;number=4.1&amp;sourceID=14","4.1")</f>
        <v>4.1</v>
      </c>
      <c r="G9595" s="4" t="str">
        <f>HYPERLINK("http://141.218.60.56/~jnz1568/getInfo.php?workbook=12_04.xlsx&amp;sheet=U0&amp;row=9595&amp;col=7&amp;number=0.00181&amp;sourceID=14","0.00181")</f>
        <v>0.00181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HYPERLINK("http://141.218.60.56/~jnz1568/getInfo.php?workbook=12_04.xlsx&amp;sheet=U0&amp;row=9596&amp;col=6&amp;number=4.2&amp;sourceID=14","4.2")</f>
        <v>4.2</v>
      </c>
      <c r="G9596" s="4" t="str">
        <f>HYPERLINK("http://141.218.60.56/~jnz1568/getInfo.php?workbook=12_04.xlsx&amp;sheet=U0&amp;row=9596&amp;col=7&amp;number=0.00181&amp;sourceID=14","0.00181")</f>
        <v>0.00181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HYPERLINK("http://141.218.60.56/~jnz1568/getInfo.php?workbook=12_04.xlsx&amp;sheet=U0&amp;row=9597&amp;col=6&amp;number=4.3&amp;sourceID=14","4.3")</f>
        <v>4.3</v>
      </c>
      <c r="G9597" s="4" t="str">
        <f>HYPERLINK("http://141.218.60.56/~jnz1568/getInfo.php?workbook=12_04.xlsx&amp;sheet=U0&amp;row=9597&amp;col=7&amp;number=0.00181&amp;sourceID=14","0.00181")</f>
        <v>0.00181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HYPERLINK("http://141.218.60.56/~jnz1568/getInfo.php?workbook=12_04.xlsx&amp;sheet=U0&amp;row=9598&amp;col=6&amp;number=4.4&amp;sourceID=14","4.4")</f>
        <v>4.4</v>
      </c>
      <c r="G9598" s="4" t="str">
        <f>HYPERLINK("http://141.218.60.56/~jnz1568/getInfo.php?workbook=12_04.xlsx&amp;sheet=U0&amp;row=9598&amp;col=7&amp;number=0.00181&amp;sourceID=14","0.00181")</f>
        <v>0.00181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HYPERLINK("http://141.218.60.56/~jnz1568/getInfo.php?workbook=12_04.xlsx&amp;sheet=U0&amp;row=9599&amp;col=6&amp;number=4.5&amp;sourceID=14","4.5")</f>
        <v>4.5</v>
      </c>
      <c r="G9599" s="4" t="str">
        <f>HYPERLINK("http://141.218.60.56/~jnz1568/getInfo.php?workbook=12_04.xlsx&amp;sheet=U0&amp;row=9599&amp;col=7&amp;number=0.00181&amp;sourceID=14","0.00181")</f>
        <v>0.00181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HYPERLINK("http://141.218.60.56/~jnz1568/getInfo.php?workbook=12_04.xlsx&amp;sheet=U0&amp;row=9600&amp;col=6&amp;number=4.6&amp;sourceID=14","4.6")</f>
        <v>4.6</v>
      </c>
      <c r="G9600" s="4" t="str">
        <f>HYPERLINK("http://141.218.60.56/~jnz1568/getInfo.php?workbook=12_04.xlsx&amp;sheet=U0&amp;row=9600&amp;col=7&amp;number=0.00182&amp;sourceID=14","0.00182")</f>
        <v>0.00182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HYPERLINK("http://141.218.60.56/~jnz1568/getInfo.php?workbook=12_04.xlsx&amp;sheet=U0&amp;row=9601&amp;col=6&amp;number=4.7&amp;sourceID=14","4.7")</f>
        <v>4.7</v>
      </c>
      <c r="G9601" s="4" t="str">
        <f>HYPERLINK("http://141.218.60.56/~jnz1568/getInfo.php?workbook=12_04.xlsx&amp;sheet=U0&amp;row=9601&amp;col=7&amp;number=0.00182&amp;sourceID=14","0.00182")</f>
        <v>0.00182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HYPERLINK("http://141.218.60.56/~jnz1568/getInfo.php?workbook=12_04.xlsx&amp;sheet=U0&amp;row=9602&amp;col=6&amp;number=4.8&amp;sourceID=14","4.8")</f>
        <v>4.8</v>
      </c>
      <c r="G9602" s="4" t="str">
        <f>HYPERLINK("http://141.218.60.56/~jnz1568/getInfo.php?workbook=12_04.xlsx&amp;sheet=U0&amp;row=9602&amp;col=7&amp;number=0.00183&amp;sourceID=14","0.00183")</f>
        <v>0.00183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HYPERLINK("http://141.218.60.56/~jnz1568/getInfo.php?workbook=12_04.xlsx&amp;sheet=U0&amp;row=9603&amp;col=6&amp;number=4.9&amp;sourceID=14","4.9")</f>
        <v>4.9</v>
      </c>
      <c r="G9603" s="4" t="str">
        <f>HYPERLINK("http://141.218.60.56/~jnz1568/getInfo.php?workbook=12_04.xlsx&amp;sheet=U0&amp;row=9603&amp;col=7&amp;number=0.00183&amp;sourceID=14","0.00183")</f>
        <v>0.00183</v>
      </c>
    </row>
    <row r="9604" spans="1:7">
      <c r="A9604" s="3">
        <v>12</v>
      </c>
      <c r="B9604" s="3">
        <v>4</v>
      </c>
      <c r="C9604" s="3">
        <v>1</v>
      </c>
      <c r="D9604" s="3">
        <v>104</v>
      </c>
      <c r="E9604" s="3">
        <v>1</v>
      </c>
      <c r="F9604" s="4" t="str">
        <f>HYPERLINK("http://141.218.60.56/~jnz1568/getInfo.php?workbook=12_04.xlsx&amp;sheet=U0&amp;row=9604&amp;col=6&amp;number=3&amp;sourceID=14","3")</f>
        <v>3</v>
      </c>
      <c r="G9604" s="4" t="str">
        <f>HYPERLINK("http://141.218.60.56/~jnz1568/getInfo.php?workbook=12_04.xlsx&amp;sheet=U0&amp;row=9604&amp;col=7&amp;number=0.000946&amp;sourceID=14","0.000946")</f>
        <v>0.000946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HYPERLINK("http://141.218.60.56/~jnz1568/getInfo.php?workbook=12_04.xlsx&amp;sheet=U0&amp;row=9605&amp;col=6&amp;number=3.1&amp;sourceID=14","3.1")</f>
        <v>3.1</v>
      </c>
      <c r="G9605" s="4" t="str">
        <f>HYPERLINK("http://141.218.60.56/~jnz1568/getInfo.php?workbook=12_04.xlsx&amp;sheet=U0&amp;row=9605&amp;col=7&amp;number=0.000947&amp;sourceID=14","0.000947")</f>
        <v>0.000947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HYPERLINK("http://141.218.60.56/~jnz1568/getInfo.php?workbook=12_04.xlsx&amp;sheet=U0&amp;row=9606&amp;col=6&amp;number=3.2&amp;sourceID=14","3.2")</f>
        <v>3.2</v>
      </c>
      <c r="G9606" s="4" t="str">
        <f>HYPERLINK("http://141.218.60.56/~jnz1568/getInfo.php?workbook=12_04.xlsx&amp;sheet=U0&amp;row=9606&amp;col=7&amp;number=0.000947&amp;sourceID=14","0.000947")</f>
        <v>0.000947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HYPERLINK("http://141.218.60.56/~jnz1568/getInfo.php?workbook=12_04.xlsx&amp;sheet=U0&amp;row=9607&amp;col=6&amp;number=3.3&amp;sourceID=14","3.3")</f>
        <v>3.3</v>
      </c>
      <c r="G9607" s="4" t="str">
        <f>HYPERLINK("http://141.218.60.56/~jnz1568/getInfo.php?workbook=12_04.xlsx&amp;sheet=U0&amp;row=9607&amp;col=7&amp;number=0.000948&amp;sourceID=14","0.000948")</f>
        <v>0.000948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HYPERLINK("http://141.218.60.56/~jnz1568/getInfo.php?workbook=12_04.xlsx&amp;sheet=U0&amp;row=9608&amp;col=6&amp;number=3.4&amp;sourceID=14","3.4")</f>
        <v>3.4</v>
      </c>
      <c r="G9608" s="4" t="str">
        <f>HYPERLINK("http://141.218.60.56/~jnz1568/getInfo.php?workbook=12_04.xlsx&amp;sheet=U0&amp;row=9608&amp;col=7&amp;number=0.000949&amp;sourceID=14","0.000949")</f>
        <v>0.000949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HYPERLINK("http://141.218.60.56/~jnz1568/getInfo.php?workbook=12_04.xlsx&amp;sheet=U0&amp;row=9609&amp;col=6&amp;number=3.5&amp;sourceID=14","3.5")</f>
        <v>3.5</v>
      </c>
      <c r="G9609" s="4" t="str">
        <f>HYPERLINK("http://141.218.60.56/~jnz1568/getInfo.php?workbook=12_04.xlsx&amp;sheet=U0&amp;row=9609&amp;col=7&amp;number=0.00095&amp;sourceID=14","0.00095")</f>
        <v>0.00095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HYPERLINK("http://141.218.60.56/~jnz1568/getInfo.php?workbook=12_04.xlsx&amp;sheet=U0&amp;row=9610&amp;col=6&amp;number=3.6&amp;sourceID=14","3.6")</f>
        <v>3.6</v>
      </c>
      <c r="G9610" s="4" t="str">
        <f>HYPERLINK("http://141.218.60.56/~jnz1568/getInfo.php?workbook=12_04.xlsx&amp;sheet=U0&amp;row=9610&amp;col=7&amp;number=0.000951&amp;sourceID=14","0.000951")</f>
        <v>0.000951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HYPERLINK("http://141.218.60.56/~jnz1568/getInfo.php?workbook=12_04.xlsx&amp;sheet=U0&amp;row=9611&amp;col=6&amp;number=3.7&amp;sourceID=14","3.7")</f>
        <v>3.7</v>
      </c>
      <c r="G9611" s="4" t="str">
        <f>HYPERLINK("http://141.218.60.56/~jnz1568/getInfo.php?workbook=12_04.xlsx&amp;sheet=U0&amp;row=9611&amp;col=7&amp;number=0.000953&amp;sourceID=14","0.000953")</f>
        <v>0.000953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HYPERLINK("http://141.218.60.56/~jnz1568/getInfo.php?workbook=12_04.xlsx&amp;sheet=U0&amp;row=9612&amp;col=6&amp;number=3.8&amp;sourceID=14","3.8")</f>
        <v>3.8</v>
      </c>
      <c r="G9612" s="4" t="str">
        <f>HYPERLINK("http://141.218.60.56/~jnz1568/getInfo.php?workbook=12_04.xlsx&amp;sheet=U0&amp;row=9612&amp;col=7&amp;number=0.000955&amp;sourceID=14","0.000955")</f>
        <v>0.000955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HYPERLINK("http://141.218.60.56/~jnz1568/getInfo.php?workbook=12_04.xlsx&amp;sheet=U0&amp;row=9613&amp;col=6&amp;number=3.9&amp;sourceID=14","3.9")</f>
        <v>3.9</v>
      </c>
      <c r="G9613" s="4" t="str">
        <f>HYPERLINK("http://141.218.60.56/~jnz1568/getInfo.php?workbook=12_04.xlsx&amp;sheet=U0&amp;row=9613&amp;col=7&amp;number=0.000958&amp;sourceID=14","0.000958")</f>
        <v>0.000958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HYPERLINK("http://141.218.60.56/~jnz1568/getInfo.php?workbook=12_04.xlsx&amp;sheet=U0&amp;row=9614&amp;col=6&amp;number=4&amp;sourceID=14","4")</f>
        <v>4</v>
      </c>
      <c r="G9614" s="4" t="str">
        <f>HYPERLINK("http://141.218.60.56/~jnz1568/getInfo.php?workbook=12_04.xlsx&amp;sheet=U0&amp;row=9614&amp;col=7&amp;number=0.000962&amp;sourceID=14","0.000962")</f>
        <v>0.000962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HYPERLINK("http://141.218.60.56/~jnz1568/getInfo.php?workbook=12_04.xlsx&amp;sheet=U0&amp;row=9615&amp;col=6&amp;number=4.1&amp;sourceID=14","4.1")</f>
        <v>4.1</v>
      </c>
      <c r="G9615" s="4" t="str">
        <f>HYPERLINK("http://141.218.60.56/~jnz1568/getInfo.php?workbook=12_04.xlsx&amp;sheet=U0&amp;row=9615&amp;col=7&amp;number=0.000967&amp;sourceID=14","0.000967")</f>
        <v>0.000967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HYPERLINK("http://141.218.60.56/~jnz1568/getInfo.php?workbook=12_04.xlsx&amp;sheet=U0&amp;row=9616&amp;col=6&amp;number=4.2&amp;sourceID=14","4.2")</f>
        <v>4.2</v>
      </c>
      <c r="G9616" s="4" t="str">
        <f>HYPERLINK("http://141.218.60.56/~jnz1568/getInfo.php?workbook=12_04.xlsx&amp;sheet=U0&amp;row=9616&amp;col=7&amp;number=0.000972&amp;sourceID=14","0.000972")</f>
        <v>0.000972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HYPERLINK("http://141.218.60.56/~jnz1568/getInfo.php?workbook=12_04.xlsx&amp;sheet=U0&amp;row=9617&amp;col=6&amp;number=4.3&amp;sourceID=14","4.3")</f>
        <v>4.3</v>
      </c>
      <c r="G9617" s="4" t="str">
        <f>HYPERLINK("http://141.218.60.56/~jnz1568/getInfo.php?workbook=12_04.xlsx&amp;sheet=U0&amp;row=9617&amp;col=7&amp;number=0.00098&amp;sourceID=14","0.00098")</f>
        <v>0.00098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HYPERLINK("http://141.218.60.56/~jnz1568/getInfo.php?workbook=12_04.xlsx&amp;sheet=U0&amp;row=9618&amp;col=6&amp;number=4.4&amp;sourceID=14","4.4")</f>
        <v>4.4</v>
      </c>
      <c r="G9618" s="4" t="str">
        <f>HYPERLINK("http://141.218.60.56/~jnz1568/getInfo.php?workbook=12_04.xlsx&amp;sheet=U0&amp;row=9618&amp;col=7&amp;number=0.000989&amp;sourceID=14","0.000989")</f>
        <v>0.000989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HYPERLINK("http://141.218.60.56/~jnz1568/getInfo.php?workbook=12_04.xlsx&amp;sheet=U0&amp;row=9619&amp;col=6&amp;number=4.5&amp;sourceID=14","4.5")</f>
        <v>4.5</v>
      </c>
      <c r="G9619" s="4" t="str">
        <f>HYPERLINK("http://141.218.60.56/~jnz1568/getInfo.php?workbook=12_04.xlsx&amp;sheet=U0&amp;row=9619&amp;col=7&amp;number=0.001&amp;sourceID=14","0.001")</f>
        <v>0.001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HYPERLINK("http://141.218.60.56/~jnz1568/getInfo.php?workbook=12_04.xlsx&amp;sheet=U0&amp;row=9620&amp;col=6&amp;number=4.6&amp;sourceID=14","4.6")</f>
        <v>4.6</v>
      </c>
      <c r="G9620" s="4" t="str">
        <f>HYPERLINK("http://141.218.60.56/~jnz1568/getInfo.php?workbook=12_04.xlsx&amp;sheet=U0&amp;row=9620&amp;col=7&amp;number=0.00101&amp;sourceID=14","0.00101")</f>
        <v>0.00101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HYPERLINK("http://141.218.60.56/~jnz1568/getInfo.php?workbook=12_04.xlsx&amp;sheet=U0&amp;row=9621&amp;col=6&amp;number=4.7&amp;sourceID=14","4.7")</f>
        <v>4.7</v>
      </c>
      <c r="G9621" s="4" t="str">
        <f>HYPERLINK("http://141.218.60.56/~jnz1568/getInfo.php?workbook=12_04.xlsx&amp;sheet=U0&amp;row=9621&amp;col=7&amp;number=0.00103&amp;sourceID=14","0.00103")</f>
        <v>0.00103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HYPERLINK("http://141.218.60.56/~jnz1568/getInfo.php?workbook=12_04.xlsx&amp;sheet=U0&amp;row=9622&amp;col=6&amp;number=4.8&amp;sourceID=14","4.8")</f>
        <v>4.8</v>
      </c>
      <c r="G9622" s="4" t="str">
        <f>HYPERLINK("http://141.218.60.56/~jnz1568/getInfo.php?workbook=12_04.xlsx&amp;sheet=U0&amp;row=9622&amp;col=7&amp;number=0.00106&amp;sourceID=14","0.00106")</f>
        <v>0.00106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HYPERLINK("http://141.218.60.56/~jnz1568/getInfo.php?workbook=12_04.xlsx&amp;sheet=U0&amp;row=9623&amp;col=6&amp;number=4.9&amp;sourceID=14","4.9")</f>
        <v>4.9</v>
      </c>
      <c r="G9623" s="4" t="str">
        <f>HYPERLINK("http://141.218.60.56/~jnz1568/getInfo.php?workbook=12_04.xlsx&amp;sheet=U0&amp;row=9623&amp;col=7&amp;number=0.00108&amp;sourceID=14","0.00108")</f>
        <v>0.00108</v>
      </c>
    </row>
    <row r="9624" spans="1:7">
      <c r="A9624" s="3">
        <v>12</v>
      </c>
      <c r="B9624" s="3">
        <v>4</v>
      </c>
      <c r="C9624" s="3">
        <v>1</v>
      </c>
      <c r="D9624" s="3">
        <v>105</v>
      </c>
      <c r="E9624" s="3">
        <v>1</v>
      </c>
      <c r="F9624" s="4" t="str">
        <f>HYPERLINK("http://141.218.60.56/~jnz1568/getInfo.php?workbook=12_04.xlsx&amp;sheet=U0&amp;row=9624&amp;col=6&amp;number=3&amp;sourceID=14","3")</f>
        <v>3</v>
      </c>
      <c r="G9624" s="4" t="str">
        <f>HYPERLINK("http://141.218.60.56/~jnz1568/getInfo.php?workbook=12_04.xlsx&amp;sheet=U0&amp;row=9624&amp;col=7&amp;number=0.000812&amp;sourceID=14","0.000812")</f>
        <v>0.000812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HYPERLINK("http://141.218.60.56/~jnz1568/getInfo.php?workbook=12_04.xlsx&amp;sheet=U0&amp;row=9625&amp;col=6&amp;number=3.1&amp;sourceID=14","3.1")</f>
        <v>3.1</v>
      </c>
      <c r="G9625" s="4" t="str">
        <f>HYPERLINK("http://141.218.60.56/~jnz1568/getInfo.php?workbook=12_04.xlsx&amp;sheet=U0&amp;row=9625&amp;col=7&amp;number=0.000812&amp;sourceID=14","0.000812")</f>
        <v>0.000812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HYPERLINK("http://141.218.60.56/~jnz1568/getInfo.php?workbook=12_04.xlsx&amp;sheet=U0&amp;row=9626&amp;col=6&amp;number=3.2&amp;sourceID=14","3.2")</f>
        <v>3.2</v>
      </c>
      <c r="G9626" s="4" t="str">
        <f>HYPERLINK("http://141.218.60.56/~jnz1568/getInfo.php?workbook=12_04.xlsx&amp;sheet=U0&amp;row=9626&amp;col=7&amp;number=0.000812&amp;sourceID=14","0.000812")</f>
        <v>0.000812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HYPERLINK("http://141.218.60.56/~jnz1568/getInfo.php?workbook=12_04.xlsx&amp;sheet=U0&amp;row=9627&amp;col=6&amp;number=3.3&amp;sourceID=14","3.3")</f>
        <v>3.3</v>
      </c>
      <c r="G9627" s="4" t="str">
        <f>HYPERLINK("http://141.218.60.56/~jnz1568/getInfo.php?workbook=12_04.xlsx&amp;sheet=U0&amp;row=9627&amp;col=7&amp;number=0.000812&amp;sourceID=14","0.000812")</f>
        <v>0.000812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HYPERLINK("http://141.218.60.56/~jnz1568/getInfo.php?workbook=12_04.xlsx&amp;sheet=U0&amp;row=9628&amp;col=6&amp;number=3.4&amp;sourceID=14","3.4")</f>
        <v>3.4</v>
      </c>
      <c r="G9628" s="4" t="str">
        <f>HYPERLINK("http://141.218.60.56/~jnz1568/getInfo.php?workbook=12_04.xlsx&amp;sheet=U0&amp;row=9628&amp;col=7&amp;number=0.000812&amp;sourceID=14","0.000812")</f>
        <v>0.000812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HYPERLINK("http://141.218.60.56/~jnz1568/getInfo.php?workbook=12_04.xlsx&amp;sheet=U0&amp;row=9629&amp;col=6&amp;number=3.5&amp;sourceID=14","3.5")</f>
        <v>3.5</v>
      </c>
      <c r="G9629" s="4" t="str">
        <f>HYPERLINK("http://141.218.60.56/~jnz1568/getInfo.php?workbook=12_04.xlsx&amp;sheet=U0&amp;row=9629&amp;col=7&amp;number=0.000812&amp;sourceID=14","0.000812")</f>
        <v>0.000812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HYPERLINK("http://141.218.60.56/~jnz1568/getInfo.php?workbook=12_04.xlsx&amp;sheet=U0&amp;row=9630&amp;col=6&amp;number=3.6&amp;sourceID=14","3.6")</f>
        <v>3.6</v>
      </c>
      <c r="G9630" s="4" t="str">
        <f>HYPERLINK("http://141.218.60.56/~jnz1568/getInfo.php?workbook=12_04.xlsx&amp;sheet=U0&amp;row=9630&amp;col=7&amp;number=0.000812&amp;sourceID=14","0.000812")</f>
        <v>0.000812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HYPERLINK("http://141.218.60.56/~jnz1568/getInfo.php?workbook=12_04.xlsx&amp;sheet=U0&amp;row=9631&amp;col=6&amp;number=3.7&amp;sourceID=14","3.7")</f>
        <v>3.7</v>
      </c>
      <c r="G9631" s="4" t="str">
        <f>HYPERLINK("http://141.218.60.56/~jnz1568/getInfo.php?workbook=12_04.xlsx&amp;sheet=U0&amp;row=9631&amp;col=7&amp;number=0.000812&amp;sourceID=14","0.000812")</f>
        <v>0.000812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HYPERLINK("http://141.218.60.56/~jnz1568/getInfo.php?workbook=12_04.xlsx&amp;sheet=U0&amp;row=9632&amp;col=6&amp;number=3.8&amp;sourceID=14","3.8")</f>
        <v>3.8</v>
      </c>
      <c r="G9632" s="4" t="str">
        <f>HYPERLINK("http://141.218.60.56/~jnz1568/getInfo.php?workbook=12_04.xlsx&amp;sheet=U0&amp;row=9632&amp;col=7&amp;number=0.000811&amp;sourceID=14","0.000811")</f>
        <v>0.000811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HYPERLINK("http://141.218.60.56/~jnz1568/getInfo.php?workbook=12_04.xlsx&amp;sheet=U0&amp;row=9633&amp;col=6&amp;number=3.9&amp;sourceID=14","3.9")</f>
        <v>3.9</v>
      </c>
      <c r="G9633" s="4" t="str">
        <f>HYPERLINK("http://141.218.60.56/~jnz1568/getInfo.php?workbook=12_04.xlsx&amp;sheet=U0&amp;row=9633&amp;col=7&amp;number=0.000811&amp;sourceID=14","0.000811")</f>
        <v>0.000811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HYPERLINK("http://141.218.60.56/~jnz1568/getInfo.php?workbook=12_04.xlsx&amp;sheet=U0&amp;row=9634&amp;col=6&amp;number=4&amp;sourceID=14","4")</f>
        <v>4</v>
      </c>
      <c r="G9634" s="4" t="str">
        <f>HYPERLINK("http://141.218.60.56/~jnz1568/getInfo.php?workbook=12_04.xlsx&amp;sheet=U0&amp;row=9634&amp;col=7&amp;number=0.000811&amp;sourceID=14","0.000811")</f>
        <v>0.000811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HYPERLINK("http://141.218.60.56/~jnz1568/getInfo.php?workbook=12_04.xlsx&amp;sheet=U0&amp;row=9635&amp;col=6&amp;number=4.1&amp;sourceID=14","4.1")</f>
        <v>4.1</v>
      </c>
      <c r="G9635" s="4" t="str">
        <f>HYPERLINK("http://141.218.60.56/~jnz1568/getInfo.php?workbook=12_04.xlsx&amp;sheet=U0&amp;row=9635&amp;col=7&amp;number=0.00081&amp;sourceID=14","0.00081")</f>
        <v>0.00081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HYPERLINK("http://141.218.60.56/~jnz1568/getInfo.php?workbook=12_04.xlsx&amp;sheet=U0&amp;row=9636&amp;col=6&amp;number=4.2&amp;sourceID=14","4.2")</f>
        <v>4.2</v>
      </c>
      <c r="G9636" s="4" t="str">
        <f>HYPERLINK("http://141.218.60.56/~jnz1568/getInfo.php?workbook=12_04.xlsx&amp;sheet=U0&amp;row=9636&amp;col=7&amp;number=0.000809&amp;sourceID=14","0.000809")</f>
        <v>0.000809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HYPERLINK("http://141.218.60.56/~jnz1568/getInfo.php?workbook=12_04.xlsx&amp;sheet=U0&amp;row=9637&amp;col=6&amp;number=4.3&amp;sourceID=14","4.3")</f>
        <v>4.3</v>
      </c>
      <c r="G9637" s="4" t="str">
        <f>HYPERLINK("http://141.218.60.56/~jnz1568/getInfo.php?workbook=12_04.xlsx&amp;sheet=U0&amp;row=9637&amp;col=7&amp;number=0.000808&amp;sourceID=14","0.000808")</f>
        <v>0.000808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HYPERLINK("http://141.218.60.56/~jnz1568/getInfo.php?workbook=12_04.xlsx&amp;sheet=U0&amp;row=9638&amp;col=6&amp;number=4.4&amp;sourceID=14","4.4")</f>
        <v>4.4</v>
      </c>
      <c r="G9638" s="4" t="str">
        <f>HYPERLINK("http://141.218.60.56/~jnz1568/getInfo.php?workbook=12_04.xlsx&amp;sheet=U0&amp;row=9638&amp;col=7&amp;number=0.000807&amp;sourceID=14","0.000807")</f>
        <v>0.000807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HYPERLINK("http://141.218.60.56/~jnz1568/getInfo.php?workbook=12_04.xlsx&amp;sheet=U0&amp;row=9639&amp;col=6&amp;number=4.5&amp;sourceID=14","4.5")</f>
        <v>4.5</v>
      </c>
      <c r="G9639" s="4" t="str">
        <f>HYPERLINK("http://141.218.60.56/~jnz1568/getInfo.php?workbook=12_04.xlsx&amp;sheet=U0&amp;row=9639&amp;col=7&amp;number=0.000806&amp;sourceID=14","0.000806")</f>
        <v>0.000806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HYPERLINK("http://141.218.60.56/~jnz1568/getInfo.php?workbook=12_04.xlsx&amp;sheet=U0&amp;row=9640&amp;col=6&amp;number=4.6&amp;sourceID=14","4.6")</f>
        <v>4.6</v>
      </c>
      <c r="G9640" s="4" t="str">
        <f>HYPERLINK("http://141.218.60.56/~jnz1568/getInfo.php?workbook=12_04.xlsx&amp;sheet=U0&amp;row=9640&amp;col=7&amp;number=0.000804&amp;sourceID=14","0.000804")</f>
        <v>0.000804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HYPERLINK("http://141.218.60.56/~jnz1568/getInfo.php?workbook=12_04.xlsx&amp;sheet=U0&amp;row=9641&amp;col=6&amp;number=4.7&amp;sourceID=14","4.7")</f>
        <v>4.7</v>
      </c>
      <c r="G9641" s="4" t="str">
        <f>HYPERLINK("http://141.218.60.56/~jnz1568/getInfo.php?workbook=12_04.xlsx&amp;sheet=U0&amp;row=9641&amp;col=7&amp;number=0.000802&amp;sourceID=14","0.000802")</f>
        <v>0.000802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HYPERLINK("http://141.218.60.56/~jnz1568/getInfo.php?workbook=12_04.xlsx&amp;sheet=U0&amp;row=9642&amp;col=6&amp;number=4.8&amp;sourceID=14","4.8")</f>
        <v>4.8</v>
      </c>
      <c r="G9642" s="4" t="str">
        <f>HYPERLINK("http://141.218.60.56/~jnz1568/getInfo.php?workbook=12_04.xlsx&amp;sheet=U0&amp;row=9642&amp;col=7&amp;number=0.000799&amp;sourceID=14","0.000799")</f>
        <v>0.000799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HYPERLINK("http://141.218.60.56/~jnz1568/getInfo.php?workbook=12_04.xlsx&amp;sheet=U0&amp;row=9643&amp;col=6&amp;number=4.9&amp;sourceID=14","4.9")</f>
        <v>4.9</v>
      </c>
      <c r="G9643" s="4" t="str">
        <f>HYPERLINK("http://141.218.60.56/~jnz1568/getInfo.php?workbook=12_04.xlsx&amp;sheet=U0&amp;row=9643&amp;col=7&amp;number=0.000796&amp;sourceID=14","0.000796")</f>
        <v>0.000796</v>
      </c>
    </row>
    <row r="9644" spans="1:7">
      <c r="A9644" s="3">
        <v>12</v>
      </c>
      <c r="B9644" s="3">
        <v>4</v>
      </c>
      <c r="C9644" s="3">
        <v>1</v>
      </c>
      <c r="D9644" s="3">
        <v>106</v>
      </c>
      <c r="E9644" s="3">
        <v>1</v>
      </c>
      <c r="F9644" s="4" t="str">
        <f>HYPERLINK("http://141.218.60.56/~jnz1568/getInfo.php?workbook=12_04.xlsx&amp;sheet=U0&amp;row=9644&amp;col=6&amp;number=3&amp;sourceID=14","3")</f>
        <v>3</v>
      </c>
      <c r="G9644" s="4" t="str">
        <f>HYPERLINK("http://141.218.60.56/~jnz1568/getInfo.php?workbook=12_04.xlsx&amp;sheet=U0&amp;row=9644&amp;col=7&amp;number=0.00135&amp;sourceID=14","0.00135")</f>
        <v>0.00135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HYPERLINK("http://141.218.60.56/~jnz1568/getInfo.php?workbook=12_04.xlsx&amp;sheet=U0&amp;row=9645&amp;col=6&amp;number=3.1&amp;sourceID=14","3.1")</f>
        <v>3.1</v>
      </c>
      <c r="G9645" s="4" t="str">
        <f>HYPERLINK("http://141.218.60.56/~jnz1568/getInfo.php?workbook=12_04.xlsx&amp;sheet=U0&amp;row=9645&amp;col=7&amp;number=0.00135&amp;sourceID=14","0.00135")</f>
        <v>0.00135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HYPERLINK("http://141.218.60.56/~jnz1568/getInfo.php?workbook=12_04.xlsx&amp;sheet=U0&amp;row=9646&amp;col=6&amp;number=3.2&amp;sourceID=14","3.2")</f>
        <v>3.2</v>
      </c>
      <c r="G9646" s="4" t="str">
        <f>HYPERLINK("http://141.218.60.56/~jnz1568/getInfo.php?workbook=12_04.xlsx&amp;sheet=U0&amp;row=9646&amp;col=7&amp;number=0.00135&amp;sourceID=14","0.00135")</f>
        <v>0.00135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HYPERLINK("http://141.218.60.56/~jnz1568/getInfo.php?workbook=12_04.xlsx&amp;sheet=U0&amp;row=9647&amp;col=6&amp;number=3.3&amp;sourceID=14","3.3")</f>
        <v>3.3</v>
      </c>
      <c r="G9647" s="4" t="str">
        <f>HYPERLINK("http://141.218.60.56/~jnz1568/getInfo.php?workbook=12_04.xlsx&amp;sheet=U0&amp;row=9647&amp;col=7&amp;number=0.00135&amp;sourceID=14","0.00135")</f>
        <v>0.00135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HYPERLINK("http://141.218.60.56/~jnz1568/getInfo.php?workbook=12_04.xlsx&amp;sheet=U0&amp;row=9648&amp;col=6&amp;number=3.4&amp;sourceID=14","3.4")</f>
        <v>3.4</v>
      </c>
      <c r="G9648" s="4" t="str">
        <f>HYPERLINK("http://141.218.60.56/~jnz1568/getInfo.php?workbook=12_04.xlsx&amp;sheet=U0&amp;row=9648&amp;col=7&amp;number=0.00135&amp;sourceID=14","0.00135")</f>
        <v>0.00135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HYPERLINK("http://141.218.60.56/~jnz1568/getInfo.php?workbook=12_04.xlsx&amp;sheet=U0&amp;row=9649&amp;col=6&amp;number=3.5&amp;sourceID=14","3.5")</f>
        <v>3.5</v>
      </c>
      <c r="G9649" s="4" t="str">
        <f>HYPERLINK("http://141.218.60.56/~jnz1568/getInfo.php?workbook=12_04.xlsx&amp;sheet=U0&amp;row=9649&amp;col=7&amp;number=0.00135&amp;sourceID=14","0.00135")</f>
        <v>0.00135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HYPERLINK("http://141.218.60.56/~jnz1568/getInfo.php?workbook=12_04.xlsx&amp;sheet=U0&amp;row=9650&amp;col=6&amp;number=3.6&amp;sourceID=14","3.6")</f>
        <v>3.6</v>
      </c>
      <c r="G9650" s="4" t="str">
        <f>HYPERLINK("http://141.218.60.56/~jnz1568/getInfo.php?workbook=12_04.xlsx&amp;sheet=U0&amp;row=9650&amp;col=7&amp;number=0.00135&amp;sourceID=14","0.00135")</f>
        <v>0.00135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HYPERLINK("http://141.218.60.56/~jnz1568/getInfo.php?workbook=12_04.xlsx&amp;sheet=U0&amp;row=9651&amp;col=6&amp;number=3.7&amp;sourceID=14","3.7")</f>
        <v>3.7</v>
      </c>
      <c r="G9651" s="4" t="str">
        <f>HYPERLINK("http://141.218.60.56/~jnz1568/getInfo.php?workbook=12_04.xlsx&amp;sheet=U0&amp;row=9651&amp;col=7&amp;number=0.00135&amp;sourceID=14","0.00135")</f>
        <v>0.00135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HYPERLINK("http://141.218.60.56/~jnz1568/getInfo.php?workbook=12_04.xlsx&amp;sheet=U0&amp;row=9652&amp;col=6&amp;number=3.8&amp;sourceID=14","3.8")</f>
        <v>3.8</v>
      </c>
      <c r="G9652" s="4" t="str">
        <f>HYPERLINK("http://141.218.60.56/~jnz1568/getInfo.php?workbook=12_04.xlsx&amp;sheet=U0&amp;row=9652&amp;col=7&amp;number=0.00135&amp;sourceID=14","0.00135")</f>
        <v>0.00135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HYPERLINK("http://141.218.60.56/~jnz1568/getInfo.php?workbook=12_04.xlsx&amp;sheet=U0&amp;row=9653&amp;col=6&amp;number=3.9&amp;sourceID=14","3.9")</f>
        <v>3.9</v>
      </c>
      <c r="G9653" s="4" t="str">
        <f>HYPERLINK("http://141.218.60.56/~jnz1568/getInfo.php?workbook=12_04.xlsx&amp;sheet=U0&amp;row=9653&amp;col=7&amp;number=0.00135&amp;sourceID=14","0.00135")</f>
        <v>0.00135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HYPERLINK("http://141.218.60.56/~jnz1568/getInfo.php?workbook=12_04.xlsx&amp;sheet=U0&amp;row=9654&amp;col=6&amp;number=4&amp;sourceID=14","4")</f>
        <v>4</v>
      </c>
      <c r="G9654" s="4" t="str">
        <f>HYPERLINK("http://141.218.60.56/~jnz1568/getInfo.php?workbook=12_04.xlsx&amp;sheet=U0&amp;row=9654&amp;col=7&amp;number=0.00135&amp;sourceID=14","0.00135")</f>
        <v>0.00135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HYPERLINK("http://141.218.60.56/~jnz1568/getInfo.php?workbook=12_04.xlsx&amp;sheet=U0&amp;row=9655&amp;col=6&amp;number=4.1&amp;sourceID=14","4.1")</f>
        <v>4.1</v>
      </c>
      <c r="G9655" s="4" t="str">
        <f>HYPERLINK("http://141.218.60.56/~jnz1568/getInfo.php?workbook=12_04.xlsx&amp;sheet=U0&amp;row=9655&amp;col=7&amp;number=0.00135&amp;sourceID=14","0.00135")</f>
        <v>0.00135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HYPERLINK("http://141.218.60.56/~jnz1568/getInfo.php?workbook=12_04.xlsx&amp;sheet=U0&amp;row=9656&amp;col=6&amp;number=4.2&amp;sourceID=14","4.2")</f>
        <v>4.2</v>
      </c>
      <c r="G9656" s="4" t="str">
        <f>HYPERLINK("http://141.218.60.56/~jnz1568/getInfo.php?workbook=12_04.xlsx&amp;sheet=U0&amp;row=9656&amp;col=7&amp;number=0.00135&amp;sourceID=14","0.00135")</f>
        <v>0.00135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HYPERLINK("http://141.218.60.56/~jnz1568/getInfo.php?workbook=12_04.xlsx&amp;sheet=U0&amp;row=9657&amp;col=6&amp;number=4.3&amp;sourceID=14","4.3")</f>
        <v>4.3</v>
      </c>
      <c r="G9657" s="4" t="str">
        <f>HYPERLINK("http://141.218.60.56/~jnz1568/getInfo.php?workbook=12_04.xlsx&amp;sheet=U0&amp;row=9657&amp;col=7&amp;number=0.00135&amp;sourceID=14","0.00135")</f>
        <v>0.00135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HYPERLINK("http://141.218.60.56/~jnz1568/getInfo.php?workbook=12_04.xlsx&amp;sheet=U0&amp;row=9658&amp;col=6&amp;number=4.4&amp;sourceID=14","4.4")</f>
        <v>4.4</v>
      </c>
      <c r="G9658" s="4" t="str">
        <f>HYPERLINK("http://141.218.60.56/~jnz1568/getInfo.php?workbook=12_04.xlsx&amp;sheet=U0&amp;row=9658&amp;col=7&amp;number=0.00135&amp;sourceID=14","0.00135")</f>
        <v>0.00135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HYPERLINK("http://141.218.60.56/~jnz1568/getInfo.php?workbook=12_04.xlsx&amp;sheet=U0&amp;row=9659&amp;col=6&amp;number=4.5&amp;sourceID=14","4.5")</f>
        <v>4.5</v>
      </c>
      <c r="G9659" s="4" t="str">
        <f>HYPERLINK("http://141.218.60.56/~jnz1568/getInfo.php?workbook=12_04.xlsx&amp;sheet=U0&amp;row=9659&amp;col=7&amp;number=0.00134&amp;sourceID=14","0.00134")</f>
        <v>0.00134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HYPERLINK("http://141.218.60.56/~jnz1568/getInfo.php?workbook=12_04.xlsx&amp;sheet=U0&amp;row=9660&amp;col=6&amp;number=4.6&amp;sourceID=14","4.6")</f>
        <v>4.6</v>
      </c>
      <c r="G9660" s="4" t="str">
        <f>HYPERLINK("http://141.218.60.56/~jnz1568/getInfo.php?workbook=12_04.xlsx&amp;sheet=U0&amp;row=9660&amp;col=7&amp;number=0.00134&amp;sourceID=14","0.00134")</f>
        <v>0.00134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HYPERLINK("http://141.218.60.56/~jnz1568/getInfo.php?workbook=12_04.xlsx&amp;sheet=U0&amp;row=9661&amp;col=6&amp;number=4.7&amp;sourceID=14","4.7")</f>
        <v>4.7</v>
      </c>
      <c r="G9661" s="4" t="str">
        <f>HYPERLINK("http://141.218.60.56/~jnz1568/getInfo.php?workbook=12_04.xlsx&amp;sheet=U0&amp;row=9661&amp;col=7&amp;number=0.00134&amp;sourceID=14","0.00134")</f>
        <v>0.00134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HYPERLINK("http://141.218.60.56/~jnz1568/getInfo.php?workbook=12_04.xlsx&amp;sheet=U0&amp;row=9662&amp;col=6&amp;number=4.8&amp;sourceID=14","4.8")</f>
        <v>4.8</v>
      </c>
      <c r="G9662" s="4" t="str">
        <f>HYPERLINK("http://141.218.60.56/~jnz1568/getInfo.php?workbook=12_04.xlsx&amp;sheet=U0&amp;row=9662&amp;col=7&amp;number=0.00133&amp;sourceID=14","0.00133")</f>
        <v>0.00133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HYPERLINK("http://141.218.60.56/~jnz1568/getInfo.php?workbook=12_04.xlsx&amp;sheet=U0&amp;row=9663&amp;col=6&amp;number=4.9&amp;sourceID=14","4.9")</f>
        <v>4.9</v>
      </c>
      <c r="G9663" s="4" t="str">
        <f>HYPERLINK("http://141.218.60.56/~jnz1568/getInfo.php?workbook=12_04.xlsx&amp;sheet=U0&amp;row=9663&amp;col=7&amp;number=0.00133&amp;sourceID=14","0.00133")</f>
        <v>0.00133</v>
      </c>
    </row>
    <row r="9664" spans="1:7">
      <c r="A9664" s="3">
        <v>12</v>
      </c>
      <c r="B9664" s="3">
        <v>4</v>
      </c>
      <c r="C9664" s="3">
        <v>1</v>
      </c>
      <c r="D9664" s="3">
        <v>107</v>
      </c>
      <c r="E9664" s="3">
        <v>1</v>
      </c>
      <c r="F9664" s="4" t="str">
        <f>HYPERLINK("http://141.218.60.56/~jnz1568/getInfo.php?workbook=12_04.xlsx&amp;sheet=U0&amp;row=9664&amp;col=6&amp;number=3&amp;sourceID=14","3")</f>
        <v>3</v>
      </c>
      <c r="G9664" s="4" t="str">
        <f>HYPERLINK("http://141.218.60.56/~jnz1568/getInfo.php?workbook=12_04.xlsx&amp;sheet=U0&amp;row=9664&amp;col=7&amp;number=0.0019&amp;sourceID=14","0.0019")</f>
        <v>0.0019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HYPERLINK("http://141.218.60.56/~jnz1568/getInfo.php?workbook=12_04.xlsx&amp;sheet=U0&amp;row=9665&amp;col=6&amp;number=3.1&amp;sourceID=14","3.1")</f>
        <v>3.1</v>
      </c>
      <c r="G9665" s="4" t="str">
        <f>HYPERLINK("http://141.218.60.56/~jnz1568/getInfo.php?workbook=12_04.xlsx&amp;sheet=U0&amp;row=9665&amp;col=7&amp;number=0.0019&amp;sourceID=14","0.0019")</f>
        <v>0.0019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HYPERLINK("http://141.218.60.56/~jnz1568/getInfo.php?workbook=12_04.xlsx&amp;sheet=U0&amp;row=9666&amp;col=6&amp;number=3.2&amp;sourceID=14","3.2")</f>
        <v>3.2</v>
      </c>
      <c r="G9666" s="4" t="str">
        <f>HYPERLINK("http://141.218.60.56/~jnz1568/getInfo.php?workbook=12_04.xlsx&amp;sheet=U0&amp;row=9666&amp;col=7&amp;number=0.0019&amp;sourceID=14","0.0019")</f>
        <v>0.0019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HYPERLINK("http://141.218.60.56/~jnz1568/getInfo.php?workbook=12_04.xlsx&amp;sheet=U0&amp;row=9667&amp;col=6&amp;number=3.3&amp;sourceID=14","3.3")</f>
        <v>3.3</v>
      </c>
      <c r="G9667" s="4" t="str">
        <f>HYPERLINK("http://141.218.60.56/~jnz1568/getInfo.php?workbook=12_04.xlsx&amp;sheet=U0&amp;row=9667&amp;col=7&amp;number=0.0019&amp;sourceID=14","0.0019")</f>
        <v>0.0019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HYPERLINK("http://141.218.60.56/~jnz1568/getInfo.php?workbook=12_04.xlsx&amp;sheet=U0&amp;row=9668&amp;col=6&amp;number=3.4&amp;sourceID=14","3.4")</f>
        <v>3.4</v>
      </c>
      <c r="G9668" s="4" t="str">
        <f>HYPERLINK("http://141.218.60.56/~jnz1568/getInfo.php?workbook=12_04.xlsx&amp;sheet=U0&amp;row=9668&amp;col=7&amp;number=0.0019&amp;sourceID=14","0.0019")</f>
        <v>0.0019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HYPERLINK("http://141.218.60.56/~jnz1568/getInfo.php?workbook=12_04.xlsx&amp;sheet=U0&amp;row=9669&amp;col=6&amp;number=3.5&amp;sourceID=14","3.5")</f>
        <v>3.5</v>
      </c>
      <c r="G9669" s="4" t="str">
        <f>HYPERLINK("http://141.218.60.56/~jnz1568/getInfo.php?workbook=12_04.xlsx&amp;sheet=U0&amp;row=9669&amp;col=7&amp;number=0.0019&amp;sourceID=14","0.0019")</f>
        <v>0.0019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HYPERLINK("http://141.218.60.56/~jnz1568/getInfo.php?workbook=12_04.xlsx&amp;sheet=U0&amp;row=9670&amp;col=6&amp;number=3.6&amp;sourceID=14","3.6")</f>
        <v>3.6</v>
      </c>
      <c r="G9670" s="4" t="str">
        <f>HYPERLINK("http://141.218.60.56/~jnz1568/getInfo.php?workbook=12_04.xlsx&amp;sheet=U0&amp;row=9670&amp;col=7&amp;number=0.0019&amp;sourceID=14","0.0019")</f>
        <v>0.0019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HYPERLINK("http://141.218.60.56/~jnz1568/getInfo.php?workbook=12_04.xlsx&amp;sheet=U0&amp;row=9671&amp;col=6&amp;number=3.7&amp;sourceID=14","3.7")</f>
        <v>3.7</v>
      </c>
      <c r="G9671" s="4" t="str">
        <f>HYPERLINK("http://141.218.60.56/~jnz1568/getInfo.php?workbook=12_04.xlsx&amp;sheet=U0&amp;row=9671&amp;col=7&amp;number=0.0019&amp;sourceID=14","0.0019")</f>
        <v>0.0019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HYPERLINK("http://141.218.60.56/~jnz1568/getInfo.php?workbook=12_04.xlsx&amp;sheet=U0&amp;row=9672&amp;col=6&amp;number=3.8&amp;sourceID=14","3.8")</f>
        <v>3.8</v>
      </c>
      <c r="G9672" s="4" t="str">
        <f>HYPERLINK("http://141.218.60.56/~jnz1568/getInfo.php?workbook=12_04.xlsx&amp;sheet=U0&amp;row=9672&amp;col=7&amp;number=0.0019&amp;sourceID=14","0.0019")</f>
        <v>0.0019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HYPERLINK("http://141.218.60.56/~jnz1568/getInfo.php?workbook=12_04.xlsx&amp;sheet=U0&amp;row=9673&amp;col=6&amp;number=3.9&amp;sourceID=14","3.9")</f>
        <v>3.9</v>
      </c>
      <c r="G9673" s="4" t="str">
        <f>HYPERLINK("http://141.218.60.56/~jnz1568/getInfo.php?workbook=12_04.xlsx&amp;sheet=U0&amp;row=9673&amp;col=7&amp;number=0.0019&amp;sourceID=14","0.0019")</f>
        <v>0.0019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HYPERLINK("http://141.218.60.56/~jnz1568/getInfo.php?workbook=12_04.xlsx&amp;sheet=U0&amp;row=9674&amp;col=6&amp;number=4&amp;sourceID=14","4")</f>
        <v>4</v>
      </c>
      <c r="G9674" s="4" t="str">
        <f>HYPERLINK("http://141.218.60.56/~jnz1568/getInfo.php?workbook=12_04.xlsx&amp;sheet=U0&amp;row=9674&amp;col=7&amp;number=0.0019&amp;sourceID=14","0.0019")</f>
        <v>0.0019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HYPERLINK("http://141.218.60.56/~jnz1568/getInfo.php?workbook=12_04.xlsx&amp;sheet=U0&amp;row=9675&amp;col=6&amp;number=4.1&amp;sourceID=14","4.1")</f>
        <v>4.1</v>
      </c>
      <c r="G9675" s="4" t="str">
        <f>HYPERLINK("http://141.218.60.56/~jnz1568/getInfo.php?workbook=12_04.xlsx&amp;sheet=U0&amp;row=9675&amp;col=7&amp;number=0.00189&amp;sourceID=14","0.00189")</f>
        <v>0.00189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HYPERLINK("http://141.218.60.56/~jnz1568/getInfo.php?workbook=12_04.xlsx&amp;sheet=U0&amp;row=9676&amp;col=6&amp;number=4.2&amp;sourceID=14","4.2")</f>
        <v>4.2</v>
      </c>
      <c r="G9676" s="4" t="str">
        <f>HYPERLINK("http://141.218.60.56/~jnz1568/getInfo.php?workbook=12_04.xlsx&amp;sheet=U0&amp;row=9676&amp;col=7&amp;number=0.00189&amp;sourceID=14","0.00189")</f>
        <v>0.00189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HYPERLINK("http://141.218.60.56/~jnz1568/getInfo.php?workbook=12_04.xlsx&amp;sheet=U0&amp;row=9677&amp;col=6&amp;number=4.3&amp;sourceID=14","4.3")</f>
        <v>4.3</v>
      </c>
      <c r="G9677" s="4" t="str">
        <f>HYPERLINK("http://141.218.60.56/~jnz1568/getInfo.php?workbook=12_04.xlsx&amp;sheet=U0&amp;row=9677&amp;col=7&amp;number=0.00189&amp;sourceID=14","0.00189")</f>
        <v>0.00189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HYPERLINK("http://141.218.60.56/~jnz1568/getInfo.php?workbook=12_04.xlsx&amp;sheet=U0&amp;row=9678&amp;col=6&amp;number=4.4&amp;sourceID=14","4.4")</f>
        <v>4.4</v>
      </c>
      <c r="G9678" s="4" t="str">
        <f>HYPERLINK("http://141.218.60.56/~jnz1568/getInfo.php?workbook=12_04.xlsx&amp;sheet=U0&amp;row=9678&amp;col=7&amp;number=0.00189&amp;sourceID=14","0.00189")</f>
        <v>0.00189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HYPERLINK("http://141.218.60.56/~jnz1568/getInfo.php?workbook=12_04.xlsx&amp;sheet=U0&amp;row=9679&amp;col=6&amp;number=4.5&amp;sourceID=14","4.5")</f>
        <v>4.5</v>
      </c>
      <c r="G9679" s="4" t="str">
        <f>HYPERLINK("http://141.218.60.56/~jnz1568/getInfo.php?workbook=12_04.xlsx&amp;sheet=U0&amp;row=9679&amp;col=7&amp;number=0.00189&amp;sourceID=14","0.00189")</f>
        <v>0.00189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HYPERLINK("http://141.218.60.56/~jnz1568/getInfo.php?workbook=12_04.xlsx&amp;sheet=U0&amp;row=9680&amp;col=6&amp;number=4.6&amp;sourceID=14","4.6")</f>
        <v>4.6</v>
      </c>
      <c r="G9680" s="4" t="str">
        <f>HYPERLINK("http://141.218.60.56/~jnz1568/getInfo.php?workbook=12_04.xlsx&amp;sheet=U0&amp;row=9680&amp;col=7&amp;number=0.00188&amp;sourceID=14","0.00188")</f>
        <v>0.00188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HYPERLINK("http://141.218.60.56/~jnz1568/getInfo.php?workbook=12_04.xlsx&amp;sheet=U0&amp;row=9681&amp;col=6&amp;number=4.7&amp;sourceID=14","4.7")</f>
        <v>4.7</v>
      </c>
      <c r="G9681" s="4" t="str">
        <f>HYPERLINK("http://141.218.60.56/~jnz1568/getInfo.php?workbook=12_04.xlsx&amp;sheet=U0&amp;row=9681&amp;col=7&amp;number=0.00188&amp;sourceID=14","0.00188")</f>
        <v>0.00188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HYPERLINK("http://141.218.60.56/~jnz1568/getInfo.php?workbook=12_04.xlsx&amp;sheet=U0&amp;row=9682&amp;col=6&amp;number=4.8&amp;sourceID=14","4.8")</f>
        <v>4.8</v>
      </c>
      <c r="G9682" s="4" t="str">
        <f>HYPERLINK("http://141.218.60.56/~jnz1568/getInfo.php?workbook=12_04.xlsx&amp;sheet=U0&amp;row=9682&amp;col=7&amp;number=0.00187&amp;sourceID=14","0.00187")</f>
        <v>0.00187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HYPERLINK("http://141.218.60.56/~jnz1568/getInfo.php?workbook=12_04.xlsx&amp;sheet=U0&amp;row=9683&amp;col=6&amp;number=4.9&amp;sourceID=14","4.9")</f>
        <v>4.9</v>
      </c>
      <c r="G9683" s="4" t="str">
        <f>HYPERLINK("http://141.218.60.56/~jnz1568/getInfo.php?workbook=12_04.xlsx&amp;sheet=U0&amp;row=9683&amp;col=7&amp;number=0.00186&amp;sourceID=14","0.00186")</f>
        <v>0.00186</v>
      </c>
    </row>
    <row r="9684" spans="1:7">
      <c r="A9684" s="3">
        <v>12</v>
      </c>
      <c r="B9684" s="3">
        <v>4</v>
      </c>
      <c r="C9684" s="3">
        <v>1</v>
      </c>
      <c r="D9684" s="3">
        <v>108</v>
      </c>
      <c r="E9684" s="3">
        <v>1</v>
      </c>
      <c r="F9684" s="4" t="str">
        <f>HYPERLINK("http://141.218.60.56/~jnz1568/getInfo.php?workbook=12_04.xlsx&amp;sheet=U0&amp;row=9684&amp;col=6&amp;number=3&amp;sourceID=14","3")</f>
        <v>3</v>
      </c>
      <c r="G9684" s="4" t="str">
        <f>HYPERLINK("http://141.218.60.56/~jnz1568/getInfo.php?workbook=12_04.xlsx&amp;sheet=U0&amp;row=9684&amp;col=7&amp;number=0.0046&amp;sourceID=14","0.0046")</f>
        <v>0.0046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HYPERLINK("http://141.218.60.56/~jnz1568/getInfo.php?workbook=12_04.xlsx&amp;sheet=U0&amp;row=9685&amp;col=6&amp;number=3.1&amp;sourceID=14","3.1")</f>
        <v>3.1</v>
      </c>
      <c r="G9685" s="4" t="str">
        <f>HYPERLINK("http://141.218.60.56/~jnz1568/getInfo.php?workbook=12_04.xlsx&amp;sheet=U0&amp;row=9685&amp;col=7&amp;number=0.0046&amp;sourceID=14","0.0046")</f>
        <v>0.0046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HYPERLINK("http://141.218.60.56/~jnz1568/getInfo.php?workbook=12_04.xlsx&amp;sheet=U0&amp;row=9686&amp;col=6&amp;number=3.2&amp;sourceID=14","3.2")</f>
        <v>3.2</v>
      </c>
      <c r="G9686" s="4" t="str">
        <f>HYPERLINK("http://141.218.60.56/~jnz1568/getInfo.php?workbook=12_04.xlsx&amp;sheet=U0&amp;row=9686&amp;col=7&amp;number=0.0046&amp;sourceID=14","0.0046")</f>
        <v>0.0046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HYPERLINK("http://141.218.60.56/~jnz1568/getInfo.php?workbook=12_04.xlsx&amp;sheet=U0&amp;row=9687&amp;col=6&amp;number=3.3&amp;sourceID=14","3.3")</f>
        <v>3.3</v>
      </c>
      <c r="G9687" s="4" t="str">
        <f>HYPERLINK("http://141.218.60.56/~jnz1568/getInfo.php?workbook=12_04.xlsx&amp;sheet=U0&amp;row=9687&amp;col=7&amp;number=0.0046&amp;sourceID=14","0.0046")</f>
        <v>0.0046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HYPERLINK("http://141.218.60.56/~jnz1568/getInfo.php?workbook=12_04.xlsx&amp;sheet=U0&amp;row=9688&amp;col=6&amp;number=3.4&amp;sourceID=14","3.4")</f>
        <v>3.4</v>
      </c>
      <c r="G9688" s="4" t="str">
        <f>HYPERLINK("http://141.218.60.56/~jnz1568/getInfo.php?workbook=12_04.xlsx&amp;sheet=U0&amp;row=9688&amp;col=7&amp;number=0.0046&amp;sourceID=14","0.0046")</f>
        <v>0.0046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HYPERLINK("http://141.218.60.56/~jnz1568/getInfo.php?workbook=12_04.xlsx&amp;sheet=U0&amp;row=9689&amp;col=6&amp;number=3.5&amp;sourceID=14","3.5")</f>
        <v>3.5</v>
      </c>
      <c r="G9689" s="4" t="str">
        <f>HYPERLINK("http://141.218.60.56/~jnz1568/getInfo.php?workbook=12_04.xlsx&amp;sheet=U0&amp;row=9689&amp;col=7&amp;number=0.0046&amp;sourceID=14","0.0046")</f>
        <v>0.0046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HYPERLINK("http://141.218.60.56/~jnz1568/getInfo.php?workbook=12_04.xlsx&amp;sheet=U0&amp;row=9690&amp;col=6&amp;number=3.6&amp;sourceID=14","3.6")</f>
        <v>3.6</v>
      </c>
      <c r="G9690" s="4" t="str">
        <f>HYPERLINK("http://141.218.60.56/~jnz1568/getInfo.php?workbook=12_04.xlsx&amp;sheet=U0&amp;row=9690&amp;col=7&amp;number=0.0046&amp;sourceID=14","0.0046")</f>
        <v>0.0046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HYPERLINK("http://141.218.60.56/~jnz1568/getInfo.php?workbook=12_04.xlsx&amp;sheet=U0&amp;row=9691&amp;col=6&amp;number=3.7&amp;sourceID=14","3.7")</f>
        <v>3.7</v>
      </c>
      <c r="G9691" s="4" t="str">
        <f>HYPERLINK("http://141.218.60.56/~jnz1568/getInfo.php?workbook=12_04.xlsx&amp;sheet=U0&amp;row=9691&amp;col=7&amp;number=0.0046&amp;sourceID=14","0.0046")</f>
        <v>0.0046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HYPERLINK("http://141.218.60.56/~jnz1568/getInfo.php?workbook=12_04.xlsx&amp;sheet=U0&amp;row=9692&amp;col=6&amp;number=3.8&amp;sourceID=14","3.8")</f>
        <v>3.8</v>
      </c>
      <c r="G9692" s="4" t="str">
        <f>HYPERLINK("http://141.218.60.56/~jnz1568/getInfo.php?workbook=12_04.xlsx&amp;sheet=U0&amp;row=9692&amp;col=7&amp;number=0.00461&amp;sourceID=14","0.00461")</f>
        <v>0.00461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HYPERLINK("http://141.218.60.56/~jnz1568/getInfo.php?workbook=12_04.xlsx&amp;sheet=U0&amp;row=9693&amp;col=6&amp;number=3.9&amp;sourceID=14","3.9")</f>
        <v>3.9</v>
      </c>
      <c r="G9693" s="4" t="str">
        <f>HYPERLINK("http://141.218.60.56/~jnz1568/getInfo.php?workbook=12_04.xlsx&amp;sheet=U0&amp;row=9693&amp;col=7&amp;number=0.00461&amp;sourceID=14","0.00461")</f>
        <v>0.00461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HYPERLINK("http://141.218.60.56/~jnz1568/getInfo.php?workbook=12_04.xlsx&amp;sheet=U0&amp;row=9694&amp;col=6&amp;number=4&amp;sourceID=14","4")</f>
        <v>4</v>
      </c>
      <c r="G9694" s="4" t="str">
        <f>HYPERLINK("http://141.218.60.56/~jnz1568/getInfo.php?workbook=12_04.xlsx&amp;sheet=U0&amp;row=9694&amp;col=7&amp;number=0.00461&amp;sourceID=14","0.00461")</f>
        <v>0.00461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HYPERLINK("http://141.218.60.56/~jnz1568/getInfo.php?workbook=12_04.xlsx&amp;sheet=U0&amp;row=9695&amp;col=6&amp;number=4.1&amp;sourceID=14","4.1")</f>
        <v>4.1</v>
      </c>
      <c r="G9695" s="4" t="str">
        <f>HYPERLINK("http://141.218.60.56/~jnz1568/getInfo.php?workbook=12_04.xlsx&amp;sheet=U0&amp;row=9695&amp;col=7&amp;number=0.00462&amp;sourceID=14","0.00462")</f>
        <v>0.00462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HYPERLINK("http://141.218.60.56/~jnz1568/getInfo.php?workbook=12_04.xlsx&amp;sheet=U0&amp;row=9696&amp;col=6&amp;number=4.2&amp;sourceID=14","4.2")</f>
        <v>4.2</v>
      </c>
      <c r="G9696" s="4" t="str">
        <f>HYPERLINK("http://141.218.60.56/~jnz1568/getInfo.php?workbook=12_04.xlsx&amp;sheet=U0&amp;row=9696&amp;col=7&amp;number=0.00462&amp;sourceID=14","0.00462")</f>
        <v>0.00462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HYPERLINK("http://141.218.60.56/~jnz1568/getInfo.php?workbook=12_04.xlsx&amp;sheet=U0&amp;row=9697&amp;col=6&amp;number=4.3&amp;sourceID=14","4.3")</f>
        <v>4.3</v>
      </c>
      <c r="G9697" s="4" t="str">
        <f>HYPERLINK("http://141.218.60.56/~jnz1568/getInfo.php?workbook=12_04.xlsx&amp;sheet=U0&amp;row=9697&amp;col=7&amp;number=0.00463&amp;sourceID=14","0.00463")</f>
        <v>0.00463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HYPERLINK("http://141.218.60.56/~jnz1568/getInfo.php?workbook=12_04.xlsx&amp;sheet=U0&amp;row=9698&amp;col=6&amp;number=4.4&amp;sourceID=14","4.4")</f>
        <v>4.4</v>
      </c>
      <c r="G9698" s="4" t="str">
        <f>HYPERLINK("http://141.218.60.56/~jnz1568/getInfo.php?workbook=12_04.xlsx&amp;sheet=U0&amp;row=9698&amp;col=7&amp;number=0.00464&amp;sourceID=14","0.00464")</f>
        <v>0.00464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HYPERLINK("http://141.218.60.56/~jnz1568/getInfo.php?workbook=12_04.xlsx&amp;sheet=U0&amp;row=9699&amp;col=6&amp;number=4.5&amp;sourceID=14","4.5")</f>
        <v>4.5</v>
      </c>
      <c r="G9699" s="4" t="str">
        <f>HYPERLINK("http://141.218.60.56/~jnz1568/getInfo.php?workbook=12_04.xlsx&amp;sheet=U0&amp;row=9699&amp;col=7&amp;number=0.00465&amp;sourceID=14","0.00465")</f>
        <v>0.00465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HYPERLINK("http://141.218.60.56/~jnz1568/getInfo.php?workbook=12_04.xlsx&amp;sheet=U0&amp;row=9700&amp;col=6&amp;number=4.6&amp;sourceID=14","4.6")</f>
        <v>4.6</v>
      </c>
      <c r="G9700" s="4" t="str">
        <f>HYPERLINK("http://141.218.60.56/~jnz1568/getInfo.php?workbook=12_04.xlsx&amp;sheet=U0&amp;row=9700&amp;col=7&amp;number=0.00466&amp;sourceID=14","0.00466")</f>
        <v>0.00466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HYPERLINK("http://141.218.60.56/~jnz1568/getInfo.php?workbook=12_04.xlsx&amp;sheet=U0&amp;row=9701&amp;col=6&amp;number=4.7&amp;sourceID=14","4.7")</f>
        <v>4.7</v>
      </c>
      <c r="G9701" s="4" t="str">
        <f>HYPERLINK("http://141.218.60.56/~jnz1568/getInfo.php?workbook=12_04.xlsx&amp;sheet=U0&amp;row=9701&amp;col=7&amp;number=0.00468&amp;sourceID=14","0.00468")</f>
        <v>0.00468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HYPERLINK("http://141.218.60.56/~jnz1568/getInfo.php?workbook=12_04.xlsx&amp;sheet=U0&amp;row=9702&amp;col=6&amp;number=4.8&amp;sourceID=14","4.8")</f>
        <v>4.8</v>
      </c>
      <c r="G9702" s="4" t="str">
        <f>HYPERLINK("http://141.218.60.56/~jnz1568/getInfo.php?workbook=12_04.xlsx&amp;sheet=U0&amp;row=9702&amp;col=7&amp;number=0.0047&amp;sourceID=14","0.0047")</f>
        <v>0.0047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HYPERLINK("http://141.218.60.56/~jnz1568/getInfo.php?workbook=12_04.xlsx&amp;sheet=U0&amp;row=9703&amp;col=6&amp;number=4.9&amp;sourceID=14","4.9")</f>
        <v>4.9</v>
      </c>
      <c r="G9703" s="4" t="str">
        <f>HYPERLINK("http://141.218.60.56/~jnz1568/getInfo.php?workbook=12_04.xlsx&amp;sheet=U0&amp;row=9703&amp;col=7&amp;number=0.00472&amp;sourceID=14","0.00472")</f>
        <v>0.00472</v>
      </c>
    </row>
    <row r="9704" spans="1:7">
      <c r="A9704" s="3">
        <v>12</v>
      </c>
      <c r="B9704" s="3">
        <v>4</v>
      </c>
      <c r="C9704" s="3">
        <v>2</v>
      </c>
      <c r="D9704" s="3">
        <v>99</v>
      </c>
      <c r="E9704" s="3">
        <v>1</v>
      </c>
      <c r="F9704" s="4" t="str">
        <f>HYPERLINK("http://141.218.60.56/~jnz1568/getInfo.php?workbook=12_04.xlsx&amp;sheet=U0&amp;row=9704&amp;col=6&amp;number=3&amp;sourceID=14","3")</f>
        <v>3</v>
      </c>
      <c r="G9704" s="4" t="str">
        <f>HYPERLINK("http://141.218.60.56/~jnz1568/getInfo.php?workbook=12_04.xlsx&amp;sheet=U0&amp;row=9704&amp;col=7&amp;number=0.000327&amp;sourceID=14","0.000327")</f>
        <v>0.000327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HYPERLINK("http://141.218.60.56/~jnz1568/getInfo.php?workbook=12_04.xlsx&amp;sheet=U0&amp;row=9705&amp;col=6&amp;number=3.1&amp;sourceID=14","3.1")</f>
        <v>3.1</v>
      </c>
      <c r="G9705" s="4" t="str">
        <f>HYPERLINK("http://141.218.60.56/~jnz1568/getInfo.php?workbook=12_04.xlsx&amp;sheet=U0&amp;row=9705&amp;col=7&amp;number=0.000327&amp;sourceID=14","0.000327")</f>
        <v>0.000327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HYPERLINK("http://141.218.60.56/~jnz1568/getInfo.php?workbook=12_04.xlsx&amp;sheet=U0&amp;row=9706&amp;col=6&amp;number=3.2&amp;sourceID=14","3.2")</f>
        <v>3.2</v>
      </c>
      <c r="G9706" s="4" t="str">
        <f>HYPERLINK("http://141.218.60.56/~jnz1568/getInfo.php?workbook=12_04.xlsx&amp;sheet=U0&amp;row=9706&amp;col=7&amp;number=0.000327&amp;sourceID=14","0.000327")</f>
        <v>0.000327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HYPERLINK("http://141.218.60.56/~jnz1568/getInfo.php?workbook=12_04.xlsx&amp;sheet=U0&amp;row=9707&amp;col=6&amp;number=3.3&amp;sourceID=14","3.3")</f>
        <v>3.3</v>
      </c>
      <c r="G9707" s="4" t="str">
        <f>HYPERLINK("http://141.218.60.56/~jnz1568/getInfo.php?workbook=12_04.xlsx&amp;sheet=U0&amp;row=9707&amp;col=7&amp;number=0.000327&amp;sourceID=14","0.000327")</f>
        <v>0.000327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HYPERLINK("http://141.218.60.56/~jnz1568/getInfo.php?workbook=12_04.xlsx&amp;sheet=U0&amp;row=9708&amp;col=6&amp;number=3.4&amp;sourceID=14","3.4")</f>
        <v>3.4</v>
      </c>
      <c r="G9708" s="4" t="str">
        <f>HYPERLINK("http://141.218.60.56/~jnz1568/getInfo.php?workbook=12_04.xlsx&amp;sheet=U0&amp;row=9708&amp;col=7&amp;number=0.000327&amp;sourceID=14","0.000327")</f>
        <v>0.000327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HYPERLINK("http://141.218.60.56/~jnz1568/getInfo.php?workbook=12_04.xlsx&amp;sheet=U0&amp;row=9709&amp;col=6&amp;number=3.5&amp;sourceID=14","3.5")</f>
        <v>3.5</v>
      </c>
      <c r="G9709" s="4" t="str">
        <f>HYPERLINK("http://141.218.60.56/~jnz1568/getInfo.php?workbook=12_04.xlsx&amp;sheet=U0&amp;row=9709&amp;col=7&amp;number=0.000327&amp;sourceID=14","0.000327")</f>
        <v>0.000327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HYPERLINK("http://141.218.60.56/~jnz1568/getInfo.php?workbook=12_04.xlsx&amp;sheet=U0&amp;row=9710&amp;col=6&amp;number=3.6&amp;sourceID=14","3.6")</f>
        <v>3.6</v>
      </c>
      <c r="G9710" s="4" t="str">
        <f>HYPERLINK("http://141.218.60.56/~jnz1568/getInfo.php?workbook=12_04.xlsx&amp;sheet=U0&amp;row=9710&amp;col=7&amp;number=0.000327&amp;sourceID=14","0.000327")</f>
        <v>0.000327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HYPERLINK("http://141.218.60.56/~jnz1568/getInfo.php?workbook=12_04.xlsx&amp;sheet=U0&amp;row=9711&amp;col=6&amp;number=3.7&amp;sourceID=14","3.7")</f>
        <v>3.7</v>
      </c>
      <c r="G9711" s="4" t="str">
        <f>HYPERLINK("http://141.218.60.56/~jnz1568/getInfo.php?workbook=12_04.xlsx&amp;sheet=U0&amp;row=9711&amp;col=7&amp;number=0.000327&amp;sourceID=14","0.000327")</f>
        <v>0.000327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HYPERLINK("http://141.218.60.56/~jnz1568/getInfo.php?workbook=12_04.xlsx&amp;sheet=U0&amp;row=9712&amp;col=6&amp;number=3.8&amp;sourceID=14","3.8")</f>
        <v>3.8</v>
      </c>
      <c r="G9712" s="4" t="str">
        <f>HYPERLINK("http://141.218.60.56/~jnz1568/getInfo.php?workbook=12_04.xlsx&amp;sheet=U0&amp;row=9712&amp;col=7&amp;number=0.000327&amp;sourceID=14","0.000327")</f>
        <v>0.000327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HYPERLINK("http://141.218.60.56/~jnz1568/getInfo.php?workbook=12_04.xlsx&amp;sheet=U0&amp;row=9713&amp;col=6&amp;number=3.9&amp;sourceID=14","3.9")</f>
        <v>3.9</v>
      </c>
      <c r="G9713" s="4" t="str">
        <f>HYPERLINK("http://141.218.60.56/~jnz1568/getInfo.php?workbook=12_04.xlsx&amp;sheet=U0&amp;row=9713&amp;col=7&amp;number=0.000327&amp;sourceID=14","0.000327")</f>
        <v>0.000327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HYPERLINK("http://141.218.60.56/~jnz1568/getInfo.php?workbook=12_04.xlsx&amp;sheet=U0&amp;row=9714&amp;col=6&amp;number=4&amp;sourceID=14","4")</f>
        <v>4</v>
      </c>
      <c r="G9714" s="4" t="str">
        <f>HYPERLINK("http://141.218.60.56/~jnz1568/getInfo.php?workbook=12_04.xlsx&amp;sheet=U0&amp;row=9714&amp;col=7&amp;number=0.000326&amp;sourceID=14","0.000326")</f>
        <v>0.000326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HYPERLINK("http://141.218.60.56/~jnz1568/getInfo.php?workbook=12_04.xlsx&amp;sheet=U0&amp;row=9715&amp;col=6&amp;number=4.1&amp;sourceID=14","4.1")</f>
        <v>4.1</v>
      </c>
      <c r="G9715" s="4" t="str">
        <f>HYPERLINK("http://141.218.60.56/~jnz1568/getInfo.php?workbook=12_04.xlsx&amp;sheet=U0&amp;row=9715&amp;col=7&amp;number=0.000326&amp;sourceID=14","0.000326")</f>
        <v>0.000326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HYPERLINK("http://141.218.60.56/~jnz1568/getInfo.php?workbook=12_04.xlsx&amp;sheet=U0&amp;row=9716&amp;col=6&amp;number=4.2&amp;sourceID=14","4.2")</f>
        <v>4.2</v>
      </c>
      <c r="G9716" s="4" t="str">
        <f>HYPERLINK("http://141.218.60.56/~jnz1568/getInfo.php?workbook=12_04.xlsx&amp;sheet=U0&amp;row=9716&amp;col=7&amp;number=0.000326&amp;sourceID=14","0.000326")</f>
        <v>0.000326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HYPERLINK("http://141.218.60.56/~jnz1568/getInfo.php?workbook=12_04.xlsx&amp;sheet=U0&amp;row=9717&amp;col=6&amp;number=4.3&amp;sourceID=14","4.3")</f>
        <v>4.3</v>
      </c>
      <c r="G9717" s="4" t="str">
        <f>HYPERLINK("http://141.218.60.56/~jnz1568/getInfo.php?workbook=12_04.xlsx&amp;sheet=U0&amp;row=9717&amp;col=7&amp;number=0.000326&amp;sourceID=14","0.000326")</f>
        <v>0.000326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HYPERLINK("http://141.218.60.56/~jnz1568/getInfo.php?workbook=12_04.xlsx&amp;sheet=U0&amp;row=9718&amp;col=6&amp;number=4.4&amp;sourceID=14","4.4")</f>
        <v>4.4</v>
      </c>
      <c r="G9718" s="4" t="str">
        <f>HYPERLINK("http://141.218.60.56/~jnz1568/getInfo.php?workbook=12_04.xlsx&amp;sheet=U0&amp;row=9718&amp;col=7&amp;number=0.000326&amp;sourceID=14","0.000326")</f>
        <v>0.000326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HYPERLINK("http://141.218.60.56/~jnz1568/getInfo.php?workbook=12_04.xlsx&amp;sheet=U0&amp;row=9719&amp;col=6&amp;number=4.5&amp;sourceID=14","4.5")</f>
        <v>4.5</v>
      </c>
      <c r="G9719" s="4" t="str">
        <f>HYPERLINK("http://141.218.60.56/~jnz1568/getInfo.php?workbook=12_04.xlsx&amp;sheet=U0&amp;row=9719&amp;col=7&amp;number=0.000326&amp;sourceID=14","0.000326")</f>
        <v>0.000326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HYPERLINK("http://141.218.60.56/~jnz1568/getInfo.php?workbook=12_04.xlsx&amp;sheet=U0&amp;row=9720&amp;col=6&amp;number=4.6&amp;sourceID=14","4.6")</f>
        <v>4.6</v>
      </c>
      <c r="G9720" s="4" t="str">
        <f>HYPERLINK("http://141.218.60.56/~jnz1568/getInfo.php?workbook=12_04.xlsx&amp;sheet=U0&amp;row=9720&amp;col=7&amp;number=0.000325&amp;sourceID=14","0.000325")</f>
        <v>0.000325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HYPERLINK("http://141.218.60.56/~jnz1568/getInfo.php?workbook=12_04.xlsx&amp;sheet=U0&amp;row=9721&amp;col=6&amp;number=4.7&amp;sourceID=14","4.7")</f>
        <v>4.7</v>
      </c>
      <c r="G9721" s="4" t="str">
        <f>HYPERLINK("http://141.218.60.56/~jnz1568/getInfo.php?workbook=12_04.xlsx&amp;sheet=U0&amp;row=9721&amp;col=7&amp;number=0.000325&amp;sourceID=14","0.000325")</f>
        <v>0.000325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HYPERLINK("http://141.218.60.56/~jnz1568/getInfo.php?workbook=12_04.xlsx&amp;sheet=U0&amp;row=9722&amp;col=6&amp;number=4.8&amp;sourceID=14","4.8")</f>
        <v>4.8</v>
      </c>
      <c r="G9722" s="4" t="str">
        <f>HYPERLINK("http://141.218.60.56/~jnz1568/getInfo.php?workbook=12_04.xlsx&amp;sheet=U0&amp;row=9722&amp;col=7&amp;number=0.000324&amp;sourceID=14","0.000324")</f>
        <v>0.000324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HYPERLINK("http://141.218.60.56/~jnz1568/getInfo.php?workbook=12_04.xlsx&amp;sheet=U0&amp;row=9723&amp;col=6&amp;number=4.9&amp;sourceID=14","4.9")</f>
        <v>4.9</v>
      </c>
      <c r="G9723" s="4" t="str">
        <f>HYPERLINK("http://141.218.60.56/~jnz1568/getInfo.php?workbook=12_04.xlsx&amp;sheet=U0&amp;row=9723&amp;col=7&amp;number=0.000323&amp;sourceID=14","0.000323")</f>
        <v>0.000323</v>
      </c>
    </row>
    <row r="9724" spans="1:7">
      <c r="A9724" s="3">
        <v>12</v>
      </c>
      <c r="B9724" s="3">
        <v>4</v>
      </c>
      <c r="C9724" s="3">
        <v>2</v>
      </c>
      <c r="D9724" s="3">
        <v>100</v>
      </c>
      <c r="E9724" s="3">
        <v>1</v>
      </c>
      <c r="F9724" s="4" t="str">
        <f>HYPERLINK("http://141.218.60.56/~jnz1568/getInfo.php?workbook=12_04.xlsx&amp;sheet=U0&amp;row=9724&amp;col=6&amp;number=3&amp;sourceID=14","3")</f>
        <v>3</v>
      </c>
      <c r="G9724" s="4" t="str">
        <f>HYPERLINK("http://141.218.60.56/~jnz1568/getInfo.php?workbook=12_04.xlsx&amp;sheet=U0&amp;row=9724&amp;col=7&amp;number=0.00214&amp;sourceID=14","0.00214")</f>
        <v>0.00214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HYPERLINK("http://141.218.60.56/~jnz1568/getInfo.php?workbook=12_04.xlsx&amp;sheet=U0&amp;row=9725&amp;col=6&amp;number=3.1&amp;sourceID=14","3.1")</f>
        <v>3.1</v>
      </c>
      <c r="G9725" s="4" t="str">
        <f>HYPERLINK("http://141.218.60.56/~jnz1568/getInfo.php?workbook=12_04.xlsx&amp;sheet=U0&amp;row=9725&amp;col=7&amp;number=0.00214&amp;sourceID=14","0.00214")</f>
        <v>0.00214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HYPERLINK("http://141.218.60.56/~jnz1568/getInfo.php?workbook=12_04.xlsx&amp;sheet=U0&amp;row=9726&amp;col=6&amp;number=3.2&amp;sourceID=14","3.2")</f>
        <v>3.2</v>
      </c>
      <c r="G9726" s="4" t="str">
        <f>HYPERLINK("http://141.218.60.56/~jnz1568/getInfo.php?workbook=12_04.xlsx&amp;sheet=U0&amp;row=9726&amp;col=7&amp;number=0.00214&amp;sourceID=14","0.00214")</f>
        <v>0.00214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HYPERLINK("http://141.218.60.56/~jnz1568/getInfo.php?workbook=12_04.xlsx&amp;sheet=U0&amp;row=9727&amp;col=6&amp;number=3.3&amp;sourceID=14","3.3")</f>
        <v>3.3</v>
      </c>
      <c r="G9727" s="4" t="str">
        <f>HYPERLINK("http://141.218.60.56/~jnz1568/getInfo.php?workbook=12_04.xlsx&amp;sheet=U0&amp;row=9727&amp;col=7&amp;number=0.00214&amp;sourceID=14","0.00214")</f>
        <v>0.00214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HYPERLINK("http://141.218.60.56/~jnz1568/getInfo.php?workbook=12_04.xlsx&amp;sheet=U0&amp;row=9728&amp;col=6&amp;number=3.4&amp;sourceID=14","3.4")</f>
        <v>3.4</v>
      </c>
      <c r="G9728" s="4" t="str">
        <f>HYPERLINK("http://141.218.60.56/~jnz1568/getInfo.php?workbook=12_04.xlsx&amp;sheet=U0&amp;row=9728&amp;col=7&amp;number=0.00214&amp;sourceID=14","0.00214")</f>
        <v>0.00214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HYPERLINK("http://141.218.60.56/~jnz1568/getInfo.php?workbook=12_04.xlsx&amp;sheet=U0&amp;row=9729&amp;col=6&amp;number=3.5&amp;sourceID=14","3.5")</f>
        <v>3.5</v>
      </c>
      <c r="G9729" s="4" t="str">
        <f>HYPERLINK("http://141.218.60.56/~jnz1568/getInfo.php?workbook=12_04.xlsx&amp;sheet=U0&amp;row=9729&amp;col=7&amp;number=0.00214&amp;sourceID=14","0.00214")</f>
        <v>0.00214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HYPERLINK("http://141.218.60.56/~jnz1568/getInfo.php?workbook=12_04.xlsx&amp;sheet=U0&amp;row=9730&amp;col=6&amp;number=3.6&amp;sourceID=14","3.6")</f>
        <v>3.6</v>
      </c>
      <c r="G9730" s="4" t="str">
        <f>HYPERLINK("http://141.218.60.56/~jnz1568/getInfo.php?workbook=12_04.xlsx&amp;sheet=U0&amp;row=9730&amp;col=7&amp;number=0.00214&amp;sourceID=14","0.00214")</f>
        <v>0.00214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HYPERLINK("http://141.218.60.56/~jnz1568/getInfo.php?workbook=12_04.xlsx&amp;sheet=U0&amp;row=9731&amp;col=6&amp;number=3.7&amp;sourceID=14","3.7")</f>
        <v>3.7</v>
      </c>
      <c r="G9731" s="4" t="str">
        <f>HYPERLINK("http://141.218.60.56/~jnz1568/getInfo.php?workbook=12_04.xlsx&amp;sheet=U0&amp;row=9731&amp;col=7&amp;number=0.00214&amp;sourceID=14","0.00214")</f>
        <v>0.00214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HYPERLINK("http://141.218.60.56/~jnz1568/getInfo.php?workbook=12_04.xlsx&amp;sheet=U0&amp;row=9732&amp;col=6&amp;number=3.8&amp;sourceID=14","3.8")</f>
        <v>3.8</v>
      </c>
      <c r="G9732" s="4" t="str">
        <f>HYPERLINK("http://141.218.60.56/~jnz1568/getInfo.php?workbook=12_04.xlsx&amp;sheet=U0&amp;row=9732&amp;col=7&amp;number=0.00214&amp;sourceID=14","0.00214")</f>
        <v>0.00214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HYPERLINK("http://141.218.60.56/~jnz1568/getInfo.php?workbook=12_04.xlsx&amp;sheet=U0&amp;row=9733&amp;col=6&amp;number=3.9&amp;sourceID=14","3.9")</f>
        <v>3.9</v>
      </c>
      <c r="G9733" s="4" t="str">
        <f>HYPERLINK("http://141.218.60.56/~jnz1568/getInfo.php?workbook=12_04.xlsx&amp;sheet=U0&amp;row=9733&amp;col=7&amp;number=0.00214&amp;sourceID=14","0.00214")</f>
        <v>0.00214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HYPERLINK("http://141.218.60.56/~jnz1568/getInfo.php?workbook=12_04.xlsx&amp;sheet=U0&amp;row=9734&amp;col=6&amp;number=4&amp;sourceID=14","4")</f>
        <v>4</v>
      </c>
      <c r="G9734" s="4" t="str">
        <f>HYPERLINK("http://141.218.60.56/~jnz1568/getInfo.php?workbook=12_04.xlsx&amp;sheet=U0&amp;row=9734&amp;col=7&amp;number=0.00214&amp;sourceID=14","0.00214")</f>
        <v>0.00214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HYPERLINK("http://141.218.60.56/~jnz1568/getInfo.php?workbook=12_04.xlsx&amp;sheet=U0&amp;row=9735&amp;col=6&amp;number=4.1&amp;sourceID=14","4.1")</f>
        <v>4.1</v>
      </c>
      <c r="G9735" s="4" t="str">
        <f>HYPERLINK("http://141.218.60.56/~jnz1568/getInfo.php?workbook=12_04.xlsx&amp;sheet=U0&amp;row=9735&amp;col=7&amp;number=0.00214&amp;sourceID=14","0.00214")</f>
        <v>0.00214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HYPERLINK("http://141.218.60.56/~jnz1568/getInfo.php?workbook=12_04.xlsx&amp;sheet=U0&amp;row=9736&amp;col=6&amp;number=4.2&amp;sourceID=14","4.2")</f>
        <v>4.2</v>
      </c>
      <c r="G9736" s="4" t="str">
        <f>HYPERLINK("http://141.218.60.56/~jnz1568/getInfo.php?workbook=12_04.xlsx&amp;sheet=U0&amp;row=9736&amp;col=7&amp;number=0.00214&amp;sourceID=14","0.00214")</f>
        <v>0.00214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HYPERLINK("http://141.218.60.56/~jnz1568/getInfo.php?workbook=12_04.xlsx&amp;sheet=U0&amp;row=9737&amp;col=6&amp;number=4.3&amp;sourceID=14","4.3")</f>
        <v>4.3</v>
      </c>
      <c r="G9737" s="4" t="str">
        <f>HYPERLINK("http://141.218.60.56/~jnz1568/getInfo.php?workbook=12_04.xlsx&amp;sheet=U0&amp;row=9737&amp;col=7&amp;number=0.00214&amp;sourceID=14","0.00214")</f>
        <v>0.00214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HYPERLINK("http://141.218.60.56/~jnz1568/getInfo.php?workbook=12_04.xlsx&amp;sheet=U0&amp;row=9738&amp;col=6&amp;number=4.4&amp;sourceID=14","4.4")</f>
        <v>4.4</v>
      </c>
      <c r="G9738" s="4" t="str">
        <f>HYPERLINK("http://141.218.60.56/~jnz1568/getInfo.php?workbook=12_04.xlsx&amp;sheet=U0&amp;row=9738&amp;col=7&amp;number=0.00214&amp;sourceID=14","0.00214")</f>
        <v>0.00214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HYPERLINK("http://141.218.60.56/~jnz1568/getInfo.php?workbook=12_04.xlsx&amp;sheet=U0&amp;row=9739&amp;col=6&amp;number=4.5&amp;sourceID=14","4.5")</f>
        <v>4.5</v>
      </c>
      <c r="G9739" s="4" t="str">
        <f>HYPERLINK("http://141.218.60.56/~jnz1568/getInfo.php?workbook=12_04.xlsx&amp;sheet=U0&amp;row=9739&amp;col=7&amp;number=0.00215&amp;sourceID=14","0.00215")</f>
        <v>0.00215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HYPERLINK("http://141.218.60.56/~jnz1568/getInfo.php?workbook=12_04.xlsx&amp;sheet=U0&amp;row=9740&amp;col=6&amp;number=4.6&amp;sourceID=14","4.6")</f>
        <v>4.6</v>
      </c>
      <c r="G9740" s="4" t="str">
        <f>HYPERLINK("http://141.218.60.56/~jnz1568/getInfo.php?workbook=12_04.xlsx&amp;sheet=U0&amp;row=9740&amp;col=7&amp;number=0.00215&amp;sourceID=14","0.00215")</f>
        <v>0.00215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HYPERLINK("http://141.218.60.56/~jnz1568/getInfo.php?workbook=12_04.xlsx&amp;sheet=U0&amp;row=9741&amp;col=6&amp;number=4.7&amp;sourceID=14","4.7")</f>
        <v>4.7</v>
      </c>
      <c r="G9741" s="4" t="str">
        <f>HYPERLINK("http://141.218.60.56/~jnz1568/getInfo.php?workbook=12_04.xlsx&amp;sheet=U0&amp;row=9741&amp;col=7&amp;number=0.00215&amp;sourceID=14","0.00215")</f>
        <v>0.00215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HYPERLINK("http://141.218.60.56/~jnz1568/getInfo.php?workbook=12_04.xlsx&amp;sheet=U0&amp;row=9742&amp;col=6&amp;number=4.8&amp;sourceID=14","4.8")</f>
        <v>4.8</v>
      </c>
      <c r="G9742" s="4" t="str">
        <f>HYPERLINK("http://141.218.60.56/~jnz1568/getInfo.php?workbook=12_04.xlsx&amp;sheet=U0&amp;row=9742&amp;col=7&amp;number=0.00216&amp;sourceID=14","0.00216")</f>
        <v>0.00216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HYPERLINK("http://141.218.60.56/~jnz1568/getInfo.php?workbook=12_04.xlsx&amp;sheet=U0&amp;row=9743&amp;col=6&amp;number=4.9&amp;sourceID=14","4.9")</f>
        <v>4.9</v>
      </c>
      <c r="G9743" s="4" t="str">
        <f>HYPERLINK("http://141.218.60.56/~jnz1568/getInfo.php?workbook=12_04.xlsx&amp;sheet=U0&amp;row=9743&amp;col=7&amp;number=0.00216&amp;sourceID=14","0.00216")</f>
        <v>0.00216</v>
      </c>
    </row>
    <row r="9744" spans="1:7">
      <c r="A9744" s="3">
        <v>12</v>
      </c>
      <c r="B9744" s="3">
        <v>4</v>
      </c>
      <c r="C9744" s="3">
        <v>2</v>
      </c>
      <c r="D9744" s="3">
        <v>101</v>
      </c>
      <c r="E9744" s="3">
        <v>1</v>
      </c>
      <c r="F9744" s="4" t="str">
        <f>HYPERLINK("http://141.218.60.56/~jnz1568/getInfo.php?workbook=12_04.xlsx&amp;sheet=U0&amp;row=9744&amp;col=6&amp;number=3&amp;sourceID=14","3")</f>
        <v>3</v>
      </c>
      <c r="G9744" s="4" t="str">
        <f>HYPERLINK("http://141.218.60.56/~jnz1568/getInfo.php?workbook=12_04.xlsx&amp;sheet=U0&amp;row=9744&amp;col=7&amp;number=0.00048&amp;sourceID=14","0.00048")</f>
        <v>0.00048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HYPERLINK("http://141.218.60.56/~jnz1568/getInfo.php?workbook=12_04.xlsx&amp;sheet=U0&amp;row=9745&amp;col=6&amp;number=3.1&amp;sourceID=14","3.1")</f>
        <v>3.1</v>
      </c>
      <c r="G9745" s="4" t="str">
        <f>HYPERLINK("http://141.218.60.56/~jnz1568/getInfo.php?workbook=12_04.xlsx&amp;sheet=U0&amp;row=9745&amp;col=7&amp;number=0.00048&amp;sourceID=14","0.00048")</f>
        <v>0.00048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HYPERLINK("http://141.218.60.56/~jnz1568/getInfo.php?workbook=12_04.xlsx&amp;sheet=U0&amp;row=9746&amp;col=6&amp;number=3.2&amp;sourceID=14","3.2")</f>
        <v>3.2</v>
      </c>
      <c r="G9746" s="4" t="str">
        <f>HYPERLINK("http://141.218.60.56/~jnz1568/getInfo.php?workbook=12_04.xlsx&amp;sheet=U0&amp;row=9746&amp;col=7&amp;number=0.00048&amp;sourceID=14","0.00048")</f>
        <v>0.00048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HYPERLINK("http://141.218.60.56/~jnz1568/getInfo.php?workbook=12_04.xlsx&amp;sheet=U0&amp;row=9747&amp;col=6&amp;number=3.3&amp;sourceID=14","3.3")</f>
        <v>3.3</v>
      </c>
      <c r="G9747" s="4" t="str">
        <f>HYPERLINK("http://141.218.60.56/~jnz1568/getInfo.php?workbook=12_04.xlsx&amp;sheet=U0&amp;row=9747&amp;col=7&amp;number=0.00048&amp;sourceID=14","0.00048")</f>
        <v>0.00048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HYPERLINK("http://141.218.60.56/~jnz1568/getInfo.php?workbook=12_04.xlsx&amp;sheet=U0&amp;row=9748&amp;col=6&amp;number=3.4&amp;sourceID=14","3.4")</f>
        <v>3.4</v>
      </c>
      <c r="G9748" s="4" t="str">
        <f>HYPERLINK("http://141.218.60.56/~jnz1568/getInfo.php?workbook=12_04.xlsx&amp;sheet=U0&amp;row=9748&amp;col=7&amp;number=0.00048&amp;sourceID=14","0.00048")</f>
        <v>0.00048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HYPERLINK("http://141.218.60.56/~jnz1568/getInfo.php?workbook=12_04.xlsx&amp;sheet=U0&amp;row=9749&amp;col=6&amp;number=3.5&amp;sourceID=14","3.5")</f>
        <v>3.5</v>
      </c>
      <c r="G9749" s="4" t="str">
        <f>HYPERLINK("http://141.218.60.56/~jnz1568/getInfo.php?workbook=12_04.xlsx&amp;sheet=U0&amp;row=9749&amp;col=7&amp;number=0.00048&amp;sourceID=14","0.00048")</f>
        <v>0.00048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HYPERLINK("http://141.218.60.56/~jnz1568/getInfo.php?workbook=12_04.xlsx&amp;sheet=U0&amp;row=9750&amp;col=6&amp;number=3.6&amp;sourceID=14","3.6")</f>
        <v>3.6</v>
      </c>
      <c r="G9750" s="4" t="str">
        <f>HYPERLINK("http://141.218.60.56/~jnz1568/getInfo.php?workbook=12_04.xlsx&amp;sheet=U0&amp;row=9750&amp;col=7&amp;number=0.00048&amp;sourceID=14","0.00048")</f>
        <v>0.00048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HYPERLINK("http://141.218.60.56/~jnz1568/getInfo.php?workbook=12_04.xlsx&amp;sheet=U0&amp;row=9751&amp;col=6&amp;number=3.7&amp;sourceID=14","3.7")</f>
        <v>3.7</v>
      </c>
      <c r="G9751" s="4" t="str">
        <f>HYPERLINK("http://141.218.60.56/~jnz1568/getInfo.php?workbook=12_04.xlsx&amp;sheet=U0&amp;row=9751&amp;col=7&amp;number=0.00048&amp;sourceID=14","0.00048")</f>
        <v>0.00048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HYPERLINK("http://141.218.60.56/~jnz1568/getInfo.php?workbook=12_04.xlsx&amp;sheet=U0&amp;row=9752&amp;col=6&amp;number=3.8&amp;sourceID=14","3.8")</f>
        <v>3.8</v>
      </c>
      <c r="G9752" s="4" t="str">
        <f>HYPERLINK("http://141.218.60.56/~jnz1568/getInfo.php?workbook=12_04.xlsx&amp;sheet=U0&amp;row=9752&amp;col=7&amp;number=0.00048&amp;sourceID=14","0.00048")</f>
        <v>0.00048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HYPERLINK("http://141.218.60.56/~jnz1568/getInfo.php?workbook=12_04.xlsx&amp;sheet=U0&amp;row=9753&amp;col=6&amp;number=3.9&amp;sourceID=14","3.9")</f>
        <v>3.9</v>
      </c>
      <c r="G9753" s="4" t="str">
        <f>HYPERLINK("http://141.218.60.56/~jnz1568/getInfo.php?workbook=12_04.xlsx&amp;sheet=U0&amp;row=9753&amp;col=7&amp;number=0.000479&amp;sourceID=14","0.000479")</f>
        <v>0.000479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HYPERLINK("http://141.218.60.56/~jnz1568/getInfo.php?workbook=12_04.xlsx&amp;sheet=U0&amp;row=9754&amp;col=6&amp;number=4&amp;sourceID=14","4")</f>
        <v>4</v>
      </c>
      <c r="G9754" s="4" t="str">
        <f>HYPERLINK("http://141.218.60.56/~jnz1568/getInfo.php?workbook=12_04.xlsx&amp;sheet=U0&amp;row=9754&amp;col=7&amp;number=0.000479&amp;sourceID=14","0.000479")</f>
        <v>0.000479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HYPERLINK("http://141.218.60.56/~jnz1568/getInfo.php?workbook=12_04.xlsx&amp;sheet=U0&amp;row=9755&amp;col=6&amp;number=4.1&amp;sourceID=14","4.1")</f>
        <v>4.1</v>
      </c>
      <c r="G9755" s="4" t="str">
        <f>HYPERLINK("http://141.218.60.56/~jnz1568/getInfo.php?workbook=12_04.xlsx&amp;sheet=U0&amp;row=9755&amp;col=7&amp;number=0.000479&amp;sourceID=14","0.000479")</f>
        <v>0.000479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HYPERLINK("http://141.218.60.56/~jnz1568/getInfo.php?workbook=12_04.xlsx&amp;sheet=U0&amp;row=9756&amp;col=6&amp;number=4.2&amp;sourceID=14","4.2")</f>
        <v>4.2</v>
      </c>
      <c r="G9756" s="4" t="str">
        <f>HYPERLINK("http://141.218.60.56/~jnz1568/getInfo.php?workbook=12_04.xlsx&amp;sheet=U0&amp;row=9756&amp;col=7&amp;number=0.000479&amp;sourceID=14","0.000479")</f>
        <v>0.000479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HYPERLINK("http://141.218.60.56/~jnz1568/getInfo.php?workbook=12_04.xlsx&amp;sheet=U0&amp;row=9757&amp;col=6&amp;number=4.3&amp;sourceID=14","4.3")</f>
        <v>4.3</v>
      </c>
      <c r="G9757" s="4" t="str">
        <f>HYPERLINK("http://141.218.60.56/~jnz1568/getInfo.php?workbook=12_04.xlsx&amp;sheet=U0&amp;row=9757&amp;col=7&amp;number=0.000478&amp;sourceID=14","0.000478")</f>
        <v>0.000478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HYPERLINK("http://141.218.60.56/~jnz1568/getInfo.php?workbook=12_04.xlsx&amp;sheet=U0&amp;row=9758&amp;col=6&amp;number=4.4&amp;sourceID=14","4.4")</f>
        <v>4.4</v>
      </c>
      <c r="G9758" s="4" t="str">
        <f>HYPERLINK("http://141.218.60.56/~jnz1568/getInfo.php?workbook=12_04.xlsx&amp;sheet=U0&amp;row=9758&amp;col=7&amp;number=0.000478&amp;sourceID=14","0.000478")</f>
        <v>0.000478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HYPERLINK("http://141.218.60.56/~jnz1568/getInfo.php?workbook=12_04.xlsx&amp;sheet=U0&amp;row=9759&amp;col=6&amp;number=4.5&amp;sourceID=14","4.5")</f>
        <v>4.5</v>
      </c>
      <c r="G9759" s="4" t="str">
        <f>HYPERLINK("http://141.218.60.56/~jnz1568/getInfo.php?workbook=12_04.xlsx&amp;sheet=U0&amp;row=9759&amp;col=7&amp;number=0.000477&amp;sourceID=14","0.000477")</f>
        <v>0.000477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HYPERLINK("http://141.218.60.56/~jnz1568/getInfo.php?workbook=12_04.xlsx&amp;sheet=U0&amp;row=9760&amp;col=6&amp;number=4.6&amp;sourceID=14","4.6")</f>
        <v>4.6</v>
      </c>
      <c r="G9760" s="4" t="str">
        <f>HYPERLINK("http://141.218.60.56/~jnz1568/getInfo.php?workbook=12_04.xlsx&amp;sheet=U0&amp;row=9760&amp;col=7&amp;number=0.000477&amp;sourceID=14","0.000477")</f>
        <v>0.000477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HYPERLINK("http://141.218.60.56/~jnz1568/getInfo.php?workbook=12_04.xlsx&amp;sheet=U0&amp;row=9761&amp;col=6&amp;number=4.7&amp;sourceID=14","4.7")</f>
        <v>4.7</v>
      </c>
      <c r="G9761" s="4" t="str">
        <f>HYPERLINK("http://141.218.60.56/~jnz1568/getInfo.php?workbook=12_04.xlsx&amp;sheet=U0&amp;row=9761&amp;col=7&amp;number=0.000476&amp;sourceID=14","0.000476")</f>
        <v>0.000476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HYPERLINK("http://141.218.60.56/~jnz1568/getInfo.php?workbook=12_04.xlsx&amp;sheet=U0&amp;row=9762&amp;col=6&amp;number=4.8&amp;sourceID=14","4.8")</f>
        <v>4.8</v>
      </c>
      <c r="G9762" s="4" t="str">
        <f>HYPERLINK("http://141.218.60.56/~jnz1568/getInfo.php?workbook=12_04.xlsx&amp;sheet=U0&amp;row=9762&amp;col=7&amp;number=0.000475&amp;sourceID=14","0.000475")</f>
        <v>0.000475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HYPERLINK("http://141.218.60.56/~jnz1568/getInfo.php?workbook=12_04.xlsx&amp;sheet=U0&amp;row=9763&amp;col=6&amp;number=4.9&amp;sourceID=14","4.9")</f>
        <v>4.9</v>
      </c>
      <c r="G9763" s="4" t="str">
        <f>HYPERLINK("http://141.218.60.56/~jnz1568/getInfo.php?workbook=12_04.xlsx&amp;sheet=U0&amp;row=9763&amp;col=7&amp;number=0.000473&amp;sourceID=14","0.000473")</f>
        <v>0.000473</v>
      </c>
    </row>
    <row r="9764" spans="1:7">
      <c r="A9764" s="3">
        <v>12</v>
      </c>
      <c r="B9764" s="3">
        <v>4</v>
      </c>
      <c r="C9764" s="3">
        <v>2</v>
      </c>
      <c r="D9764" s="3">
        <v>102</v>
      </c>
      <c r="E9764" s="3">
        <v>1</v>
      </c>
      <c r="F9764" s="4" t="str">
        <f>HYPERLINK("http://141.218.60.56/~jnz1568/getInfo.php?workbook=12_04.xlsx&amp;sheet=U0&amp;row=9764&amp;col=6&amp;number=3&amp;sourceID=14","3")</f>
        <v>3</v>
      </c>
      <c r="G9764" s="4" t="str">
        <f>HYPERLINK("http://141.218.60.56/~jnz1568/getInfo.php?workbook=12_04.xlsx&amp;sheet=U0&amp;row=9764&amp;col=7&amp;number=0.000577&amp;sourceID=14","0.000577")</f>
        <v>0.000577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HYPERLINK("http://141.218.60.56/~jnz1568/getInfo.php?workbook=12_04.xlsx&amp;sheet=U0&amp;row=9765&amp;col=6&amp;number=3.1&amp;sourceID=14","3.1")</f>
        <v>3.1</v>
      </c>
      <c r="G9765" s="4" t="str">
        <f>HYPERLINK("http://141.218.60.56/~jnz1568/getInfo.php?workbook=12_04.xlsx&amp;sheet=U0&amp;row=9765&amp;col=7&amp;number=0.000577&amp;sourceID=14","0.000577")</f>
        <v>0.000577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HYPERLINK("http://141.218.60.56/~jnz1568/getInfo.php?workbook=12_04.xlsx&amp;sheet=U0&amp;row=9766&amp;col=6&amp;number=3.2&amp;sourceID=14","3.2")</f>
        <v>3.2</v>
      </c>
      <c r="G9766" s="4" t="str">
        <f>HYPERLINK("http://141.218.60.56/~jnz1568/getInfo.php?workbook=12_04.xlsx&amp;sheet=U0&amp;row=9766&amp;col=7&amp;number=0.000577&amp;sourceID=14","0.000577")</f>
        <v>0.000577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HYPERLINK("http://141.218.60.56/~jnz1568/getInfo.php?workbook=12_04.xlsx&amp;sheet=U0&amp;row=9767&amp;col=6&amp;number=3.3&amp;sourceID=14","3.3")</f>
        <v>3.3</v>
      </c>
      <c r="G9767" s="4" t="str">
        <f>HYPERLINK("http://141.218.60.56/~jnz1568/getInfo.php?workbook=12_04.xlsx&amp;sheet=U0&amp;row=9767&amp;col=7&amp;number=0.000577&amp;sourceID=14","0.000577")</f>
        <v>0.000577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HYPERLINK("http://141.218.60.56/~jnz1568/getInfo.php?workbook=12_04.xlsx&amp;sheet=U0&amp;row=9768&amp;col=6&amp;number=3.4&amp;sourceID=14","3.4")</f>
        <v>3.4</v>
      </c>
      <c r="G9768" s="4" t="str">
        <f>HYPERLINK("http://141.218.60.56/~jnz1568/getInfo.php?workbook=12_04.xlsx&amp;sheet=U0&amp;row=9768&amp;col=7&amp;number=0.000577&amp;sourceID=14","0.000577")</f>
        <v>0.000577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HYPERLINK("http://141.218.60.56/~jnz1568/getInfo.php?workbook=12_04.xlsx&amp;sheet=U0&amp;row=9769&amp;col=6&amp;number=3.5&amp;sourceID=14","3.5")</f>
        <v>3.5</v>
      </c>
      <c r="G9769" s="4" t="str">
        <f>HYPERLINK("http://141.218.60.56/~jnz1568/getInfo.php?workbook=12_04.xlsx&amp;sheet=U0&amp;row=9769&amp;col=7&amp;number=0.000577&amp;sourceID=14","0.000577")</f>
        <v>0.000577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HYPERLINK("http://141.218.60.56/~jnz1568/getInfo.php?workbook=12_04.xlsx&amp;sheet=U0&amp;row=9770&amp;col=6&amp;number=3.6&amp;sourceID=14","3.6")</f>
        <v>3.6</v>
      </c>
      <c r="G9770" s="4" t="str">
        <f>HYPERLINK("http://141.218.60.56/~jnz1568/getInfo.php?workbook=12_04.xlsx&amp;sheet=U0&amp;row=9770&amp;col=7&amp;number=0.000577&amp;sourceID=14","0.000577")</f>
        <v>0.000577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HYPERLINK("http://141.218.60.56/~jnz1568/getInfo.php?workbook=12_04.xlsx&amp;sheet=U0&amp;row=9771&amp;col=6&amp;number=3.7&amp;sourceID=14","3.7")</f>
        <v>3.7</v>
      </c>
      <c r="G9771" s="4" t="str">
        <f>HYPERLINK("http://141.218.60.56/~jnz1568/getInfo.php?workbook=12_04.xlsx&amp;sheet=U0&amp;row=9771&amp;col=7&amp;number=0.000577&amp;sourceID=14","0.000577")</f>
        <v>0.000577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HYPERLINK("http://141.218.60.56/~jnz1568/getInfo.php?workbook=12_04.xlsx&amp;sheet=U0&amp;row=9772&amp;col=6&amp;number=3.8&amp;sourceID=14","3.8")</f>
        <v>3.8</v>
      </c>
      <c r="G9772" s="4" t="str">
        <f>HYPERLINK("http://141.218.60.56/~jnz1568/getInfo.php?workbook=12_04.xlsx&amp;sheet=U0&amp;row=9772&amp;col=7&amp;number=0.000577&amp;sourceID=14","0.000577")</f>
        <v>0.000577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HYPERLINK("http://141.218.60.56/~jnz1568/getInfo.php?workbook=12_04.xlsx&amp;sheet=U0&amp;row=9773&amp;col=6&amp;number=3.9&amp;sourceID=14","3.9")</f>
        <v>3.9</v>
      </c>
      <c r="G9773" s="4" t="str">
        <f>HYPERLINK("http://141.218.60.56/~jnz1568/getInfo.php?workbook=12_04.xlsx&amp;sheet=U0&amp;row=9773&amp;col=7&amp;number=0.000577&amp;sourceID=14","0.000577")</f>
        <v>0.000577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HYPERLINK("http://141.218.60.56/~jnz1568/getInfo.php?workbook=12_04.xlsx&amp;sheet=U0&amp;row=9774&amp;col=6&amp;number=4&amp;sourceID=14","4")</f>
        <v>4</v>
      </c>
      <c r="G9774" s="4" t="str">
        <f>HYPERLINK("http://141.218.60.56/~jnz1568/getInfo.php?workbook=12_04.xlsx&amp;sheet=U0&amp;row=9774&amp;col=7&amp;number=0.000577&amp;sourceID=14","0.000577")</f>
        <v>0.000577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HYPERLINK("http://141.218.60.56/~jnz1568/getInfo.php?workbook=12_04.xlsx&amp;sheet=U0&amp;row=9775&amp;col=6&amp;number=4.1&amp;sourceID=14","4.1")</f>
        <v>4.1</v>
      </c>
      <c r="G9775" s="4" t="str">
        <f>HYPERLINK("http://141.218.60.56/~jnz1568/getInfo.php?workbook=12_04.xlsx&amp;sheet=U0&amp;row=9775&amp;col=7&amp;number=0.000577&amp;sourceID=14","0.000577")</f>
        <v>0.000577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HYPERLINK("http://141.218.60.56/~jnz1568/getInfo.php?workbook=12_04.xlsx&amp;sheet=U0&amp;row=9776&amp;col=6&amp;number=4.2&amp;sourceID=14","4.2")</f>
        <v>4.2</v>
      </c>
      <c r="G9776" s="4" t="str">
        <f>HYPERLINK("http://141.218.60.56/~jnz1568/getInfo.php?workbook=12_04.xlsx&amp;sheet=U0&amp;row=9776&amp;col=7&amp;number=0.000577&amp;sourceID=14","0.000577")</f>
        <v>0.000577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HYPERLINK("http://141.218.60.56/~jnz1568/getInfo.php?workbook=12_04.xlsx&amp;sheet=U0&amp;row=9777&amp;col=6&amp;number=4.3&amp;sourceID=14","4.3")</f>
        <v>4.3</v>
      </c>
      <c r="G9777" s="4" t="str">
        <f>HYPERLINK("http://141.218.60.56/~jnz1568/getInfo.php?workbook=12_04.xlsx&amp;sheet=U0&amp;row=9777&amp;col=7&amp;number=0.000576&amp;sourceID=14","0.000576")</f>
        <v>0.000576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HYPERLINK("http://141.218.60.56/~jnz1568/getInfo.php?workbook=12_04.xlsx&amp;sheet=U0&amp;row=9778&amp;col=6&amp;number=4.4&amp;sourceID=14","4.4")</f>
        <v>4.4</v>
      </c>
      <c r="G9778" s="4" t="str">
        <f>HYPERLINK("http://141.218.60.56/~jnz1568/getInfo.php?workbook=12_04.xlsx&amp;sheet=U0&amp;row=9778&amp;col=7&amp;number=0.000576&amp;sourceID=14","0.000576")</f>
        <v>0.000576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HYPERLINK("http://141.218.60.56/~jnz1568/getInfo.php?workbook=12_04.xlsx&amp;sheet=U0&amp;row=9779&amp;col=6&amp;number=4.5&amp;sourceID=14","4.5")</f>
        <v>4.5</v>
      </c>
      <c r="G9779" s="4" t="str">
        <f>HYPERLINK("http://141.218.60.56/~jnz1568/getInfo.php?workbook=12_04.xlsx&amp;sheet=U0&amp;row=9779&amp;col=7&amp;number=0.000576&amp;sourceID=14","0.000576")</f>
        <v>0.000576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HYPERLINK("http://141.218.60.56/~jnz1568/getInfo.php?workbook=12_04.xlsx&amp;sheet=U0&amp;row=9780&amp;col=6&amp;number=4.6&amp;sourceID=14","4.6")</f>
        <v>4.6</v>
      </c>
      <c r="G9780" s="4" t="str">
        <f>HYPERLINK("http://141.218.60.56/~jnz1568/getInfo.php?workbook=12_04.xlsx&amp;sheet=U0&amp;row=9780&amp;col=7&amp;number=0.000575&amp;sourceID=14","0.000575")</f>
        <v>0.000575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HYPERLINK("http://141.218.60.56/~jnz1568/getInfo.php?workbook=12_04.xlsx&amp;sheet=U0&amp;row=9781&amp;col=6&amp;number=4.7&amp;sourceID=14","4.7")</f>
        <v>4.7</v>
      </c>
      <c r="G9781" s="4" t="str">
        <f>HYPERLINK("http://141.218.60.56/~jnz1568/getInfo.php?workbook=12_04.xlsx&amp;sheet=U0&amp;row=9781&amp;col=7&amp;number=0.000575&amp;sourceID=14","0.000575")</f>
        <v>0.000575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HYPERLINK("http://141.218.60.56/~jnz1568/getInfo.php?workbook=12_04.xlsx&amp;sheet=U0&amp;row=9782&amp;col=6&amp;number=4.8&amp;sourceID=14","4.8")</f>
        <v>4.8</v>
      </c>
      <c r="G9782" s="4" t="str">
        <f>HYPERLINK("http://141.218.60.56/~jnz1568/getInfo.php?workbook=12_04.xlsx&amp;sheet=U0&amp;row=9782&amp;col=7&amp;number=0.000574&amp;sourceID=14","0.000574")</f>
        <v>0.000574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HYPERLINK("http://141.218.60.56/~jnz1568/getInfo.php?workbook=12_04.xlsx&amp;sheet=U0&amp;row=9783&amp;col=6&amp;number=4.9&amp;sourceID=14","4.9")</f>
        <v>4.9</v>
      </c>
      <c r="G9783" s="4" t="str">
        <f>HYPERLINK("http://141.218.60.56/~jnz1568/getInfo.php?workbook=12_04.xlsx&amp;sheet=U0&amp;row=9783&amp;col=7&amp;number=0.000573&amp;sourceID=14","0.000573")</f>
        <v>0.000573</v>
      </c>
    </row>
    <row r="9784" spans="1:7">
      <c r="A9784" s="3">
        <v>12</v>
      </c>
      <c r="B9784" s="3">
        <v>4</v>
      </c>
      <c r="C9784" s="3">
        <v>2</v>
      </c>
      <c r="D9784" s="3">
        <v>103</v>
      </c>
      <c r="E9784" s="3">
        <v>1</v>
      </c>
      <c r="F9784" s="4" t="str">
        <f>HYPERLINK("http://141.218.60.56/~jnz1568/getInfo.php?workbook=12_04.xlsx&amp;sheet=U0&amp;row=9784&amp;col=6&amp;number=3&amp;sourceID=14","3")</f>
        <v>3</v>
      </c>
      <c r="G9784" s="4" t="str">
        <f>HYPERLINK("http://141.218.60.56/~jnz1568/getInfo.php?workbook=12_04.xlsx&amp;sheet=U0&amp;row=9784&amp;col=7&amp;number=0.000122&amp;sourceID=14","0.000122")</f>
        <v>0.000122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HYPERLINK("http://141.218.60.56/~jnz1568/getInfo.php?workbook=12_04.xlsx&amp;sheet=U0&amp;row=9785&amp;col=6&amp;number=3.1&amp;sourceID=14","3.1")</f>
        <v>3.1</v>
      </c>
      <c r="G9785" s="4" t="str">
        <f>HYPERLINK("http://141.218.60.56/~jnz1568/getInfo.php?workbook=12_04.xlsx&amp;sheet=U0&amp;row=9785&amp;col=7&amp;number=0.000122&amp;sourceID=14","0.000122")</f>
        <v>0.000122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HYPERLINK("http://141.218.60.56/~jnz1568/getInfo.php?workbook=12_04.xlsx&amp;sheet=U0&amp;row=9786&amp;col=6&amp;number=3.2&amp;sourceID=14","3.2")</f>
        <v>3.2</v>
      </c>
      <c r="G9786" s="4" t="str">
        <f>HYPERLINK("http://141.218.60.56/~jnz1568/getInfo.php?workbook=12_04.xlsx&amp;sheet=U0&amp;row=9786&amp;col=7&amp;number=0.000122&amp;sourceID=14","0.000122")</f>
        <v>0.000122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HYPERLINK("http://141.218.60.56/~jnz1568/getInfo.php?workbook=12_04.xlsx&amp;sheet=U0&amp;row=9787&amp;col=6&amp;number=3.3&amp;sourceID=14","3.3")</f>
        <v>3.3</v>
      </c>
      <c r="G9787" s="4" t="str">
        <f>HYPERLINK("http://141.218.60.56/~jnz1568/getInfo.php?workbook=12_04.xlsx&amp;sheet=U0&amp;row=9787&amp;col=7&amp;number=0.000122&amp;sourceID=14","0.000122")</f>
        <v>0.000122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HYPERLINK("http://141.218.60.56/~jnz1568/getInfo.php?workbook=12_04.xlsx&amp;sheet=U0&amp;row=9788&amp;col=6&amp;number=3.4&amp;sourceID=14","3.4")</f>
        <v>3.4</v>
      </c>
      <c r="G9788" s="4" t="str">
        <f>HYPERLINK("http://141.218.60.56/~jnz1568/getInfo.php?workbook=12_04.xlsx&amp;sheet=U0&amp;row=9788&amp;col=7&amp;number=0.000122&amp;sourceID=14","0.000122")</f>
        <v>0.000122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HYPERLINK("http://141.218.60.56/~jnz1568/getInfo.php?workbook=12_04.xlsx&amp;sheet=U0&amp;row=9789&amp;col=6&amp;number=3.5&amp;sourceID=14","3.5")</f>
        <v>3.5</v>
      </c>
      <c r="G9789" s="4" t="str">
        <f>HYPERLINK("http://141.218.60.56/~jnz1568/getInfo.php?workbook=12_04.xlsx&amp;sheet=U0&amp;row=9789&amp;col=7&amp;number=0.000122&amp;sourceID=14","0.000122")</f>
        <v>0.000122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HYPERLINK("http://141.218.60.56/~jnz1568/getInfo.php?workbook=12_04.xlsx&amp;sheet=U0&amp;row=9790&amp;col=6&amp;number=3.6&amp;sourceID=14","3.6")</f>
        <v>3.6</v>
      </c>
      <c r="G9790" s="4" t="str">
        <f>HYPERLINK("http://141.218.60.56/~jnz1568/getInfo.php?workbook=12_04.xlsx&amp;sheet=U0&amp;row=9790&amp;col=7&amp;number=0.000122&amp;sourceID=14","0.000122")</f>
        <v>0.000122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HYPERLINK("http://141.218.60.56/~jnz1568/getInfo.php?workbook=12_04.xlsx&amp;sheet=U0&amp;row=9791&amp;col=6&amp;number=3.7&amp;sourceID=14","3.7")</f>
        <v>3.7</v>
      </c>
      <c r="G9791" s="4" t="str">
        <f>HYPERLINK("http://141.218.60.56/~jnz1568/getInfo.php?workbook=12_04.xlsx&amp;sheet=U0&amp;row=9791&amp;col=7&amp;number=0.000122&amp;sourceID=14","0.000122")</f>
        <v>0.000122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HYPERLINK("http://141.218.60.56/~jnz1568/getInfo.php?workbook=12_04.xlsx&amp;sheet=U0&amp;row=9792&amp;col=6&amp;number=3.8&amp;sourceID=14","3.8")</f>
        <v>3.8</v>
      </c>
      <c r="G9792" s="4" t="str">
        <f>HYPERLINK("http://141.218.60.56/~jnz1568/getInfo.php?workbook=12_04.xlsx&amp;sheet=U0&amp;row=9792&amp;col=7&amp;number=0.000122&amp;sourceID=14","0.000122")</f>
        <v>0.000122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HYPERLINK("http://141.218.60.56/~jnz1568/getInfo.php?workbook=12_04.xlsx&amp;sheet=U0&amp;row=9793&amp;col=6&amp;number=3.9&amp;sourceID=14","3.9")</f>
        <v>3.9</v>
      </c>
      <c r="G9793" s="4" t="str">
        <f>HYPERLINK("http://141.218.60.56/~jnz1568/getInfo.php?workbook=12_04.xlsx&amp;sheet=U0&amp;row=9793&amp;col=7&amp;number=0.000122&amp;sourceID=14","0.000122")</f>
        <v>0.000122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HYPERLINK("http://141.218.60.56/~jnz1568/getInfo.php?workbook=12_04.xlsx&amp;sheet=U0&amp;row=9794&amp;col=6&amp;number=4&amp;sourceID=14","4")</f>
        <v>4</v>
      </c>
      <c r="G9794" s="4" t="str">
        <f>HYPERLINK("http://141.218.60.56/~jnz1568/getInfo.php?workbook=12_04.xlsx&amp;sheet=U0&amp;row=9794&amp;col=7&amp;number=0.000122&amp;sourceID=14","0.000122")</f>
        <v>0.000122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HYPERLINK("http://141.218.60.56/~jnz1568/getInfo.php?workbook=12_04.xlsx&amp;sheet=U0&amp;row=9795&amp;col=6&amp;number=4.1&amp;sourceID=14","4.1")</f>
        <v>4.1</v>
      </c>
      <c r="G9795" s="4" t="str">
        <f>HYPERLINK("http://141.218.60.56/~jnz1568/getInfo.php?workbook=12_04.xlsx&amp;sheet=U0&amp;row=9795&amp;col=7&amp;number=0.000122&amp;sourceID=14","0.000122")</f>
        <v>0.000122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HYPERLINK("http://141.218.60.56/~jnz1568/getInfo.php?workbook=12_04.xlsx&amp;sheet=U0&amp;row=9796&amp;col=6&amp;number=4.2&amp;sourceID=14","4.2")</f>
        <v>4.2</v>
      </c>
      <c r="G9796" s="4" t="str">
        <f>HYPERLINK("http://141.218.60.56/~jnz1568/getInfo.php?workbook=12_04.xlsx&amp;sheet=U0&amp;row=9796&amp;col=7&amp;number=0.000121&amp;sourceID=14","0.000121")</f>
        <v>0.000121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HYPERLINK("http://141.218.60.56/~jnz1568/getInfo.php?workbook=12_04.xlsx&amp;sheet=U0&amp;row=9797&amp;col=6&amp;number=4.3&amp;sourceID=14","4.3")</f>
        <v>4.3</v>
      </c>
      <c r="G9797" s="4" t="str">
        <f>HYPERLINK("http://141.218.60.56/~jnz1568/getInfo.php?workbook=12_04.xlsx&amp;sheet=U0&amp;row=9797&amp;col=7&amp;number=0.000121&amp;sourceID=14","0.000121")</f>
        <v>0.000121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HYPERLINK("http://141.218.60.56/~jnz1568/getInfo.php?workbook=12_04.xlsx&amp;sheet=U0&amp;row=9798&amp;col=6&amp;number=4.4&amp;sourceID=14","4.4")</f>
        <v>4.4</v>
      </c>
      <c r="G9798" s="4" t="str">
        <f>HYPERLINK("http://141.218.60.56/~jnz1568/getInfo.php?workbook=12_04.xlsx&amp;sheet=U0&amp;row=9798&amp;col=7&amp;number=0.000121&amp;sourceID=14","0.000121")</f>
        <v>0.000121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HYPERLINK("http://141.218.60.56/~jnz1568/getInfo.php?workbook=12_04.xlsx&amp;sheet=U0&amp;row=9799&amp;col=6&amp;number=4.5&amp;sourceID=14","4.5")</f>
        <v>4.5</v>
      </c>
      <c r="G9799" s="4" t="str">
        <f>HYPERLINK("http://141.218.60.56/~jnz1568/getInfo.php?workbook=12_04.xlsx&amp;sheet=U0&amp;row=9799&amp;col=7&amp;number=0.000121&amp;sourceID=14","0.000121")</f>
        <v>0.000121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HYPERLINK("http://141.218.60.56/~jnz1568/getInfo.php?workbook=12_04.xlsx&amp;sheet=U0&amp;row=9800&amp;col=6&amp;number=4.6&amp;sourceID=14","4.6")</f>
        <v>4.6</v>
      </c>
      <c r="G9800" s="4" t="str">
        <f>HYPERLINK("http://141.218.60.56/~jnz1568/getInfo.php?workbook=12_04.xlsx&amp;sheet=U0&amp;row=9800&amp;col=7&amp;number=0.00012&amp;sourceID=14","0.00012")</f>
        <v>0.00012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HYPERLINK("http://141.218.60.56/~jnz1568/getInfo.php?workbook=12_04.xlsx&amp;sheet=U0&amp;row=9801&amp;col=6&amp;number=4.7&amp;sourceID=14","4.7")</f>
        <v>4.7</v>
      </c>
      <c r="G9801" s="4" t="str">
        <f>HYPERLINK("http://141.218.60.56/~jnz1568/getInfo.php?workbook=12_04.xlsx&amp;sheet=U0&amp;row=9801&amp;col=7&amp;number=0.00012&amp;sourceID=14","0.00012")</f>
        <v>0.00012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HYPERLINK("http://141.218.60.56/~jnz1568/getInfo.php?workbook=12_04.xlsx&amp;sheet=U0&amp;row=9802&amp;col=6&amp;number=4.8&amp;sourceID=14","4.8")</f>
        <v>4.8</v>
      </c>
      <c r="G9802" s="4" t="str">
        <f>HYPERLINK("http://141.218.60.56/~jnz1568/getInfo.php?workbook=12_04.xlsx&amp;sheet=U0&amp;row=9802&amp;col=7&amp;number=0.000119&amp;sourceID=14","0.000119")</f>
        <v>0.000119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HYPERLINK("http://141.218.60.56/~jnz1568/getInfo.php?workbook=12_04.xlsx&amp;sheet=U0&amp;row=9803&amp;col=6&amp;number=4.9&amp;sourceID=14","4.9")</f>
        <v>4.9</v>
      </c>
      <c r="G9803" s="4" t="str">
        <f>HYPERLINK("http://141.218.60.56/~jnz1568/getInfo.php?workbook=12_04.xlsx&amp;sheet=U0&amp;row=9803&amp;col=7&amp;number=0.000118&amp;sourceID=14","0.000118")</f>
        <v>0.000118</v>
      </c>
    </row>
    <row r="9804" spans="1:7">
      <c r="A9804" s="3">
        <v>12</v>
      </c>
      <c r="B9804" s="3">
        <v>4</v>
      </c>
      <c r="C9804" s="3">
        <v>2</v>
      </c>
      <c r="D9804" s="3">
        <v>104</v>
      </c>
      <c r="E9804" s="3">
        <v>1</v>
      </c>
      <c r="F9804" s="4" t="str">
        <f>HYPERLINK("http://141.218.60.56/~jnz1568/getInfo.php?workbook=12_04.xlsx&amp;sheet=U0&amp;row=9804&amp;col=6&amp;number=3&amp;sourceID=14","3")</f>
        <v>3</v>
      </c>
      <c r="G9804" s="4" t="str">
        <f>HYPERLINK("http://141.218.60.56/~jnz1568/getInfo.php?workbook=12_04.xlsx&amp;sheet=U0&amp;row=9804&amp;col=7&amp;number=0.000395&amp;sourceID=14","0.000395")</f>
        <v>0.000395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HYPERLINK("http://141.218.60.56/~jnz1568/getInfo.php?workbook=12_04.xlsx&amp;sheet=U0&amp;row=9805&amp;col=6&amp;number=3.1&amp;sourceID=14","3.1")</f>
        <v>3.1</v>
      </c>
      <c r="G9805" s="4" t="str">
        <f>HYPERLINK("http://141.218.60.56/~jnz1568/getInfo.php?workbook=12_04.xlsx&amp;sheet=U0&amp;row=9805&amp;col=7&amp;number=0.000395&amp;sourceID=14","0.000395")</f>
        <v>0.000395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HYPERLINK("http://141.218.60.56/~jnz1568/getInfo.php?workbook=12_04.xlsx&amp;sheet=U0&amp;row=9806&amp;col=6&amp;number=3.2&amp;sourceID=14","3.2")</f>
        <v>3.2</v>
      </c>
      <c r="G9806" s="4" t="str">
        <f>HYPERLINK("http://141.218.60.56/~jnz1568/getInfo.php?workbook=12_04.xlsx&amp;sheet=U0&amp;row=9806&amp;col=7&amp;number=0.000395&amp;sourceID=14","0.000395")</f>
        <v>0.000395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HYPERLINK("http://141.218.60.56/~jnz1568/getInfo.php?workbook=12_04.xlsx&amp;sheet=U0&amp;row=9807&amp;col=6&amp;number=3.3&amp;sourceID=14","3.3")</f>
        <v>3.3</v>
      </c>
      <c r="G9807" s="4" t="str">
        <f>HYPERLINK("http://141.218.60.56/~jnz1568/getInfo.php?workbook=12_04.xlsx&amp;sheet=U0&amp;row=9807&amp;col=7&amp;number=0.000395&amp;sourceID=14","0.000395")</f>
        <v>0.000395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HYPERLINK("http://141.218.60.56/~jnz1568/getInfo.php?workbook=12_04.xlsx&amp;sheet=U0&amp;row=9808&amp;col=6&amp;number=3.4&amp;sourceID=14","3.4")</f>
        <v>3.4</v>
      </c>
      <c r="G9808" s="4" t="str">
        <f>HYPERLINK("http://141.218.60.56/~jnz1568/getInfo.php?workbook=12_04.xlsx&amp;sheet=U0&amp;row=9808&amp;col=7&amp;number=0.000395&amp;sourceID=14","0.000395")</f>
        <v>0.000395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HYPERLINK("http://141.218.60.56/~jnz1568/getInfo.php?workbook=12_04.xlsx&amp;sheet=U0&amp;row=9809&amp;col=6&amp;number=3.5&amp;sourceID=14","3.5")</f>
        <v>3.5</v>
      </c>
      <c r="G9809" s="4" t="str">
        <f>HYPERLINK("http://141.218.60.56/~jnz1568/getInfo.php?workbook=12_04.xlsx&amp;sheet=U0&amp;row=9809&amp;col=7&amp;number=0.000395&amp;sourceID=14","0.000395")</f>
        <v>0.000395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HYPERLINK("http://141.218.60.56/~jnz1568/getInfo.php?workbook=12_04.xlsx&amp;sheet=U0&amp;row=9810&amp;col=6&amp;number=3.6&amp;sourceID=14","3.6")</f>
        <v>3.6</v>
      </c>
      <c r="G9810" s="4" t="str">
        <f>HYPERLINK("http://141.218.60.56/~jnz1568/getInfo.php?workbook=12_04.xlsx&amp;sheet=U0&amp;row=9810&amp;col=7&amp;number=0.000394&amp;sourceID=14","0.000394")</f>
        <v>0.000394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HYPERLINK("http://141.218.60.56/~jnz1568/getInfo.php?workbook=12_04.xlsx&amp;sheet=U0&amp;row=9811&amp;col=6&amp;number=3.7&amp;sourceID=14","3.7")</f>
        <v>3.7</v>
      </c>
      <c r="G9811" s="4" t="str">
        <f>HYPERLINK("http://141.218.60.56/~jnz1568/getInfo.php?workbook=12_04.xlsx&amp;sheet=U0&amp;row=9811&amp;col=7&amp;number=0.000394&amp;sourceID=14","0.000394")</f>
        <v>0.000394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HYPERLINK("http://141.218.60.56/~jnz1568/getInfo.php?workbook=12_04.xlsx&amp;sheet=U0&amp;row=9812&amp;col=6&amp;number=3.8&amp;sourceID=14","3.8")</f>
        <v>3.8</v>
      </c>
      <c r="G9812" s="4" t="str">
        <f>HYPERLINK("http://141.218.60.56/~jnz1568/getInfo.php?workbook=12_04.xlsx&amp;sheet=U0&amp;row=9812&amp;col=7&amp;number=0.000394&amp;sourceID=14","0.000394")</f>
        <v>0.000394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HYPERLINK("http://141.218.60.56/~jnz1568/getInfo.php?workbook=12_04.xlsx&amp;sheet=U0&amp;row=9813&amp;col=6&amp;number=3.9&amp;sourceID=14","3.9")</f>
        <v>3.9</v>
      </c>
      <c r="G9813" s="4" t="str">
        <f>HYPERLINK("http://141.218.60.56/~jnz1568/getInfo.php?workbook=12_04.xlsx&amp;sheet=U0&amp;row=9813&amp;col=7&amp;number=0.000394&amp;sourceID=14","0.000394")</f>
        <v>0.000394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HYPERLINK("http://141.218.60.56/~jnz1568/getInfo.php?workbook=12_04.xlsx&amp;sheet=U0&amp;row=9814&amp;col=6&amp;number=4&amp;sourceID=14","4")</f>
        <v>4</v>
      </c>
      <c r="G9814" s="4" t="str">
        <f>HYPERLINK("http://141.218.60.56/~jnz1568/getInfo.php?workbook=12_04.xlsx&amp;sheet=U0&amp;row=9814&amp;col=7&amp;number=0.000394&amp;sourceID=14","0.000394")</f>
        <v>0.000394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HYPERLINK("http://141.218.60.56/~jnz1568/getInfo.php?workbook=12_04.xlsx&amp;sheet=U0&amp;row=9815&amp;col=6&amp;number=4.1&amp;sourceID=14","4.1")</f>
        <v>4.1</v>
      </c>
      <c r="G9815" s="4" t="str">
        <f>HYPERLINK("http://141.218.60.56/~jnz1568/getInfo.php?workbook=12_04.xlsx&amp;sheet=U0&amp;row=9815&amp;col=7&amp;number=0.000394&amp;sourceID=14","0.000394")</f>
        <v>0.000394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HYPERLINK("http://141.218.60.56/~jnz1568/getInfo.php?workbook=12_04.xlsx&amp;sheet=U0&amp;row=9816&amp;col=6&amp;number=4.2&amp;sourceID=14","4.2")</f>
        <v>4.2</v>
      </c>
      <c r="G9816" s="4" t="str">
        <f>HYPERLINK("http://141.218.60.56/~jnz1568/getInfo.php?workbook=12_04.xlsx&amp;sheet=U0&amp;row=9816&amp;col=7&amp;number=0.000394&amp;sourceID=14","0.000394")</f>
        <v>0.000394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HYPERLINK("http://141.218.60.56/~jnz1568/getInfo.php?workbook=12_04.xlsx&amp;sheet=U0&amp;row=9817&amp;col=6&amp;number=4.3&amp;sourceID=14","4.3")</f>
        <v>4.3</v>
      </c>
      <c r="G9817" s="4" t="str">
        <f>HYPERLINK("http://141.218.60.56/~jnz1568/getInfo.php?workbook=12_04.xlsx&amp;sheet=U0&amp;row=9817&amp;col=7&amp;number=0.000394&amp;sourceID=14","0.000394")</f>
        <v>0.000394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HYPERLINK("http://141.218.60.56/~jnz1568/getInfo.php?workbook=12_04.xlsx&amp;sheet=U0&amp;row=9818&amp;col=6&amp;number=4.4&amp;sourceID=14","4.4")</f>
        <v>4.4</v>
      </c>
      <c r="G9818" s="4" t="str">
        <f>HYPERLINK("http://141.218.60.56/~jnz1568/getInfo.php?workbook=12_04.xlsx&amp;sheet=U0&amp;row=9818&amp;col=7&amp;number=0.000393&amp;sourceID=14","0.000393")</f>
        <v>0.000393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HYPERLINK("http://141.218.60.56/~jnz1568/getInfo.php?workbook=12_04.xlsx&amp;sheet=U0&amp;row=9819&amp;col=6&amp;number=4.5&amp;sourceID=14","4.5")</f>
        <v>4.5</v>
      </c>
      <c r="G9819" s="4" t="str">
        <f>HYPERLINK("http://141.218.60.56/~jnz1568/getInfo.php?workbook=12_04.xlsx&amp;sheet=U0&amp;row=9819&amp;col=7&amp;number=0.000393&amp;sourceID=14","0.000393")</f>
        <v>0.000393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HYPERLINK("http://141.218.60.56/~jnz1568/getInfo.php?workbook=12_04.xlsx&amp;sheet=U0&amp;row=9820&amp;col=6&amp;number=4.6&amp;sourceID=14","4.6")</f>
        <v>4.6</v>
      </c>
      <c r="G9820" s="4" t="str">
        <f>HYPERLINK("http://141.218.60.56/~jnz1568/getInfo.php?workbook=12_04.xlsx&amp;sheet=U0&amp;row=9820&amp;col=7&amp;number=0.000393&amp;sourceID=14","0.000393")</f>
        <v>0.000393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HYPERLINK("http://141.218.60.56/~jnz1568/getInfo.php?workbook=12_04.xlsx&amp;sheet=U0&amp;row=9821&amp;col=6&amp;number=4.7&amp;sourceID=14","4.7")</f>
        <v>4.7</v>
      </c>
      <c r="G9821" s="4" t="str">
        <f>HYPERLINK("http://141.218.60.56/~jnz1568/getInfo.php?workbook=12_04.xlsx&amp;sheet=U0&amp;row=9821&amp;col=7&amp;number=0.000392&amp;sourceID=14","0.000392")</f>
        <v>0.000392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HYPERLINK("http://141.218.60.56/~jnz1568/getInfo.php?workbook=12_04.xlsx&amp;sheet=U0&amp;row=9822&amp;col=6&amp;number=4.8&amp;sourceID=14","4.8")</f>
        <v>4.8</v>
      </c>
      <c r="G9822" s="4" t="str">
        <f>HYPERLINK("http://141.218.60.56/~jnz1568/getInfo.php?workbook=12_04.xlsx&amp;sheet=U0&amp;row=9822&amp;col=7&amp;number=0.000391&amp;sourceID=14","0.000391")</f>
        <v>0.000391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HYPERLINK("http://141.218.60.56/~jnz1568/getInfo.php?workbook=12_04.xlsx&amp;sheet=U0&amp;row=9823&amp;col=6&amp;number=4.9&amp;sourceID=14","4.9")</f>
        <v>4.9</v>
      </c>
      <c r="G9823" s="4" t="str">
        <f>HYPERLINK("http://141.218.60.56/~jnz1568/getInfo.php?workbook=12_04.xlsx&amp;sheet=U0&amp;row=9823&amp;col=7&amp;number=0.00039&amp;sourceID=14","0.00039")</f>
        <v>0.00039</v>
      </c>
    </row>
    <row r="9824" spans="1:7">
      <c r="A9824" s="3">
        <v>12</v>
      </c>
      <c r="B9824" s="3">
        <v>4</v>
      </c>
      <c r="C9824" s="3">
        <v>2</v>
      </c>
      <c r="D9824" s="3">
        <v>105</v>
      </c>
      <c r="E9824" s="3">
        <v>1</v>
      </c>
      <c r="F9824" s="4" t="str">
        <f>HYPERLINK("http://141.218.60.56/~jnz1568/getInfo.php?workbook=12_04.xlsx&amp;sheet=U0&amp;row=9824&amp;col=6&amp;number=3&amp;sourceID=14","3")</f>
        <v>3</v>
      </c>
      <c r="G9824" s="4" t="str">
        <f>HYPERLINK("http://141.218.60.56/~jnz1568/getInfo.php?workbook=12_04.xlsx&amp;sheet=U0&amp;row=9824&amp;col=7&amp;number=0.00561&amp;sourceID=14","0.00561")</f>
        <v>0.00561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HYPERLINK("http://141.218.60.56/~jnz1568/getInfo.php?workbook=12_04.xlsx&amp;sheet=U0&amp;row=9825&amp;col=6&amp;number=3.1&amp;sourceID=14","3.1")</f>
        <v>3.1</v>
      </c>
      <c r="G9825" s="4" t="str">
        <f>HYPERLINK("http://141.218.60.56/~jnz1568/getInfo.php?workbook=12_04.xlsx&amp;sheet=U0&amp;row=9825&amp;col=7&amp;number=0.00561&amp;sourceID=14","0.00561")</f>
        <v>0.00561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HYPERLINK("http://141.218.60.56/~jnz1568/getInfo.php?workbook=12_04.xlsx&amp;sheet=U0&amp;row=9826&amp;col=6&amp;number=3.2&amp;sourceID=14","3.2")</f>
        <v>3.2</v>
      </c>
      <c r="G9826" s="4" t="str">
        <f>HYPERLINK("http://141.218.60.56/~jnz1568/getInfo.php?workbook=12_04.xlsx&amp;sheet=U0&amp;row=9826&amp;col=7&amp;number=0.00561&amp;sourceID=14","0.00561")</f>
        <v>0.00561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HYPERLINK("http://141.218.60.56/~jnz1568/getInfo.php?workbook=12_04.xlsx&amp;sheet=U0&amp;row=9827&amp;col=6&amp;number=3.3&amp;sourceID=14","3.3")</f>
        <v>3.3</v>
      </c>
      <c r="G9827" s="4" t="str">
        <f>HYPERLINK("http://141.218.60.56/~jnz1568/getInfo.php?workbook=12_04.xlsx&amp;sheet=U0&amp;row=9827&amp;col=7&amp;number=0.00562&amp;sourceID=14","0.00562")</f>
        <v>0.00562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HYPERLINK("http://141.218.60.56/~jnz1568/getInfo.php?workbook=12_04.xlsx&amp;sheet=U0&amp;row=9828&amp;col=6&amp;number=3.4&amp;sourceID=14","3.4")</f>
        <v>3.4</v>
      </c>
      <c r="G9828" s="4" t="str">
        <f>HYPERLINK("http://141.218.60.56/~jnz1568/getInfo.php?workbook=12_04.xlsx&amp;sheet=U0&amp;row=9828&amp;col=7&amp;number=0.00562&amp;sourceID=14","0.00562")</f>
        <v>0.00562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HYPERLINK("http://141.218.60.56/~jnz1568/getInfo.php?workbook=12_04.xlsx&amp;sheet=U0&amp;row=9829&amp;col=6&amp;number=3.5&amp;sourceID=14","3.5")</f>
        <v>3.5</v>
      </c>
      <c r="G9829" s="4" t="str">
        <f>HYPERLINK("http://141.218.60.56/~jnz1568/getInfo.php?workbook=12_04.xlsx&amp;sheet=U0&amp;row=9829&amp;col=7&amp;number=0.00562&amp;sourceID=14","0.00562")</f>
        <v>0.00562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HYPERLINK("http://141.218.60.56/~jnz1568/getInfo.php?workbook=12_04.xlsx&amp;sheet=U0&amp;row=9830&amp;col=6&amp;number=3.6&amp;sourceID=14","3.6")</f>
        <v>3.6</v>
      </c>
      <c r="G9830" s="4" t="str">
        <f>HYPERLINK("http://141.218.60.56/~jnz1568/getInfo.php?workbook=12_04.xlsx&amp;sheet=U0&amp;row=9830&amp;col=7&amp;number=0.00562&amp;sourceID=14","0.00562")</f>
        <v>0.00562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HYPERLINK("http://141.218.60.56/~jnz1568/getInfo.php?workbook=12_04.xlsx&amp;sheet=U0&amp;row=9831&amp;col=6&amp;number=3.7&amp;sourceID=14","3.7")</f>
        <v>3.7</v>
      </c>
      <c r="G9831" s="4" t="str">
        <f>HYPERLINK("http://141.218.60.56/~jnz1568/getInfo.php?workbook=12_04.xlsx&amp;sheet=U0&amp;row=9831&amp;col=7&amp;number=0.00562&amp;sourceID=14","0.00562")</f>
        <v>0.00562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HYPERLINK("http://141.218.60.56/~jnz1568/getInfo.php?workbook=12_04.xlsx&amp;sheet=U0&amp;row=9832&amp;col=6&amp;number=3.8&amp;sourceID=14","3.8")</f>
        <v>3.8</v>
      </c>
      <c r="G9832" s="4" t="str">
        <f>HYPERLINK("http://141.218.60.56/~jnz1568/getInfo.php?workbook=12_04.xlsx&amp;sheet=U0&amp;row=9832&amp;col=7&amp;number=0.00562&amp;sourceID=14","0.00562")</f>
        <v>0.00562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HYPERLINK("http://141.218.60.56/~jnz1568/getInfo.php?workbook=12_04.xlsx&amp;sheet=U0&amp;row=9833&amp;col=6&amp;number=3.9&amp;sourceID=14","3.9")</f>
        <v>3.9</v>
      </c>
      <c r="G9833" s="4" t="str">
        <f>HYPERLINK("http://141.218.60.56/~jnz1568/getInfo.php?workbook=12_04.xlsx&amp;sheet=U0&amp;row=9833&amp;col=7&amp;number=0.00563&amp;sourceID=14","0.00563")</f>
        <v>0.00563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HYPERLINK("http://141.218.60.56/~jnz1568/getInfo.php?workbook=12_04.xlsx&amp;sheet=U0&amp;row=9834&amp;col=6&amp;number=4&amp;sourceID=14","4")</f>
        <v>4</v>
      </c>
      <c r="G9834" s="4" t="str">
        <f>HYPERLINK("http://141.218.60.56/~jnz1568/getInfo.php?workbook=12_04.xlsx&amp;sheet=U0&amp;row=9834&amp;col=7&amp;number=0.00563&amp;sourceID=14","0.00563")</f>
        <v>0.00563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HYPERLINK("http://141.218.60.56/~jnz1568/getInfo.php?workbook=12_04.xlsx&amp;sheet=U0&amp;row=9835&amp;col=6&amp;number=4.1&amp;sourceID=14","4.1")</f>
        <v>4.1</v>
      </c>
      <c r="G9835" s="4" t="str">
        <f>HYPERLINK("http://141.218.60.56/~jnz1568/getInfo.php?workbook=12_04.xlsx&amp;sheet=U0&amp;row=9835&amp;col=7&amp;number=0.00564&amp;sourceID=14","0.00564")</f>
        <v>0.00564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HYPERLINK("http://141.218.60.56/~jnz1568/getInfo.php?workbook=12_04.xlsx&amp;sheet=U0&amp;row=9836&amp;col=6&amp;number=4.2&amp;sourceID=14","4.2")</f>
        <v>4.2</v>
      </c>
      <c r="G9836" s="4" t="str">
        <f>HYPERLINK("http://141.218.60.56/~jnz1568/getInfo.php?workbook=12_04.xlsx&amp;sheet=U0&amp;row=9836&amp;col=7&amp;number=0.00565&amp;sourceID=14","0.00565")</f>
        <v>0.00565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HYPERLINK("http://141.218.60.56/~jnz1568/getInfo.php?workbook=12_04.xlsx&amp;sheet=U0&amp;row=9837&amp;col=6&amp;number=4.3&amp;sourceID=14","4.3")</f>
        <v>4.3</v>
      </c>
      <c r="G9837" s="4" t="str">
        <f>HYPERLINK("http://141.218.60.56/~jnz1568/getInfo.php?workbook=12_04.xlsx&amp;sheet=U0&amp;row=9837&amp;col=7&amp;number=0.00565&amp;sourceID=14","0.00565")</f>
        <v>0.00565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HYPERLINK("http://141.218.60.56/~jnz1568/getInfo.php?workbook=12_04.xlsx&amp;sheet=U0&amp;row=9838&amp;col=6&amp;number=4.4&amp;sourceID=14","4.4")</f>
        <v>4.4</v>
      </c>
      <c r="G9838" s="4" t="str">
        <f>HYPERLINK("http://141.218.60.56/~jnz1568/getInfo.php?workbook=12_04.xlsx&amp;sheet=U0&amp;row=9838&amp;col=7&amp;number=0.00567&amp;sourceID=14","0.00567")</f>
        <v>0.00567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HYPERLINK("http://141.218.60.56/~jnz1568/getInfo.php?workbook=12_04.xlsx&amp;sheet=U0&amp;row=9839&amp;col=6&amp;number=4.5&amp;sourceID=14","4.5")</f>
        <v>4.5</v>
      </c>
      <c r="G9839" s="4" t="str">
        <f>HYPERLINK("http://141.218.60.56/~jnz1568/getInfo.php?workbook=12_04.xlsx&amp;sheet=U0&amp;row=9839&amp;col=7&amp;number=0.00568&amp;sourceID=14","0.00568")</f>
        <v>0.00568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HYPERLINK("http://141.218.60.56/~jnz1568/getInfo.php?workbook=12_04.xlsx&amp;sheet=U0&amp;row=9840&amp;col=6&amp;number=4.6&amp;sourceID=14","4.6")</f>
        <v>4.6</v>
      </c>
      <c r="G9840" s="4" t="str">
        <f>HYPERLINK("http://141.218.60.56/~jnz1568/getInfo.php?workbook=12_04.xlsx&amp;sheet=U0&amp;row=9840&amp;col=7&amp;number=0.0057&amp;sourceID=14","0.0057")</f>
        <v>0.0057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HYPERLINK("http://141.218.60.56/~jnz1568/getInfo.php?workbook=12_04.xlsx&amp;sheet=U0&amp;row=9841&amp;col=6&amp;number=4.7&amp;sourceID=14","4.7")</f>
        <v>4.7</v>
      </c>
      <c r="G9841" s="4" t="str">
        <f>HYPERLINK("http://141.218.60.56/~jnz1568/getInfo.php?workbook=12_04.xlsx&amp;sheet=U0&amp;row=9841&amp;col=7&amp;number=0.00572&amp;sourceID=14","0.00572")</f>
        <v>0.00572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HYPERLINK("http://141.218.60.56/~jnz1568/getInfo.php?workbook=12_04.xlsx&amp;sheet=U0&amp;row=9842&amp;col=6&amp;number=4.8&amp;sourceID=14","4.8")</f>
        <v>4.8</v>
      </c>
      <c r="G9842" s="4" t="str">
        <f>HYPERLINK("http://141.218.60.56/~jnz1568/getInfo.php?workbook=12_04.xlsx&amp;sheet=U0&amp;row=9842&amp;col=7&amp;number=0.00575&amp;sourceID=14","0.00575")</f>
        <v>0.00575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HYPERLINK("http://141.218.60.56/~jnz1568/getInfo.php?workbook=12_04.xlsx&amp;sheet=U0&amp;row=9843&amp;col=6&amp;number=4.9&amp;sourceID=14","4.9")</f>
        <v>4.9</v>
      </c>
      <c r="G9843" s="4" t="str">
        <f>HYPERLINK("http://141.218.60.56/~jnz1568/getInfo.php?workbook=12_04.xlsx&amp;sheet=U0&amp;row=9843&amp;col=7&amp;number=0.00578&amp;sourceID=14","0.00578")</f>
        <v>0.00578</v>
      </c>
    </row>
    <row r="9844" spans="1:7">
      <c r="A9844" s="3">
        <v>12</v>
      </c>
      <c r="B9844" s="3">
        <v>4</v>
      </c>
      <c r="C9844" s="3">
        <v>2</v>
      </c>
      <c r="D9844" s="3">
        <v>106</v>
      </c>
      <c r="E9844" s="3">
        <v>1</v>
      </c>
      <c r="F9844" s="4" t="str">
        <f>HYPERLINK("http://141.218.60.56/~jnz1568/getInfo.php?workbook=12_04.xlsx&amp;sheet=U0&amp;row=9844&amp;col=6&amp;number=3&amp;sourceID=14","3")</f>
        <v>3</v>
      </c>
      <c r="G9844" s="4" t="str">
        <f>HYPERLINK("http://141.218.60.56/~jnz1568/getInfo.php?workbook=12_04.xlsx&amp;sheet=U0&amp;row=9844&amp;col=7&amp;number=0.00129&amp;sourceID=14","0.00129")</f>
        <v>0.00129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HYPERLINK("http://141.218.60.56/~jnz1568/getInfo.php?workbook=12_04.xlsx&amp;sheet=U0&amp;row=9845&amp;col=6&amp;number=3.1&amp;sourceID=14","3.1")</f>
        <v>3.1</v>
      </c>
      <c r="G9845" s="4" t="str">
        <f>HYPERLINK("http://141.218.60.56/~jnz1568/getInfo.php?workbook=12_04.xlsx&amp;sheet=U0&amp;row=9845&amp;col=7&amp;number=0.00129&amp;sourceID=14","0.00129")</f>
        <v>0.00129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HYPERLINK("http://141.218.60.56/~jnz1568/getInfo.php?workbook=12_04.xlsx&amp;sheet=U0&amp;row=9846&amp;col=6&amp;number=3.2&amp;sourceID=14","3.2")</f>
        <v>3.2</v>
      </c>
      <c r="G9846" s="4" t="str">
        <f>HYPERLINK("http://141.218.60.56/~jnz1568/getInfo.php?workbook=12_04.xlsx&amp;sheet=U0&amp;row=9846&amp;col=7&amp;number=0.00129&amp;sourceID=14","0.00129")</f>
        <v>0.00129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HYPERLINK("http://141.218.60.56/~jnz1568/getInfo.php?workbook=12_04.xlsx&amp;sheet=U0&amp;row=9847&amp;col=6&amp;number=3.3&amp;sourceID=14","3.3")</f>
        <v>3.3</v>
      </c>
      <c r="G9847" s="4" t="str">
        <f>HYPERLINK("http://141.218.60.56/~jnz1568/getInfo.php?workbook=12_04.xlsx&amp;sheet=U0&amp;row=9847&amp;col=7&amp;number=0.00129&amp;sourceID=14","0.00129")</f>
        <v>0.00129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HYPERLINK("http://141.218.60.56/~jnz1568/getInfo.php?workbook=12_04.xlsx&amp;sheet=U0&amp;row=9848&amp;col=6&amp;number=3.4&amp;sourceID=14","3.4")</f>
        <v>3.4</v>
      </c>
      <c r="G9848" s="4" t="str">
        <f>HYPERLINK("http://141.218.60.56/~jnz1568/getInfo.php?workbook=12_04.xlsx&amp;sheet=U0&amp;row=9848&amp;col=7&amp;number=0.00129&amp;sourceID=14","0.00129")</f>
        <v>0.00129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HYPERLINK("http://141.218.60.56/~jnz1568/getInfo.php?workbook=12_04.xlsx&amp;sheet=U0&amp;row=9849&amp;col=6&amp;number=3.5&amp;sourceID=14","3.5")</f>
        <v>3.5</v>
      </c>
      <c r="G9849" s="4" t="str">
        <f>HYPERLINK("http://141.218.60.56/~jnz1568/getInfo.php?workbook=12_04.xlsx&amp;sheet=U0&amp;row=9849&amp;col=7&amp;number=0.00129&amp;sourceID=14","0.00129")</f>
        <v>0.00129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HYPERLINK("http://141.218.60.56/~jnz1568/getInfo.php?workbook=12_04.xlsx&amp;sheet=U0&amp;row=9850&amp;col=6&amp;number=3.6&amp;sourceID=14","3.6")</f>
        <v>3.6</v>
      </c>
      <c r="G9850" s="4" t="str">
        <f>HYPERLINK("http://141.218.60.56/~jnz1568/getInfo.php?workbook=12_04.xlsx&amp;sheet=U0&amp;row=9850&amp;col=7&amp;number=0.00129&amp;sourceID=14","0.00129")</f>
        <v>0.00129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HYPERLINK("http://141.218.60.56/~jnz1568/getInfo.php?workbook=12_04.xlsx&amp;sheet=U0&amp;row=9851&amp;col=6&amp;number=3.7&amp;sourceID=14","3.7")</f>
        <v>3.7</v>
      </c>
      <c r="G9851" s="4" t="str">
        <f>HYPERLINK("http://141.218.60.56/~jnz1568/getInfo.php?workbook=12_04.xlsx&amp;sheet=U0&amp;row=9851&amp;col=7&amp;number=0.00129&amp;sourceID=14","0.00129")</f>
        <v>0.00129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HYPERLINK("http://141.218.60.56/~jnz1568/getInfo.php?workbook=12_04.xlsx&amp;sheet=U0&amp;row=9852&amp;col=6&amp;number=3.8&amp;sourceID=14","3.8")</f>
        <v>3.8</v>
      </c>
      <c r="G9852" s="4" t="str">
        <f>HYPERLINK("http://141.218.60.56/~jnz1568/getInfo.php?workbook=12_04.xlsx&amp;sheet=U0&amp;row=9852&amp;col=7&amp;number=0.00129&amp;sourceID=14","0.00129")</f>
        <v>0.00129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HYPERLINK("http://141.218.60.56/~jnz1568/getInfo.php?workbook=12_04.xlsx&amp;sheet=U0&amp;row=9853&amp;col=6&amp;number=3.9&amp;sourceID=14","3.9")</f>
        <v>3.9</v>
      </c>
      <c r="G9853" s="4" t="str">
        <f>HYPERLINK("http://141.218.60.56/~jnz1568/getInfo.php?workbook=12_04.xlsx&amp;sheet=U0&amp;row=9853&amp;col=7&amp;number=0.00129&amp;sourceID=14","0.00129")</f>
        <v>0.00129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HYPERLINK("http://141.218.60.56/~jnz1568/getInfo.php?workbook=12_04.xlsx&amp;sheet=U0&amp;row=9854&amp;col=6&amp;number=4&amp;sourceID=14","4")</f>
        <v>4</v>
      </c>
      <c r="G9854" s="4" t="str">
        <f>HYPERLINK("http://141.218.60.56/~jnz1568/getInfo.php?workbook=12_04.xlsx&amp;sheet=U0&amp;row=9854&amp;col=7&amp;number=0.00129&amp;sourceID=14","0.00129")</f>
        <v>0.00129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HYPERLINK("http://141.218.60.56/~jnz1568/getInfo.php?workbook=12_04.xlsx&amp;sheet=U0&amp;row=9855&amp;col=6&amp;number=4.1&amp;sourceID=14","4.1")</f>
        <v>4.1</v>
      </c>
      <c r="G9855" s="4" t="str">
        <f>HYPERLINK("http://141.218.60.56/~jnz1568/getInfo.php?workbook=12_04.xlsx&amp;sheet=U0&amp;row=9855&amp;col=7&amp;number=0.00129&amp;sourceID=14","0.00129")</f>
        <v>0.00129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HYPERLINK("http://141.218.60.56/~jnz1568/getInfo.php?workbook=12_04.xlsx&amp;sheet=U0&amp;row=9856&amp;col=6&amp;number=4.2&amp;sourceID=14","4.2")</f>
        <v>4.2</v>
      </c>
      <c r="G9856" s="4" t="str">
        <f>HYPERLINK("http://141.218.60.56/~jnz1568/getInfo.php?workbook=12_04.xlsx&amp;sheet=U0&amp;row=9856&amp;col=7&amp;number=0.00129&amp;sourceID=14","0.00129")</f>
        <v>0.00129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HYPERLINK("http://141.218.60.56/~jnz1568/getInfo.php?workbook=12_04.xlsx&amp;sheet=U0&amp;row=9857&amp;col=6&amp;number=4.3&amp;sourceID=14","4.3")</f>
        <v>4.3</v>
      </c>
      <c r="G9857" s="4" t="str">
        <f>HYPERLINK("http://141.218.60.56/~jnz1568/getInfo.php?workbook=12_04.xlsx&amp;sheet=U0&amp;row=9857&amp;col=7&amp;number=0.00129&amp;sourceID=14","0.00129")</f>
        <v>0.00129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HYPERLINK("http://141.218.60.56/~jnz1568/getInfo.php?workbook=12_04.xlsx&amp;sheet=U0&amp;row=9858&amp;col=6&amp;number=4.4&amp;sourceID=14","4.4")</f>
        <v>4.4</v>
      </c>
      <c r="G9858" s="4" t="str">
        <f>HYPERLINK("http://141.218.60.56/~jnz1568/getInfo.php?workbook=12_04.xlsx&amp;sheet=U0&amp;row=9858&amp;col=7&amp;number=0.00129&amp;sourceID=14","0.00129")</f>
        <v>0.00129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HYPERLINK("http://141.218.60.56/~jnz1568/getInfo.php?workbook=12_04.xlsx&amp;sheet=U0&amp;row=9859&amp;col=6&amp;number=4.5&amp;sourceID=14","4.5")</f>
        <v>4.5</v>
      </c>
      <c r="G9859" s="4" t="str">
        <f>HYPERLINK("http://141.218.60.56/~jnz1568/getInfo.php?workbook=12_04.xlsx&amp;sheet=U0&amp;row=9859&amp;col=7&amp;number=0.00128&amp;sourceID=14","0.00128")</f>
        <v>0.00128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HYPERLINK("http://141.218.60.56/~jnz1568/getInfo.php?workbook=12_04.xlsx&amp;sheet=U0&amp;row=9860&amp;col=6&amp;number=4.6&amp;sourceID=14","4.6")</f>
        <v>4.6</v>
      </c>
      <c r="G9860" s="4" t="str">
        <f>HYPERLINK("http://141.218.60.56/~jnz1568/getInfo.php?workbook=12_04.xlsx&amp;sheet=U0&amp;row=9860&amp;col=7&amp;number=0.00128&amp;sourceID=14","0.00128")</f>
        <v>0.00128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HYPERLINK("http://141.218.60.56/~jnz1568/getInfo.php?workbook=12_04.xlsx&amp;sheet=U0&amp;row=9861&amp;col=6&amp;number=4.7&amp;sourceID=14","4.7")</f>
        <v>4.7</v>
      </c>
      <c r="G9861" s="4" t="str">
        <f>HYPERLINK("http://141.218.60.56/~jnz1568/getInfo.php?workbook=12_04.xlsx&amp;sheet=U0&amp;row=9861&amp;col=7&amp;number=0.00128&amp;sourceID=14","0.00128")</f>
        <v>0.00128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HYPERLINK("http://141.218.60.56/~jnz1568/getInfo.php?workbook=12_04.xlsx&amp;sheet=U0&amp;row=9862&amp;col=6&amp;number=4.8&amp;sourceID=14","4.8")</f>
        <v>4.8</v>
      </c>
      <c r="G9862" s="4" t="str">
        <f>HYPERLINK("http://141.218.60.56/~jnz1568/getInfo.php?workbook=12_04.xlsx&amp;sheet=U0&amp;row=9862&amp;col=7&amp;number=0.00127&amp;sourceID=14","0.00127")</f>
        <v>0.00127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HYPERLINK("http://141.218.60.56/~jnz1568/getInfo.php?workbook=12_04.xlsx&amp;sheet=U0&amp;row=9863&amp;col=6&amp;number=4.9&amp;sourceID=14","4.9")</f>
        <v>4.9</v>
      </c>
      <c r="G9863" s="4" t="str">
        <f>HYPERLINK("http://141.218.60.56/~jnz1568/getInfo.php?workbook=12_04.xlsx&amp;sheet=U0&amp;row=9863&amp;col=7&amp;number=0.00127&amp;sourceID=14","0.00127")</f>
        <v>0.00127</v>
      </c>
    </row>
    <row r="9864" spans="1:7">
      <c r="A9864" s="3">
        <v>12</v>
      </c>
      <c r="B9864" s="3">
        <v>4</v>
      </c>
      <c r="C9864" s="3">
        <v>2</v>
      </c>
      <c r="D9864" s="3">
        <v>107</v>
      </c>
      <c r="E9864" s="3">
        <v>1</v>
      </c>
      <c r="F9864" s="4" t="str">
        <f>HYPERLINK("http://141.218.60.56/~jnz1568/getInfo.php?workbook=12_04.xlsx&amp;sheet=U0&amp;row=9864&amp;col=6&amp;number=3&amp;sourceID=14","3")</f>
        <v>3</v>
      </c>
      <c r="G9864" s="4" t="str">
        <f>HYPERLINK("http://141.218.60.56/~jnz1568/getInfo.php?workbook=12_04.xlsx&amp;sheet=U0&amp;row=9864&amp;col=7&amp;number=0.000962&amp;sourceID=14","0.000962")</f>
        <v>0.000962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HYPERLINK("http://141.218.60.56/~jnz1568/getInfo.php?workbook=12_04.xlsx&amp;sheet=U0&amp;row=9865&amp;col=6&amp;number=3.1&amp;sourceID=14","3.1")</f>
        <v>3.1</v>
      </c>
      <c r="G9865" s="4" t="str">
        <f>HYPERLINK("http://141.218.60.56/~jnz1568/getInfo.php?workbook=12_04.xlsx&amp;sheet=U0&amp;row=9865&amp;col=7&amp;number=0.000962&amp;sourceID=14","0.000962")</f>
        <v>0.000962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HYPERLINK("http://141.218.60.56/~jnz1568/getInfo.php?workbook=12_04.xlsx&amp;sheet=U0&amp;row=9866&amp;col=6&amp;number=3.2&amp;sourceID=14","3.2")</f>
        <v>3.2</v>
      </c>
      <c r="G9866" s="4" t="str">
        <f>HYPERLINK("http://141.218.60.56/~jnz1568/getInfo.php?workbook=12_04.xlsx&amp;sheet=U0&amp;row=9866&amp;col=7&amp;number=0.000962&amp;sourceID=14","0.000962")</f>
        <v>0.000962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HYPERLINK("http://141.218.60.56/~jnz1568/getInfo.php?workbook=12_04.xlsx&amp;sheet=U0&amp;row=9867&amp;col=6&amp;number=3.3&amp;sourceID=14","3.3")</f>
        <v>3.3</v>
      </c>
      <c r="G9867" s="4" t="str">
        <f>HYPERLINK("http://141.218.60.56/~jnz1568/getInfo.php?workbook=12_04.xlsx&amp;sheet=U0&amp;row=9867&amp;col=7&amp;number=0.000962&amp;sourceID=14","0.000962")</f>
        <v>0.000962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HYPERLINK("http://141.218.60.56/~jnz1568/getInfo.php?workbook=12_04.xlsx&amp;sheet=U0&amp;row=9868&amp;col=6&amp;number=3.4&amp;sourceID=14","3.4")</f>
        <v>3.4</v>
      </c>
      <c r="G9868" s="4" t="str">
        <f>HYPERLINK("http://141.218.60.56/~jnz1568/getInfo.php?workbook=12_04.xlsx&amp;sheet=U0&amp;row=9868&amp;col=7&amp;number=0.000961&amp;sourceID=14","0.000961")</f>
        <v>0.000961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HYPERLINK("http://141.218.60.56/~jnz1568/getInfo.php?workbook=12_04.xlsx&amp;sheet=U0&amp;row=9869&amp;col=6&amp;number=3.5&amp;sourceID=14","3.5")</f>
        <v>3.5</v>
      </c>
      <c r="G9869" s="4" t="str">
        <f>HYPERLINK("http://141.218.60.56/~jnz1568/getInfo.php?workbook=12_04.xlsx&amp;sheet=U0&amp;row=9869&amp;col=7&amp;number=0.000961&amp;sourceID=14","0.000961")</f>
        <v>0.000961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HYPERLINK("http://141.218.60.56/~jnz1568/getInfo.php?workbook=12_04.xlsx&amp;sheet=U0&amp;row=9870&amp;col=6&amp;number=3.6&amp;sourceID=14","3.6")</f>
        <v>3.6</v>
      </c>
      <c r="G9870" s="4" t="str">
        <f>HYPERLINK("http://141.218.60.56/~jnz1568/getInfo.php?workbook=12_04.xlsx&amp;sheet=U0&amp;row=9870&amp;col=7&amp;number=0.000961&amp;sourceID=14","0.000961")</f>
        <v>0.000961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HYPERLINK("http://141.218.60.56/~jnz1568/getInfo.php?workbook=12_04.xlsx&amp;sheet=U0&amp;row=9871&amp;col=6&amp;number=3.7&amp;sourceID=14","3.7")</f>
        <v>3.7</v>
      </c>
      <c r="G9871" s="4" t="str">
        <f>HYPERLINK("http://141.218.60.56/~jnz1568/getInfo.php?workbook=12_04.xlsx&amp;sheet=U0&amp;row=9871&amp;col=7&amp;number=0.000961&amp;sourceID=14","0.000961")</f>
        <v>0.000961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HYPERLINK("http://141.218.60.56/~jnz1568/getInfo.php?workbook=12_04.xlsx&amp;sheet=U0&amp;row=9872&amp;col=6&amp;number=3.8&amp;sourceID=14","3.8")</f>
        <v>3.8</v>
      </c>
      <c r="G9872" s="4" t="str">
        <f>HYPERLINK("http://141.218.60.56/~jnz1568/getInfo.php?workbook=12_04.xlsx&amp;sheet=U0&amp;row=9872&amp;col=7&amp;number=0.000961&amp;sourceID=14","0.000961")</f>
        <v>0.000961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HYPERLINK("http://141.218.60.56/~jnz1568/getInfo.php?workbook=12_04.xlsx&amp;sheet=U0&amp;row=9873&amp;col=6&amp;number=3.9&amp;sourceID=14","3.9")</f>
        <v>3.9</v>
      </c>
      <c r="G9873" s="4" t="str">
        <f>HYPERLINK("http://141.218.60.56/~jnz1568/getInfo.php?workbook=12_04.xlsx&amp;sheet=U0&amp;row=9873&amp;col=7&amp;number=0.000961&amp;sourceID=14","0.000961")</f>
        <v>0.000961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HYPERLINK("http://141.218.60.56/~jnz1568/getInfo.php?workbook=12_04.xlsx&amp;sheet=U0&amp;row=9874&amp;col=6&amp;number=4&amp;sourceID=14","4")</f>
        <v>4</v>
      </c>
      <c r="G9874" s="4" t="str">
        <f>HYPERLINK("http://141.218.60.56/~jnz1568/getInfo.php?workbook=12_04.xlsx&amp;sheet=U0&amp;row=9874&amp;col=7&amp;number=0.00096&amp;sourceID=14","0.00096")</f>
        <v>0.00096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HYPERLINK("http://141.218.60.56/~jnz1568/getInfo.php?workbook=12_04.xlsx&amp;sheet=U0&amp;row=9875&amp;col=6&amp;number=4.1&amp;sourceID=14","4.1")</f>
        <v>4.1</v>
      </c>
      <c r="G9875" s="4" t="str">
        <f>HYPERLINK("http://141.218.60.56/~jnz1568/getInfo.php?workbook=12_04.xlsx&amp;sheet=U0&amp;row=9875&amp;col=7&amp;number=0.00096&amp;sourceID=14","0.00096")</f>
        <v>0.00096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HYPERLINK("http://141.218.60.56/~jnz1568/getInfo.php?workbook=12_04.xlsx&amp;sheet=U0&amp;row=9876&amp;col=6&amp;number=4.2&amp;sourceID=14","4.2")</f>
        <v>4.2</v>
      </c>
      <c r="G9876" s="4" t="str">
        <f>HYPERLINK("http://141.218.60.56/~jnz1568/getInfo.php?workbook=12_04.xlsx&amp;sheet=U0&amp;row=9876&amp;col=7&amp;number=0.00096&amp;sourceID=14","0.00096")</f>
        <v>0.00096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HYPERLINK("http://141.218.60.56/~jnz1568/getInfo.php?workbook=12_04.xlsx&amp;sheet=U0&amp;row=9877&amp;col=6&amp;number=4.3&amp;sourceID=14","4.3")</f>
        <v>4.3</v>
      </c>
      <c r="G9877" s="4" t="str">
        <f>HYPERLINK("http://141.218.60.56/~jnz1568/getInfo.php?workbook=12_04.xlsx&amp;sheet=U0&amp;row=9877&amp;col=7&amp;number=0.000959&amp;sourceID=14","0.000959")</f>
        <v>0.000959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HYPERLINK("http://141.218.60.56/~jnz1568/getInfo.php?workbook=12_04.xlsx&amp;sheet=U0&amp;row=9878&amp;col=6&amp;number=4.4&amp;sourceID=14","4.4")</f>
        <v>4.4</v>
      </c>
      <c r="G9878" s="4" t="str">
        <f>HYPERLINK("http://141.218.60.56/~jnz1568/getInfo.php?workbook=12_04.xlsx&amp;sheet=U0&amp;row=9878&amp;col=7&amp;number=0.000958&amp;sourceID=14","0.000958")</f>
        <v>0.000958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HYPERLINK("http://141.218.60.56/~jnz1568/getInfo.php?workbook=12_04.xlsx&amp;sheet=U0&amp;row=9879&amp;col=6&amp;number=4.5&amp;sourceID=14","4.5")</f>
        <v>4.5</v>
      </c>
      <c r="G9879" s="4" t="str">
        <f>HYPERLINK("http://141.218.60.56/~jnz1568/getInfo.php?workbook=12_04.xlsx&amp;sheet=U0&amp;row=9879&amp;col=7&amp;number=0.000957&amp;sourceID=14","0.000957")</f>
        <v>0.000957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HYPERLINK("http://141.218.60.56/~jnz1568/getInfo.php?workbook=12_04.xlsx&amp;sheet=U0&amp;row=9880&amp;col=6&amp;number=4.6&amp;sourceID=14","4.6")</f>
        <v>4.6</v>
      </c>
      <c r="G9880" s="4" t="str">
        <f>HYPERLINK("http://141.218.60.56/~jnz1568/getInfo.php?workbook=12_04.xlsx&amp;sheet=U0&amp;row=9880&amp;col=7&amp;number=0.000956&amp;sourceID=14","0.000956")</f>
        <v>0.000956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HYPERLINK("http://141.218.60.56/~jnz1568/getInfo.php?workbook=12_04.xlsx&amp;sheet=U0&amp;row=9881&amp;col=6&amp;number=4.7&amp;sourceID=14","4.7")</f>
        <v>4.7</v>
      </c>
      <c r="G9881" s="4" t="str">
        <f>HYPERLINK("http://141.218.60.56/~jnz1568/getInfo.php?workbook=12_04.xlsx&amp;sheet=U0&amp;row=9881&amp;col=7&amp;number=0.000955&amp;sourceID=14","0.000955")</f>
        <v>0.000955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HYPERLINK("http://141.218.60.56/~jnz1568/getInfo.php?workbook=12_04.xlsx&amp;sheet=U0&amp;row=9882&amp;col=6&amp;number=4.8&amp;sourceID=14","4.8")</f>
        <v>4.8</v>
      </c>
      <c r="G9882" s="4" t="str">
        <f>HYPERLINK("http://141.218.60.56/~jnz1568/getInfo.php?workbook=12_04.xlsx&amp;sheet=U0&amp;row=9882&amp;col=7&amp;number=0.000953&amp;sourceID=14","0.000953")</f>
        <v>0.000953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HYPERLINK("http://141.218.60.56/~jnz1568/getInfo.php?workbook=12_04.xlsx&amp;sheet=U0&amp;row=9883&amp;col=6&amp;number=4.9&amp;sourceID=14","4.9")</f>
        <v>4.9</v>
      </c>
      <c r="G9883" s="4" t="str">
        <f>HYPERLINK("http://141.218.60.56/~jnz1568/getInfo.php?workbook=12_04.xlsx&amp;sheet=U0&amp;row=9883&amp;col=7&amp;number=0.000951&amp;sourceID=14","0.000951")</f>
        <v>0.000951</v>
      </c>
    </row>
    <row r="9884" spans="1:7">
      <c r="A9884" s="3">
        <v>12</v>
      </c>
      <c r="B9884" s="3">
        <v>4</v>
      </c>
      <c r="C9884" s="3">
        <v>2</v>
      </c>
      <c r="D9884" s="3">
        <v>108</v>
      </c>
      <c r="E9884" s="3">
        <v>1</v>
      </c>
      <c r="F9884" s="4" t="str">
        <f>HYPERLINK("http://141.218.60.56/~jnz1568/getInfo.php?workbook=12_04.xlsx&amp;sheet=U0&amp;row=9884&amp;col=6&amp;number=3&amp;sourceID=14","3")</f>
        <v>3</v>
      </c>
      <c r="G9884" s="4" t="str">
        <f>HYPERLINK("http://141.218.60.56/~jnz1568/getInfo.php?workbook=12_04.xlsx&amp;sheet=U0&amp;row=9884&amp;col=7&amp;number=0.00152&amp;sourceID=14","0.00152")</f>
        <v>0.00152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HYPERLINK("http://141.218.60.56/~jnz1568/getInfo.php?workbook=12_04.xlsx&amp;sheet=U0&amp;row=9885&amp;col=6&amp;number=3.1&amp;sourceID=14","3.1")</f>
        <v>3.1</v>
      </c>
      <c r="G9885" s="4" t="str">
        <f>HYPERLINK("http://141.218.60.56/~jnz1568/getInfo.php?workbook=12_04.xlsx&amp;sheet=U0&amp;row=9885&amp;col=7&amp;number=0.00152&amp;sourceID=14","0.00152")</f>
        <v>0.00152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HYPERLINK("http://141.218.60.56/~jnz1568/getInfo.php?workbook=12_04.xlsx&amp;sheet=U0&amp;row=9886&amp;col=6&amp;number=3.2&amp;sourceID=14","3.2")</f>
        <v>3.2</v>
      </c>
      <c r="G9886" s="4" t="str">
        <f>HYPERLINK("http://141.218.60.56/~jnz1568/getInfo.php?workbook=12_04.xlsx&amp;sheet=U0&amp;row=9886&amp;col=7&amp;number=0.00152&amp;sourceID=14","0.00152")</f>
        <v>0.00152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HYPERLINK("http://141.218.60.56/~jnz1568/getInfo.php?workbook=12_04.xlsx&amp;sheet=U0&amp;row=9887&amp;col=6&amp;number=3.3&amp;sourceID=14","3.3")</f>
        <v>3.3</v>
      </c>
      <c r="G9887" s="4" t="str">
        <f>HYPERLINK("http://141.218.60.56/~jnz1568/getInfo.php?workbook=12_04.xlsx&amp;sheet=U0&amp;row=9887&amp;col=7&amp;number=0.00151&amp;sourceID=14","0.00151")</f>
        <v>0.00151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HYPERLINK("http://141.218.60.56/~jnz1568/getInfo.php?workbook=12_04.xlsx&amp;sheet=U0&amp;row=9888&amp;col=6&amp;number=3.4&amp;sourceID=14","3.4")</f>
        <v>3.4</v>
      </c>
      <c r="G9888" s="4" t="str">
        <f>HYPERLINK("http://141.218.60.56/~jnz1568/getInfo.php?workbook=12_04.xlsx&amp;sheet=U0&amp;row=9888&amp;col=7&amp;number=0.00151&amp;sourceID=14","0.00151")</f>
        <v>0.00151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HYPERLINK("http://141.218.60.56/~jnz1568/getInfo.php?workbook=12_04.xlsx&amp;sheet=U0&amp;row=9889&amp;col=6&amp;number=3.5&amp;sourceID=14","3.5")</f>
        <v>3.5</v>
      </c>
      <c r="G9889" s="4" t="str">
        <f>HYPERLINK("http://141.218.60.56/~jnz1568/getInfo.php?workbook=12_04.xlsx&amp;sheet=U0&amp;row=9889&amp;col=7&amp;number=0.00151&amp;sourceID=14","0.00151")</f>
        <v>0.00151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HYPERLINK("http://141.218.60.56/~jnz1568/getInfo.php?workbook=12_04.xlsx&amp;sheet=U0&amp;row=9890&amp;col=6&amp;number=3.6&amp;sourceID=14","3.6")</f>
        <v>3.6</v>
      </c>
      <c r="G9890" s="4" t="str">
        <f>HYPERLINK("http://141.218.60.56/~jnz1568/getInfo.php?workbook=12_04.xlsx&amp;sheet=U0&amp;row=9890&amp;col=7&amp;number=0.00151&amp;sourceID=14","0.00151")</f>
        <v>0.00151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HYPERLINK("http://141.218.60.56/~jnz1568/getInfo.php?workbook=12_04.xlsx&amp;sheet=U0&amp;row=9891&amp;col=6&amp;number=3.7&amp;sourceID=14","3.7")</f>
        <v>3.7</v>
      </c>
      <c r="G9891" s="4" t="str">
        <f>HYPERLINK("http://141.218.60.56/~jnz1568/getInfo.php?workbook=12_04.xlsx&amp;sheet=U0&amp;row=9891&amp;col=7&amp;number=0.00151&amp;sourceID=14","0.00151")</f>
        <v>0.00151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HYPERLINK("http://141.218.60.56/~jnz1568/getInfo.php?workbook=12_04.xlsx&amp;sheet=U0&amp;row=9892&amp;col=6&amp;number=3.8&amp;sourceID=14","3.8")</f>
        <v>3.8</v>
      </c>
      <c r="G9892" s="4" t="str">
        <f>HYPERLINK("http://141.218.60.56/~jnz1568/getInfo.php?workbook=12_04.xlsx&amp;sheet=U0&amp;row=9892&amp;col=7&amp;number=0.00151&amp;sourceID=14","0.00151")</f>
        <v>0.00151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HYPERLINK("http://141.218.60.56/~jnz1568/getInfo.php?workbook=12_04.xlsx&amp;sheet=U0&amp;row=9893&amp;col=6&amp;number=3.9&amp;sourceID=14","3.9")</f>
        <v>3.9</v>
      </c>
      <c r="G9893" s="4" t="str">
        <f>HYPERLINK("http://141.218.60.56/~jnz1568/getInfo.php?workbook=12_04.xlsx&amp;sheet=U0&amp;row=9893&amp;col=7&amp;number=0.00151&amp;sourceID=14","0.00151")</f>
        <v>0.00151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HYPERLINK("http://141.218.60.56/~jnz1568/getInfo.php?workbook=12_04.xlsx&amp;sheet=U0&amp;row=9894&amp;col=6&amp;number=4&amp;sourceID=14","4")</f>
        <v>4</v>
      </c>
      <c r="G9894" s="4" t="str">
        <f>HYPERLINK("http://141.218.60.56/~jnz1568/getInfo.php?workbook=12_04.xlsx&amp;sheet=U0&amp;row=9894&amp;col=7&amp;number=0.00151&amp;sourceID=14","0.00151")</f>
        <v>0.00151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HYPERLINK("http://141.218.60.56/~jnz1568/getInfo.php?workbook=12_04.xlsx&amp;sheet=U0&amp;row=9895&amp;col=6&amp;number=4.1&amp;sourceID=14","4.1")</f>
        <v>4.1</v>
      </c>
      <c r="G9895" s="4" t="str">
        <f>HYPERLINK("http://141.218.60.56/~jnz1568/getInfo.php?workbook=12_04.xlsx&amp;sheet=U0&amp;row=9895&amp;col=7&amp;number=0.00151&amp;sourceID=14","0.00151")</f>
        <v>0.00151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HYPERLINK("http://141.218.60.56/~jnz1568/getInfo.php?workbook=12_04.xlsx&amp;sheet=U0&amp;row=9896&amp;col=6&amp;number=4.2&amp;sourceID=14","4.2")</f>
        <v>4.2</v>
      </c>
      <c r="G9896" s="4" t="str">
        <f>HYPERLINK("http://141.218.60.56/~jnz1568/getInfo.php?workbook=12_04.xlsx&amp;sheet=U0&amp;row=9896&amp;col=7&amp;number=0.00151&amp;sourceID=14","0.00151")</f>
        <v>0.00151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HYPERLINK("http://141.218.60.56/~jnz1568/getInfo.php?workbook=12_04.xlsx&amp;sheet=U0&amp;row=9897&amp;col=6&amp;number=4.3&amp;sourceID=14","4.3")</f>
        <v>4.3</v>
      </c>
      <c r="G9897" s="4" t="str">
        <f>HYPERLINK("http://141.218.60.56/~jnz1568/getInfo.php?workbook=12_04.xlsx&amp;sheet=U0&amp;row=9897&amp;col=7&amp;number=0.0015&amp;sourceID=14","0.0015")</f>
        <v>0.0015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HYPERLINK("http://141.218.60.56/~jnz1568/getInfo.php?workbook=12_04.xlsx&amp;sheet=U0&amp;row=9898&amp;col=6&amp;number=4.4&amp;sourceID=14","4.4")</f>
        <v>4.4</v>
      </c>
      <c r="G9898" s="4" t="str">
        <f>HYPERLINK("http://141.218.60.56/~jnz1568/getInfo.php?workbook=12_04.xlsx&amp;sheet=U0&amp;row=9898&amp;col=7&amp;number=0.0015&amp;sourceID=14","0.0015")</f>
        <v>0.0015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HYPERLINK("http://141.218.60.56/~jnz1568/getInfo.php?workbook=12_04.xlsx&amp;sheet=U0&amp;row=9899&amp;col=6&amp;number=4.5&amp;sourceID=14","4.5")</f>
        <v>4.5</v>
      </c>
      <c r="G9899" s="4" t="str">
        <f>HYPERLINK("http://141.218.60.56/~jnz1568/getInfo.php?workbook=12_04.xlsx&amp;sheet=U0&amp;row=9899&amp;col=7&amp;number=0.0015&amp;sourceID=14","0.0015")</f>
        <v>0.0015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HYPERLINK("http://141.218.60.56/~jnz1568/getInfo.php?workbook=12_04.xlsx&amp;sheet=U0&amp;row=9900&amp;col=6&amp;number=4.6&amp;sourceID=14","4.6")</f>
        <v>4.6</v>
      </c>
      <c r="G9900" s="4" t="str">
        <f>HYPERLINK("http://141.218.60.56/~jnz1568/getInfo.php?workbook=12_04.xlsx&amp;sheet=U0&amp;row=9900&amp;col=7&amp;number=0.00149&amp;sourceID=14","0.00149")</f>
        <v>0.00149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HYPERLINK("http://141.218.60.56/~jnz1568/getInfo.php?workbook=12_04.xlsx&amp;sheet=U0&amp;row=9901&amp;col=6&amp;number=4.7&amp;sourceID=14","4.7")</f>
        <v>4.7</v>
      </c>
      <c r="G9901" s="4" t="str">
        <f>HYPERLINK("http://141.218.60.56/~jnz1568/getInfo.php?workbook=12_04.xlsx&amp;sheet=U0&amp;row=9901&amp;col=7&amp;number=0.00149&amp;sourceID=14","0.00149")</f>
        <v>0.00149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HYPERLINK("http://141.218.60.56/~jnz1568/getInfo.php?workbook=12_04.xlsx&amp;sheet=U0&amp;row=9902&amp;col=6&amp;number=4.8&amp;sourceID=14","4.8")</f>
        <v>4.8</v>
      </c>
      <c r="G9902" s="4" t="str">
        <f>HYPERLINK("http://141.218.60.56/~jnz1568/getInfo.php?workbook=12_04.xlsx&amp;sheet=U0&amp;row=9902&amp;col=7&amp;number=0.00148&amp;sourceID=14","0.00148")</f>
        <v>0.00148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HYPERLINK("http://141.218.60.56/~jnz1568/getInfo.php?workbook=12_04.xlsx&amp;sheet=U0&amp;row=9903&amp;col=6&amp;number=4.9&amp;sourceID=14","4.9")</f>
        <v>4.9</v>
      </c>
      <c r="G9903" s="4" t="str">
        <f>HYPERLINK("http://141.218.60.56/~jnz1568/getInfo.php?workbook=12_04.xlsx&amp;sheet=U0&amp;row=9903&amp;col=7&amp;number=0.00147&amp;sourceID=14","0.00147")</f>
        <v>0.00147</v>
      </c>
    </row>
    <row r="9904" spans="1:7">
      <c r="A9904" s="3">
        <v>12</v>
      </c>
      <c r="B9904" s="3">
        <v>4</v>
      </c>
      <c r="C9904" s="3">
        <v>3</v>
      </c>
      <c r="D9904" s="3">
        <v>99</v>
      </c>
      <c r="E9904" s="3">
        <v>1</v>
      </c>
      <c r="F9904" s="4" t="str">
        <f>HYPERLINK("http://141.218.60.56/~jnz1568/getInfo.php?workbook=12_04.xlsx&amp;sheet=U0&amp;row=9904&amp;col=6&amp;number=3&amp;sourceID=14","3")</f>
        <v>3</v>
      </c>
      <c r="G9904" s="4" t="str">
        <f>HYPERLINK("http://141.218.60.56/~jnz1568/getInfo.php?workbook=12_04.xlsx&amp;sheet=U0&amp;row=9904&amp;col=7&amp;number=0.000979&amp;sourceID=14","0.000979")</f>
        <v>0.000979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HYPERLINK("http://141.218.60.56/~jnz1568/getInfo.php?workbook=12_04.xlsx&amp;sheet=U0&amp;row=9905&amp;col=6&amp;number=3.1&amp;sourceID=14","3.1")</f>
        <v>3.1</v>
      </c>
      <c r="G9905" s="4" t="str">
        <f>HYPERLINK("http://141.218.60.56/~jnz1568/getInfo.php?workbook=12_04.xlsx&amp;sheet=U0&amp;row=9905&amp;col=7&amp;number=0.000979&amp;sourceID=14","0.000979")</f>
        <v>0.000979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HYPERLINK("http://141.218.60.56/~jnz1568/getInfo.php?workbook=12_04.xlsx&amp;sheet=U0&amp;row=9906&amp;col=6&amp;number=3.2&amp;sourceID=14","3.2")</f>
        <v>3.2</v>
      </c>
      <c r="G9906" s="4" t="str">
        <f>HYPERLINK("http://141.218.60.56/~jnz1568/getInfo.php?workbook=12_04.xlsx&amp;sheet=U0&amp;row=9906&amp;col=7&amp;number=0.000979&amp;sourceID=14","0.000979")</f>
        <v>0.000979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HYPERLINK("http://141.218.60.56/~jnz1568/getInfo.php?workbook=12_04.xlsx&amp;sheet=U0&amp;row=9907&amp;col=6&amp;number=3.3&amp;sourceID=14","3.3")</f>
        <v>3.3</v>
      </c>
      <c r="G9907" s="4" t="str">
        <f>HYPERLINK("http://141.218.60.56/~jnz1568/getInfo.php?workbook=12_04.xlsx&amp;sheet=U0&amp;row=9907&amp;col=7&amp;number=0.000979&amp;sourceID=14","0.000979")</f>
        <v>0.000979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HYPERLINK("http://141.218.60.56/~jnz1568/getInfo.php?workbook=12_04.xlsx&amp;sheet=U0&amp;row=9908&amp;col=6&amp;number=3.4&amp;sourceID=14","3.4")</f>
        <v>3.4</v>
      </c>
      <c r="G9908" s="4" t="str">
        <f>HYPERLINK("http://141.218.60.56/~jnz1568/getInfo.php?workbook=12_04.xlsx&amp;sheet=U0&amp;row=9908&amp;col=7&amp;number=0.000979&amp;sourceID=14","0.000979")</f>
        <v>0.000979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HYPERLINK("http://141.218.60.56/~jnz1568/getInfo.php?workbook=12_04.xlsx&amp;sheet=U0&amp;row=9909&amp;col=6&amp;number=3.5&amp;sourceID=14","3.5")</f>
        <v>3.5</v>
      </c>
      <c r="G9909" s="4" t="str">
        <f>HYPERLINK("http://141.218.60.56/~jnz1568/getInfo.php?workbook=12_04.xlsx&amp;sheet=U0&amp;row=9909&amp;col=7&amp;number=0.000978&amp;sourceID=14","0.000978")</f>
        <v>0.000978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HYPERLINK("http://141.218.60.56/~jnz1568/getInfo.php?workbook=12_04.xlsx&amp;sheet=U0&amp;row=9910&amp;col=6&amp;number=3.6&amp;sourceID=14","3.6")</f>
        <v>3.6</v>
      </c>
      <c r="G9910" s="4" t="str">
        <f>HYPERLINK("http://141.218.60.56/~jnz1568/getInfo.php?workbook=12_04.xlsx&amp;sheet=U0&amp;row=9910&amp;col=7&amp;number=0.000978&amp;sourceID=14","0.000978")</f>
        <v>0.000978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HYPERLINK("http://141.218.60.56/~jnz1568/getInfo.php?workbook=12_04.xlsx&amp;sheet=U0&amp;row=9911&amp;col=6&amp;number=3.7&amp;sourceID=14","3.7")</f>
        <v>3.7</v>
      </c>
      <c r="G9911" s="4" t="str">
        <f>HYPERLINK("http://141.218.60.56/~jnz1568/getInfo.php?workbook=12_04.xlsx&amp;sheet=U0&amp;row=9911&amp;col=7&amp;number=0.000978&amp;sourceID=14","0.000978")</f>
        <v>0.000978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HYPERLINK("http://141.218.60.56/~jnz1568/getInfo.php?workbook=12_04.xlsx&amp;sheet=U0&amp;row=9912&amp;col=6&amp;number=3.8&amp;sourceID=14","3.8")</f>
        <v>3.8</v>
      </c>
      <c r="G9912" s="4" t="str">
        <f>HYPERLINK("http://141.218.60.56/~jnz1568/getInfo.php?workbook=12_04.xlsx&amp;sheet=U0&amp;row=9912&amp;col=7&amp;number=0.000978&amp;sourceID=14","0.000978")</f>
        <v>0.000978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HYPERLINK("http://141.218.60.56/~jnz1568/getInfo.php?workbook=12_04.xlsx&amp;sheet=U0&amp;row=9913&amp;col=6&amp;number=3.9&amp;sourceID=14","3.9")</f>
        <v>3.9</v>
      </c>
      <c r="G9913" s="4" t="str">
        <f>HYPERLINK("http://141.218.60.56/~jnz1568/getInfo.php?workbook=12_04.xlsx&amp;sheet=U0&amp;row=9913&amp;col=7&amp;number=0.000978&amp;sourceID=14","0.000978")</f>
        <v>0.000978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HYPERLINK("http://141.218.60.56/~jnz1568/getInfo.php?workbook=12_04.xlsx&amp;sheet=U0&amp;row=9914&amp;col=6&amp;number=4&amp;sourceID=14","4")</f>
        <v>4</v>
      </c>
      <c r="G9914" s="4" t="str">
        <f>HYPERLINK("http://141.218.60.56/~jnz1568/getInfo.php?workbook=12_04.xlsx&amp;sheet=U0&amp;row=9914&amp;col=7&amp;number=0.000978&amp;sourceID=14","0.000978")</f>
        <v>0.000978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HYPERLINK("http://141.218.60.56/~jnz1568/getInfo.php?workbook=12_04.xlsx&amp;sheet=U0&amp;row=9915&amp;col=6&amp;number=4.1&amp;sourceID=14","4.1")</f>
        <v>4.1</v>
      </c>
      <c r="G9915" s="4" t="str">
        <f>HYPERLINK("http://141.218.60.56/~jnz1568/getInfo.php?workbook=12_04.xlsx&amp;sheet=U0&amp;row=9915&amp;col=7&amp;number=0.000977&amp;sourceID=14","0.000977")</f>
        <v>0.000977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HYPERLINK("http://141.218.60.56/~jnz1568/getInfo.php?workbook=12_04.xlsx&amp;sheet=U0&amp;row=9916&amp;col=6&amp;number=4.2&amp;sourceID=14","4.2")</f>
        <v>4.2</v>
      </c>
      <c r="G9916" s="4" t="str">
        <f>HYPERLINK("http://141.218.60.56/~jnz1568/getInfo.php?workbook=12_04.xlsx&amp;sheet=U0&amp;row=9916&amp;col=7&amp;number=0.000977&amp;sourceID=14","0.000977")</f>
        <v>0.000977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HYPERLINK("http://141.218.60.56/~jnz1568/getInfo.php?workbook=12_04.xlsx&amp;sheet=U0&amp;row=9917&amp;col=6&amp;number=4.3&amp;sourceID=14","4.3")</f>
        <v>4.3</v>
      </c>
      <c r="G9917" s="4" t="str">
        <f>HYPERLINK("http://141.218.60.56/~jnz1568/getInfo.php?workbook=12_04.xlsx&amp;sheet=U0&amp;row=9917&amp;col=7&amp;number=0.000976&amp;sourceID=14","0.000976")</f>
        <v>0.000976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HYPERLINK("http://141.218.60.56/~jnz1568/getInfo.php?workbook=12_04.xlsx&amp;sheet=U0&amp;row=9918&amp;col=6&amp;number=4.4&amp;sourceID=14","4.4")</f>
        <v>4.4</v>
      </c>
      <c r="G9918" s="4" t="str">
        <f>HYPERLINK("http://141.218.60.56/~jnz1568/getInfo.php?workbook=12_04.xlsx&amp;sheet=U0&amp;row=9918&amp;col=7&amp;number=0.000976&amp;sourceID=14","0.000976")</f>
        <v>0.000976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HYPERLINK("http://141.218.60.56/~jnz1568/getInfo.php?workbook=12_04.xlsx&amp;sheet=U0&amp;row=9919&amp;col=6&amp;number=4.5&amp;sourceID=14","4.5")</f>
        <v>4.5</v>
      </c>
      <c r="G9919" s="4" t="str">
        <f>HYPERLINK("http://141.218.60.56/~jnz1568/getInfo.php?workbook=12_04.xlsx&amp;sheet=U0&amp;row=9919&amp;col=7&amp;number=0.000975&amp;sourceID=14","0.000975")</f>
        <v>0.000975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HYPERLINK("http://141.218.60.56/~jnz1568/getInfo.php?workbook=12_04.xlsx&amp;sheet=U0&amp;row=9920&amp;col=6&amp;number=4.6&amp;sourceID=14","4.6")</f>
        <v>4.6</v>
      </c>
      <c r="G9920" s="4" t="str">
        <f>HYPERLINK("http://141.218.60.56/~jnz1568/getInfo.php?workbook=12_04.xlsx&amp;sheet=U0&amp;row=9920&amp;col=7&amp;number=0.000974&amp;sourceID=14","0.000974")</f>
        <v>0.000974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HYPERLINK("http://141.218.60.56/~jnz1568/getInfo.php?workbook=12_04.xlsx&amp;sheet=U0&amp;row=9921&amp;col=6&amp;number=4.7&amp;sourceID=14","4.7")</f>
        <v>4.7</v>
      </c>
      <c r="G9921" s="4" t="str">
        <f>HYPERLINK("http://141.218.60.56/~jnz1568/getInfo.php?workbook=12_04.xlsx&amp;sheet=U0&amp;row=9921&amp;col=7&amp;number=0.000972&amp;sourceID=14","0.000972")</f>
        <v>0.000972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HYPERLINK("http://141.218.60.56/~jnz1568/getInfo.php?workbook=12_04.xlsx&amp;sheet=U0&amp;row=9922&amp;col=6&amp;number=4.8&amp;sourceID=14","4.8")</f>
        <v>4.8</v>
      </c>
      <c r="G9922" s="4" t="str">
        <f>HYPERLINK("http://141.218.60.56/~jnz1568/getInfo.php?workbook=12_04.xlsx&amp;sheet=U0&amp;row=9922&amp;col=7&amp;number=0.000971&amp;sourceID=14","0.000971")</f>
        <v>0.000971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HYPERLINK("http://141.218.60.56/~jnz1568/getInfo.php?workbook=12_04.xlsx&amp;sheet=U0&amp;row=9923&amp;col=6&amp;number=4.9&amp;sourceID=14","4.9")</f>
        <v>4.9</v>
      </c>
      <c r="G9923" s="4" t="str">
        <f>HYPERLINK("http://141.218.60.56/~jnz1568/getInfo.php?workbook=12_04.xlsx&amp;sheet=U0&amp;row=9923&amp;col=7&amp;number=0.000968&amp;sourceID=14","0.000968")</f>
        <v>0.000968</v>
      </c>
    </row>
    <row r="9924" spans="1:7">
      <c r="A9924" s="3">
        <v>12</v>
      </c>
      <c r="B9924" s="3">
        <v>4</v>
      </c>
      <c r="C9924" s="3">
        <v>3</v>
      </c>
      <c r="D9924" s="3">
        <v>100</v>
      </c>
      <c r="E9924" s="3">
        <v>1</v>
      </c>
      <c r="F9924" s="4" t="str">
        <f>HYPERLINK("http://141.218.60.56/~jnz1568/getInfo.php?workbook=12_04.xlsx&amp;sheet=U0&amp;row=9924&amp;col=6&amp;number=3&amp;sourceID=14","3")</f>
        <v>3</v>
      </c>
      <c r="G9924" s="4" t="str">
        <f>HYPERLINK("http://141.218.60.56/~jnz1568/getInfo.php?workbook=12_04.xlsx&amp;sheet=U0&amp;row=9924&amp;col=7&amp;number=0.000477&amp;sourceID=14","0.000477")</f>
        <v>0.000477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HYPERLINK("http://141.218.60.56/~jnz1568/getInfo.php?workbook=12_04.xlsx&amp;sheet=U0&amp;row=9925&amp;col=6&amp;number=3.1&amp;sourceID=14","3.1")</f>
        <v>3.1</v>
      </c>
      <c r="G9925" s="4" t="str">
        <f>HYPERLINK("http://141.218.60.56/~jnz1568/getInfo.php?workbook=12_04.xlsx&amp;sheet=U0&amp;row=9925&amp;col=7&amp;number=0.000477&amp;sourceID=14","0.000477")</f>
        <v>0.000477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HYPERLINK("http://141.218.60.56/~jnz1568/getInfo.php?workbook=12_04.xlsx&amp;sheet=U0&amp;row=9926&amp;col=6&amp;number=3.2&amp;sourceID=14","3.2")</f>
        <v>3.2</v>
      </c>
      <c r="G9926" s="4" t="str">
        <f>HYPERLINK("http://141.218.60.56/~jnz1568/getInfo.php?workbook=12_04.xlsx&amp;sheet=U0&amp;row=9926&amp;col=7&amp;number=0.000477&amp;sourceID=14","0.000477")</f>
        <v>0.000477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HYPERLINK("http://141.218.60.56/~jnz1568/getInfo.php?workbook=12_04.xlsx&amp;sheet=U0&amp;row=9927&amp;col=6&amp;number=3.3&amp;sourceID=14","3.3")</f>
        <v>3.3</v>
      </c>
      <c r="G9927" s="4" t="str">
        <f>HYPERLINK("http://141.218.60.56/~jnz1568/getInfo.php?workbook=12_04.xlsx&amp;sheet=U0&amp;row=9927&amp;col=7&amp;number=0.000477&amp;sourceID=14","0.000477")</f>
        <v>0.000477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HYPERLINK("http://141.218.60.56/~jnz1568/getInfo.php?workbook=12_04.xlsx&amp;sheet=U0&amp;row=9928&amp;col=6&amp;number=3.4&amp;sourceID=14","3.4")</f>
        <v>3.4</v>
      </c>
      <c r="G9928" s="4" t="str">
        <f>HYPERLINK("http://141.218.60.56/~jnz1568/getInfo.php?workbook=12_04.xlsx&amp;sheet=U0&amp;row=9928&amp;col=7&amp;number=0.000477&amp;sourceID=14","0.000477")</f>
        <v>0.000477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HYPERLINK("http://141.218.60.56/~jnz1568/getInfo.php?workbook=12_04.xlsx&amp;sheet=U0&amp;row=9929&amp;col=6&amp;number=3.5&amp;sourceID=14","3.5")</f>
        <v>3.5</v>
      </c>
      <c r="G9929" s="4" t="str">
        <f>HYPERLINK("http://141.218.60.56/~jnz1568/getInfo.php?workbook=12_04.xlsx&amp;sheet=U0&amp;row=9929&amp;col=7&amp;number=0.000477&amp;sourceID=14","0.000477")</f>
        <v>0.000477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HYPERLINK("http://141.218.60.56/~jnz1568/getInfo.php?workbook=12_04.xlsx&amp;sheet=U0&amp;row=9930&amp;col=6&amp;number=3.6&amp;sourceID=14","3.6")</f>
        <v>3.6</v>
      </c>
      <c r="G9930" s="4" t="str">
        <f>HYPERLINK("http://141.218.60.56/~jnz1568/getInfo.php?workbook=12_04.xlsx&amp;sheet=U0&amp;row=9930&amp;col=7&amp;number=0.000477&amp;sourceID=14","0.000477")</f>
        <v>0.000477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HYPERLINK("http://141.218.60.56/~jnz1568/getInfo.php?workbook=12_04.xlsx&amp;sheet=U0&amp;row=9931&amp;col=6&amp;number=3.7&amp;sourceID=14","3.7")</f>
        <v>3.7</v>
      </c>
      <c r="G9931" s="4" t="str">
        <f>HYPERLINK("http://141.218.60.56/~jnz1568/getInfo.php?workbook=12_04.xlsx&amp;sheet=U0&amp;row=9931&amp;col=7&amp;number=0.000477&amp;sourceID=14","0.000477")</f>
        <v>0.000477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HYPERLINK("http://141.218.60.56/~jnz1568/getInfo.php?workbook=12_04.xlsx&amp;sheet=U0&amp;row=9932&amp;col=6&amp;number=3.8&amp;sourceID=14","3.8")</f>
        <v>3.8</v>
      </c>
      <c r="G9932" s="4" t="str">
        <f>HYPERLINK("http://141.218.60.56/~jnz1568/getInfo.php?workbook=12_04.xlsx&amp;sheet=U0&amp;row=9932&amp;col=7&amp;number=0.000477&amp;sourceID=14","0.000477")</f>
        <v>0.000477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HYPERLINK("http://141.218.60.56/~jnz1568/getInfo.php?workbook=12_04.xlsx&amp;sheet=U0&amp;row=9933&amp;col=6&amp;number=3.9&amp;sourceID=14","3.9")</f>
        <v>3.9</v>
      </c>
      <c r="G9933" s="4" t="str">
        <f>HYPERLINK("http://141.218.60.56/~jnz1568/getInfo.php?workbook=12_04.xlsx&amp;sheet=U0&amp;row=9933&amp;col=7&amp;number=0.000476&amp;sourceID=14","0.000476")</f>
        <v>0.000476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HYPERLINK("http://141.218.60.56/~jnz1568/getInfo.php?workbook=12_04.xlsx&amp;sheet=U0&amp;row=9934&amp;col=6&amp;number=4&amp;sourceID=14","4")</f>
        <v>4</v>
      </c>
      <c r="G9934" s="4" t="str">
        <f>HYPERLINK("http://141.218.60.56/~jnz1568/getInfo.php?workbook=12_04.xlsx&amp;sheet=U0&amp;row=9934&amp;col=7&amp;number=0.000476&amp;sourceID=14","0.000476")</f>
        <v>0.000476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HYPERLINK("http://141.218.60.56/~jnz1568/getInfo.php?workbook=12_04.xlsx&amp;sheet=U0&amp;row=9935&amp;col=6&amp;number=4.1&amp;sourceID=14","4.1")</f>
        <v>4.1</v>
      </c>
      <c r="G9935" s="4" t="str">
        <f>HYPERLINK("http://141.218.60.56/~jnz1568/getInfo.php?workbook=12_04.xlsx&amp;sheet=U0&amp;row=9935&amp;col=7&amp;number=0.000476&amp;sourceID=14","0.000476")</f>
        <v>0.000476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HYPERLINK("http://141.218.60.56/~jnz1568/getInfo.php?workbook=12_04.xlsx&amp;sheet=U0&amp;row=9936&amp;col=6&amp;number=4.2&amp;sourceID=14","4.2")</f>
        <v>4.2</v>
      </c>
      <c r="G9936" s="4" t="str">
        <f>HYPERLINK("http://141.218.60.56/~jnz1568/getInfo.php?workbook=12_04.xlsx&amp;sheet=U0&amp;row=9936&amp;col=7&amp;number=0.000476&amp;sourceID=14","0.000476")</f>
        <v>0.000476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HYPERLINK("http://141.218.60.56/~jnz1568/getInfo.php?workbook=12_04.xlsx&amp;sheet=U0&amp;row=9937&amp;col=6&amp;number=4.3&amp;sourceID=14","4.3")</f>
        <v>4.3</v>
      </c>
      <c r="G9937" s="4" t="str">
        <f>HYPERLINK("http://141.218.60.56/~jnz1568/getInfo.php?workbook=12_04.xlsx&amp;sheet=U0&amp;row=9937&amp;col=7&amp;number=0.000475&amp;sourceID=14","0.000475")</f>
        <v>0.000475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HYPERLINK("http://141.218.60.56/~jnz1568/getInfo.php?workbook=12_04.xlsx&amp;sheet=U0&amp;row=9938&amp;col=6&amp;number=4.4&amp;sourceID=14","4.4")</f>
        <v>4.4</v>
      </c>
      <c r="G9938" s="4" t="str">
        <f>HYPERLINK("http://141.218.60.56/~jnz1568/getInfo.php?workbook=12_04.xlsx&amp;sheet=U0&amp;row=9938&amp;col=7&amp;number=0.000475&amp;sourceID=14","0.000475")</f>
        <v>0.000475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HYPERLINK("http://141.218.60.56/~jnz1568/getInfo.php?workbook=12_04.xlsx&amp;sheet=U0&amp;row=9939&amp;col=6&amp;number=4.5&amp;sourceID=14","4.5")</f>
        <v>4.5</v>
      </c>
      <c r="G9939" s="4" t="str">
        <f>HYPERLINK("http://141.218.60.56/~jnz1568/getInfo.php?workbook=12_04.xlsx&amp;sheet=U0&amp;row=9939&amp;col=7&amp;number=0.000474&amp;sourceID=14","0.000474")</f>
        <v>0.000474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HYPERLINK("http://141.218.60.56/~jnz1568/getInfo.php?workbook=12_04.xlsx&amp;sheet=U0&amp;row=9940&amp;col=6&amp;number=4.6&amp;sourceID=14","4.6")</f>
        <v>4.6</v>
      </c>
      <c r="G9940" s="4" t="str">
        <f>HYPERLINK("http://141.218.60.56/~jnz1568/getInfo.php?workbook=12_04.xlsx&amp;sheet=U0&amp;row=9940&amp;col=7&amp;number=0.000474&amp;sourceID=14","0.000474")</f>
        <v>0.000474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HYPERLINK("http://141.218.60.56/~jnz1568/getInfo.php?workbook=12_04.xlsx&amp;sheet=U0&amp;row=9941&amp;col=6&amp;number=4.7&amp;sourceID=14","4.7")</f>
        <v>4.7</v>
      </c>
      <c r="G9941" s="4" t="str">
        <f>HYPERLINK("http://141.218.60.56/~jnz1568/getInfo.php?workbook=12_04.xlsx&amp;sheet=U0&amp;row=9941&amp;col=7&amp;number=0.000473&amp;sourceID=14","0.000473")</f>
        <v>0.000473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HYPERLINK("http://141.218.60.56/~jnz1568/getInfo.php?workbook=12_04.xlsx&amp;sheet=U0&amp;row=9942&amp;col=6&amp;number=4.8&amp;sourceID=14","4.8")</f>
        <v>4.8</v>
      </c>
      <c r="G9942" s="4" t="str">
        <f>HYPERLINK("http://141.218.60.56/~jnz1568/getInfo.php?workbook=12_04.xlsx&amp;sheet=U0&amp;row=9942&amp;col=7&amp;number=0.000472&amp;sourceID=14","0.000472")</f>
        <v>0.000472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HYPERLINK("http://141.218.60.56/~jnz1568/getInfo.php?workbook=12_04.xlsx&amp;sheet=U0&amp;row=9943&amp;col=6&amp;number=4.9&amp;sourceID=14","4.9")</f>
        <v>4.9</v>
      </c>
      <c r="G9943" s="4" t="str">
        <f>HYPERLINK("http://141.218.60.56/~jnz1568/getInfo.php?workbook=12_04.xlsx&amp;sheet=U0&amp;row=9943&amp;col=7&amp;number=0.00047&amp;sourceID=14","0.00047")</f>
        <v>0.00047</v>
      </c>
    </row>
    <row r="9944" spans="1:7">
      <c r="A9944" s="3">
        <v>12</v>
      </c>
      <c r="B9944" s="3">
        <v>4</v>
      </c>
      <c r="C9944" s="3">
        <v>3</v>
      </c>
      <c r="D9944" s="3">
        <v>101</v>
      </c>
      <c r="E9944" s="3">
        <v>1</v>
      </c>
      <c r="F9944" s="4" t="str">
        <f>HYPERLINK("http://141.218.60.56/~jnz1568/getInfo.php?workbook=12_04.xlsx&amp;sheet=U0&amp;row=9944&amp;col=6&amp;number=3&amp;sourceID=14","3")</f>
        <v>3</v>
      </c>
      <c r="G9944" s="4" t="str">
        <f>HYPERLINK("http://141.218.60.56/~jnz1568/getInfo.php?workbook=12_04.xlsx&amp;sheet=U0&amp;row=9944&amp;col=7&amp;number=0.00725&amp;sourceID=14","0.00725")</f>
        <v>0.00725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HYPERLINK("http://141.218.60.56/~jnz1568/getInfo.php?workbook=12_04.xlsx&amp;sheet=U0&amp;row=9945&amp;col=6&amp;number=3.1&amp;sourceID=14","3.1")</f>
        <v>3.1</v>
      </c>
      <c r="G9945" s="4" t="str">
        <f>HYPERLINK("http://141.218.60.56/~jnz1568/getInfo.php?workbook=12_04.xlsx&amp;sheet=U0&amp;row=9945&amp;col=7&amp;number=0.00726&amp;sourceID=14","0.00726")</f>
        <v>0.00726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HYPERLINK("http://141.218.60.56/~jnz1568/getInfo.php?workbook=12_04.xlsx&amp;sheet=U0&amp;row=9946&amp;col=6&amp;number=3.2&amp;sourceID=14","3.2")</f>
        <v>3.2</v>
      </c>
      <c r="G9946" s="4" t="str">
        <f>HYPERLINK("http://141.218.60.56/~jnz1568/getInfo.php?workbook=12_04.xlsx&amp;sheet=U0&amp;row=9946&amp;col=7&amp;number=0.00726&amp;sourceID=14","0.00726")</f>
        <v>0.00726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HYPERLINK("http://141.218.60.56/~jnz1568/getInfo.php?workbook=12_04.xlsx&amp;sheet=U0&amp;row=9947&amp;col=6&amp;number=3.3&amp;sourceID=14","3.3")</f>
        <v>3.3</v>
      </c>
      <c r="G9947" s="4" t="str">
        <f>HYPERLINK("http://141.218.60.56/~jnz1568/getInfo.php?workbook=12_04.xlsx&amp;sheet=U0&amp;row=9947&amp;col=7&amp;number=0.00726&amp;sourceID=14","0.00726")</f>
        <v>0.00726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HYPERLINK("http://141.218.60.56/~jnz1568/getInfo.php?workbook=12_04.xlsx&amp;sheet=U0&amp;row=9948&amp;col=6&amp;number=3.4&amp;sourceID=14","3.4")</f>
        <v>3.4</v>
      </c>
      <c r="G9948" s="4" t="str">
        <f>HYPERLINK("http://141.218.60.56/~jnz1568/getInfo.php?workbook=12_04.xlsx&amp;sheet=U0&amp;row=9948&amp;col=7&amp;number=0.00726&amp;sourceID=14","0.00726")</f>
        <v>0.00726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HYPERLINK("http://141.218.60.56/~jnz1568/getInfo.php?workbook=12_04.xlsx&amp;sheet=U0&amp;row=9949&amp;col=6&amp;number=3.5&amp;sourceID=14","3.5")</f>
        <v>3.5</v>
      </c>
      <c r="G9949" s="4" t="str">
        <f>HYPERLINK("http://141.218.60.56/~jnz1568/getInfo.php?workbook=12_04.xlsx&amp;sheet=U0&amp;row=9949&amp;col=7&amp;number=0.00726&amp;sourceID=14","0.00726")</f>
        <v>0.00726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HYPERLINK("http://141.218.60.56/~jnz1568/getInfo.php?workbook=12_04.xlsx&amp;sheet=U0&amp;row=9950&amp;col=6&amp;number=3.6&amp;sourceID=14","3.6")</f>
        <v>3.6</v>
      </c>
      <c r="G9950" s="4" t="str">
        <f>HYPERLINK("http://141.218.60.56/~jnz1568/getInfo.php?workbook=12_04.xlsx&amp;sheet=U0&amp;row=9950&amp;col=7&amp;number=0.00726&amp;sourceID=14","0.00726")</f>
        <v>0.00726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HYPERLINK("http://141.218.60.56/~jnz1568/getInfo.php?workbook=12_04.xlsx&amp;sheet=U0&amp;row=9951&amp;col=6&amp;number=3.7&amp;sourceID=14","3.7")</f>
        <v>3.7</v>
      </c>
      <c r="G9951" s="4" t="str">
        <f>HYPERLINK("http://141.218.60.56/~jnz1568/getInfo.php?workbook=12_04.xlsx&amp;sheet=U0&amp;row=9951&amp;col=7&amp;number=0.00726&amp;sourceID=14","0.00726")</f>
        <v>0.00726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HYPERLINK("http://141.218.60.56/~jnz1568/getInfo.php?workbook=12_04.xlsx&amp;sheet=U0&amp;row=9952&amp;col=6&amp;number=3.8&amp;sourceID=14","3.8")</f>
        <v>3.8</v>
      </c>
      <c r="G9952" s="4" t="str">
        <f>HYPERLINK("http://141.218.60.56/~jnz1568/getInfo.php?workbook=12_04.xlsx&amp;sheet=U0&amp;row=9952&amp;col=7&amp;number=0.00726&amp;sourceID=14","0.00726")</f>
        <v>0.00726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HYPERLINK("http://141.218.60.56/~jnz1568/getInfo.php?workbook=12_04.xlsx&amp;sheet=U0&amp;row=9953&amp;col=6&amp;number=3.9&amp;sourceID=14","3.9")</f>
        <v>3.9</v>
      </c>
      <c r="G9953" s="4" t="str">
        <f>HYPERLINK("http://141.218.60.56/~jnz1568/getInfo.php?workbook=12_04.xlsx&amp;sheet=U0&amp;row=9953&amp;col=7&amp;number=0.00726&amp;sourceID=14","0.00726")</f>
        <v>0.00726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HYPERLINK("http://141.218.60.56/~jnz1568/getInfo.php?workbook=12_04.xlsx&amp;sheet=U0&amp;row=9954&amp;col=6&amp;number=4&amp;sourceID=14","4")</f>
        <v>4</v>
      </c>
      <c r="G9954" s="4" t="str">
        <f>HYPERLINK("http://141.218.60.56/~jnz1568/getInfo.php?workbook=12_04.xlsx&amp;sheet=U0&amp;row=9954&amp;col=7&amp;number=0.00726&amp;sourceID=14","0.00726")</f>
        <v>0.00726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HYPERLINK("http://141.218.60.56/~jnz1568/getInfo.php?workbook=12_04.xlsx&amp;sheet=U0&amp;row=9955&amp;col=6&amp;number=4.1&amp;sourceID=14","4.1")</f>
        <v>4.1</v>
      </c>
      <c r="G9955" s="4" t="str">
        <f>HYPERLINK("http://141.218.60.56/~jnz1568/getInfo.php?workbook=12_04.xlsx&amp;sheet=U0&amp;row=9955&amp;col=7&amp;number=0.00726&amp;sourceID=14","0.00726")</f>
        <v>0.00726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HYPERLINK("http://141.218.60.56/~jnz1568/getInfo.php?workbook=12_04.xlsx&amp;sheet=U0&amp;row=9956&amp;col=6&amp;number=4.2&amp;sourceID=14","4.2")</f>
        <v>4.2</v>
      </c>
      <c r="G9956" s="4" t="str">
        <f>HYPERLINK("http://141.218.60.56/~jnz1568/getInfo.php?workbook=12_04.xlsx&amp;sheet=U0&amp;row=9956&amp;col=7&amp;number=0.00727&amp;sourceID=14","0.00727")</f>
        <v>0.00727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HYPERLINK("http://141.218.60.56/~jnz1568/getInfo.php?workbook=12_04.xlsx&amp;sheet=U0&amp;row=9957&amp;col=6&amp;number=4.3&amp;sourceID=14","4.3")</f>
        <v>4.3</v>
      </c>
      <c r="G9957" s="4" t="str">
        <f>HYPERLINK("http://141.218.60.56/~jnz1568/getInfo.php?workbook=12_04.xlsx&amp;sheet=U0&amp;row=9957&amp;col=7&amp;number=0.00727&amp;sourceID=14","0.00727")</f>
        <v>0.00727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HYPERLINK("http://141.218.60.56/~jnz1568/getInfo.php?workbook=12_04.xlsx&amp;sheet=U0&amp;row=9958&amp;col=6&amp;number=4.4&amp;sourceID=14","4.4")</f>
        <v>4.4</v>
      </c>
      <c r="G9958" s="4" t="str">
        <f>HYPERLINK("http://141.218.60.56/~jnz1568/getInfo.php?workbook=12_04.xlsx&amp;sheet=U0&amp;row=9958&amp;col=7&amp;number=0.00727&amp;sourceID=14","0.00727")</f>
        <v>0.00727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HYPERLINK("http://141.218.60.56/~jnz1568/getInfo.php?workbook=12_04.xlsx&amp;sheet=U0&amp;row=9959&amp;col=6&amp;number=4.5&amp;sourceID=14","4.5")</f>
        <v>4.5</v>
      </c>
      <c r="G9959" s="4" t="str">
        <f>HYPERLINK("http://141.218.60.56/~jnz1568/getInfo.php?workbook=12_04.xlsx&amp;sheet=U0&amp;row=9959&amp;col=7&amp;number=0.00728&amp;sourceID=14","0.00728")</f>
        <v>0.00728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HYPERLINK("http://141.218.60.56/~jnz1568/getInfo.php?workbook=12_04.xlsx&amp;sheet=U0&amp;row=9960&amp;col=6&amp;number=4.6&amp;sourceID=14","4.6")</f>
        <v>4.6</v>
      </c>
      <c r="G9960" s="4" t="str">
        <f>HYPERLINK("http://141.218.60.56/~jnz1568/getInfo.php?workbook=12_04.xlsx&amp;sheet=U0&amp;row=9960&amp;col=7&amp;number=0.00729&amp;sourceID=14","0.00729")</f>
        <v>0.00729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HYPERLINK("http://141.218.60.56/~jnz1568/getInfo.php?workbook=12_04.xlsx&amp;sheet=U0&amp;row=9961&amp;col=6&amp;number=4.7&amp;sourceID=14","4.7")</f>
        <v>4.7</v>
      </c>
      <c r="G9961" s="4" t="str">
        <f>HYPERLINK("http://141.218.60.56/~jnz1568/getInfo.php?workbook=12_04.xlsx&amp;sheet=U0&amp;row=9961&amp;col=7&amp;number=0.00729&amp;sourceID=14","0.00729")</f>
        <v>0.00729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HYPERLINK("http://141.218.60.56/~jnz1568/getInfo.php?workbook=12_04.xlsx&amp;sheet=U0&amp;row=9962&amp;col=6&amp;number=4.8&amp;sourceID=14","4.8")</f>
        <v>4.8</v>
      </c>
      <c r="G9962" s="4" t="str">
        <f>HYPERLINK("http://141.218.60.56/~jnz1568/getInfo.php?workbook=12_04.xlsx&amp;sheet=U0&amp;row=9962&amp;col=7&amp;number=0.0073&amp;sourceID=14","0.0073")</f>
        <v>0.0073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HYPERLINK("http://141.218.60.56/~jnz1568/getInfo.php?workbook=12_04.xlsx&amp;sheet=U0&amp;row=9963&amp;col=6&amp;number=4.9&amp;sourceID=14","4.9")</f>
        <v>4.9</v>
      </c>
      <c r="G9963" s="4" t="str">
        <f>HYPERLINK("http://141.218.60.56/~jnz1568/getInfo.php?workbook=12_04.xlsx&amp;sheet=U0&amp;row=9963&amp;col=7&amp;number=0.00732&amp;sourceID=14","0.00732")</f>
        <v>0.00732</v>
      </c>
    </row>
    <row r="9964" spans="1:7">
      <c r="A9964" s="3">
        <v>12</v>
      </c>
      <c r="B9964" s="3">
        <v>4</v>
      </c>
      <c r="C9964" s="3">
        <v>3</v>
      </c>
      <c r="D9964" s="3">
        <v>102</v>
      </c>
      <c r="E9964" s="3">
        <v>1</v>
      </c>
      <c r="F9964" s="4" t="str">
        <f>HYPERLINK("http://141.218.60.56/~jnz1568/getInfo.php?workbook=12_04.xlsx&amp;sheet=U0&amp;row=9964&amp;col=6&amp;number=3&amp;sourceID=14","3")</f>
        <v>3</v>
      </c>
      <c r="G9964" s="4" t="str">
        <f>HYPERLINK("http://141.218.60.56/~jnz1568/getInfo.php?workbook=12_04.xlsx&amp;sheet=U0&amp;row=9964&amp;col=7&amp;number=0.0019&amp;sourceID=14","0.0019")</f>
        <v>0.0019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HYPERLINK("http://141.218.60.56/~jnz1568/getInfo.php?workbook=12_04.xlsx&amp;sheet=U0&amp;row=9965&amp;col=6&amp;number=3.1&amp;sourceID=14","3.1")</f>
        <v>3.1</v>
      </c>
      <c r="G9965" s="4" t="str">
        <f>HYPERLINK("http://141.218.60.56/~jnz1568/getInfo.php?workbook=12_04.xlsx&amp;sheet=U0&amp;row=9965&amp;col=7&amp;number=0.0019&amp;sourceID=14","0.0019")</f>
        <v>0.0019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HYPERLINK("http://141.218.60.56/~jnz1568/getInfo.php?workbook=12_04.xlsx&amp;sheet=U0&amp;row=9966&amp;col=6&amp;number=3.2&amp;sourceID=14","3.2")</f>
        <v>3.2</v>
      </c>
      <c r="G9966" s="4" t="str">
        <f>HYPERLINK("http://141.218.60.56/~jnz1568/getInfo.php?workbook=12_04.xlsx&amp;sheet=U0&amp;row=9966&amp;col=7&amp;number=0.0019&amp;sourceID=14","0.0019")</f>
        <v>0.0019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HYPERLINK("http://141.218.60.56/~jnz1568/getInfo.php?workbook=12_04.xlsx&amp;sheet=U0&amp;row=9967&amp;col=6&amp;number=3.3&amp;sourceID=14","3.3")</f>
        <v>3.3</v>
      </c>
      <c r="G9967" s="4" t="str">
        <f>HYPERLINK("http://141.218.60.56/~jnz1568/getInfo.php?workbook=12_04.xlsx&amp;sheet=U0&amp;row=9967&amp;col=7&amp;number=0.0019&amp;sourceID=14","0.0019")</f>
        <v>0.0019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HYPERLINK("http://141.218.60.56/~jnz1568/getInfo.php?workbook=12_04.xlsx&amp;sheet=U0&amp;row=9968&amp;col=6&amp;number=3.4&amp;sourceID=14","3.4")</f>
        <v>3.4</v>
      </c>
      <c r="G9968" s="4" t="str">
        <f>HYPERLINK("http://141.218.60.56/~jnz1568/getInfo.php?workbook=12_04.xlsx&amp;sheet=U0&amp;row=9968&amp;col=7&amp;number=0.0019&amp;sourceID=14","0.0019")</f>
        <v>0.0019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HYPERLINK("http://141.218.60.56/~jnz1568/getInfo.php?workbook=12_04.xlsx&amp;sheet=U0&amp;row=9969&amp;col=6&amp;number=3.5&amp;sourceID=14","3.5")</f>
        <v>3.5</v>
      </c>
      <c r="G9969" s="4" t="str">
        <f>HYPERLINK("http://141.218.60.56/~jnz1568/getInfo.php?workbook=12_04.xlsx&amp;sheet=U0&amp;row=9969&amp;col=7&amp;number=0.0019&amp;sourceID=14","0.0019")</f>
        <v>0.0019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HYPERLINK("http://141.218.60.56/~jnz1568/getInfo.php?workbook=12_04.xlsx&amp;sheet=U0&amp;row=9970&amp;col=6&amp;number=3.6&amp;sourceID=14","3.6")</f>
        <v>3.6</v>
      </c>
      <c r="G9970" s="4" t="str">
        <f>HYPERLINK("http://141.218.60.56/~jnz1568/getInfo.php?workbook=12_04.xlsx&amp;sheet=U0&amp;row=9970&amp;col=7&amp;number=0.0019&amp;sourceID=14","0.0019")</f>
        <v>0.0019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HYPERLINK("http://141.218.60.56/~jnz1568/getInfo.php?workbook=12_04.xlsx&amp;sheet=U0&amp;row=9971&amp;col=6&amp;number=3.7&amp;sourceID=14","3.7")</f>
        <v>3.7</v>
      </c>
      <c r="G9971" s="4" t="str">
        <f>HYPERLINK("http://141.218.60.56/~jnz1568/getInfo.php?workbook=12_04.xlsx&amp;sheet=U0&amp;row=9971&amp;col=7&amp;number=0.0019&amp;sourceID=14","0.0019")</f>
        <v>0.0019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HYPERLINK("http://141.218.60.56/~jnz1568/getInfo.php?workbook=12_04.xlsx&amp;sheet=U0&amp;row=9972&amp;col=6&amp;number=3.8&amp;sourceID=14","3.8")</f>
        <v>3.8</v>
      </c>
      <c r="G9972" s="4" t="str">
        <f>HYPERLINK("http://141.218.60.56/~jnz1568/getInfo.php?workbook=12_04.xlsx&amp;sheet=U0&amp;row=9972&amp;col=7&amp;number=0.0019&amp;sourceID=14","0.0019")</f>
        <v>0.0019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HYPERLINK("http://141.218.60.56/~jnz1568/getInfo.php?workbook=12_04.xlsx&amp;sheet=U0&amp;row=9973&amp;col=6&amp;number=3.9&amp;sourceID=14","3.9")</f>
        <v>3.9</v>
      </c>
      <c r="G9973" s="4" t="str">
        <f>HYPERLINK("http://141.218.60.56/~jnz1568/getInfo.php?workbook=12_04.xlsx&amp;sheet=U0&amp;row=9973&amp;col=7&amp;number=0.0019&amp;sourceID=14","0.0019")</f>
        <v>0.0019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HYPERLINK("http://141.218.60.56/~jnz1568/getInfo.php?workbook=12_04.xlsx&amp;sheet=U0&amp;row=9974&amp;col=6&amp;number=4&amp;sourceID=14","4")</f>
        <v>4</v>
      </c>
      <c r="G9974" s="4" t="str">
        <f>HYPERLINK("http://141.218.60.56/~jnz1568/getInfo.php?workbook=12_04.xlsx&amp;sheet=U0&amp;row=9974&amp;col=7&amp;number=0.00189&amp;sourceID=14","0.00189")</f>
        <v>0.00189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HYPERLINK("http://141.218.60.56/~jnz1568/getInfo.php?workbook=12_04.xlsx&amp;sheet=U0&amp;row=9975&amp;col=6&amp;number=4.1&amp;sourceID=14","4.1")</f>
        <v>4.1</v>
      </c>
      <c r="G9975" s="4" t="str">
        <f>HYPERLINK("http://141.218.60.56/~jnz1568/getInfo.php?workbook=12_04.xlsx&amp;sheet=U0&amp;row=9975&amp;col=7&amp;number=0.00189&amp;sourceID=14","0.00189")</f>
        <v>0.00189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HYPERLINK("http://141.218.60.56/~jnz1568/getInfo.php?workbook=12_04.xlsx&amp;sheet=U0&amp;row=9976&amp;col=6&amp;number=4.2&amp;sourceID=14","4.2")</f>
        <v>4.2</v>
      </c>
      <c r="G9976" s="4" t="str">
        <f>HYPERLINK("http://141.218.60.56/~jnz1568/getInfo.php?workbook=12_04.xlsx&amp;sheet=U0&amp;row=9976&amp;col=7&amp;number=0.00189&amp;sourceID=14","0.00189")</f>
        <v>0.00189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HYPERLINK("http://141.218.60.56/~jnz1568/getInfo.php?workbook=12_04.xlsx&amp;sheet=U0&amp;row=9977&amp;col=6&amp;number=4.3&amp;sourceID=14","4.3")</f>
        <v>4.3</v>
      </c>
      <c r="G9977" s="4" t="str">
        <f>HYPERLINK("http://141.218.60.56/~jnz1568/getInfo.php?workbook=12_04.xlsx&amp;sheet=U0&amp;row=9977&amp;col=7&amp;number=0.00189&amp;sourceID=14","0.00189")</f>
        <v>0.00189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HYPERLINK("http://141.218.60.56/~jnz1568/getInfo.php?workbook=12_04.xlsx&amp;sheet=U0&amp;row=9978&amp;col=6&amp;number=4.4&amp;sourceID=14","4.4")</f>
        <v>4.4</v>
      </c>
      <c r="G9978" s="4" t="str">
        <f>HYPERLINK("http://141.218.60.56/~jnz1568/getInfo.php?workbook=12_04.xlsx&amp;sheet=U0&amp;row=9978&amp;col=7&amp;number=0.00189&amp;sourceID=14","0.00189")</f>
        <v>0.00189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HYPERLINK("http://141.218.60.56/~jnz1568/getInfo.php?workbook=12_04.xlsx&amp;sheet=U0&amp;row=9979&amp;col=6&amp;number=4.5&amp;sourceID=14","4.5")</f>
        <v>4.5</v>
      </c>
      <c r="G9979" s="4" t="str">
        <f>HYPERLINK("http://141.218.60.56/~jnz1568/getInfo.php?workbook=12_04.xlsx&amp;sheet=U0&amp;row=9979&amp;col=7&amp;number=0.00189&amp;sourceID=14","0.00189")</f>
        <v>0.00189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HYPERLINK("http://141.218.60.56/~jnz1568/getInfo.php?workbook=12_04.xlsx&amp;sheet=U0&amp;row=9980&amp;col=6&amp;number=4.6&amp;sourceID=14","4.6")</f>
        <v>4.6</v>
      </c>
      <c r="G9980" s="4" t="str">
        <f>HYPERLINK("http://141.218.60.56/~jnz1568/getInfo.php?workbook=12_04.xlsx&amp;sheet=U0&amp;row=9980&amp;col=7&amp;number=0.00189&amp;sourceID=14","0.00189")</f>
        <v>0.00189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HYPERLINK("http://141.218.60.56/~jnz1568/getInfo.php?workbook=12_04.xlsx&amp;sheet=U0&amp;row=9981&amp;col=6&amp;number=4.7&amp;sourceID=14","4.7")</f>
        <v>4.7</v>
      </c>
      <c r="G9981" s="4" t="str">
        <f>HYPERLINK("http://141.218.60.56/~jnz1568/getInfo.php?workbook=12_04.xlsx&amp;sheet=U0&amp;row=9981&amp;col=7&amp;number=0.00189&amp;sourceID=14","0.00189")</f>
        <v>0.00189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HYPERLINK("http://141.218.60.56/~jnz1568/getInfo.php?workbook=12_04.xlsx&amp;sheet=U0&amp;row=9982&amp;col=6&amp;number=4.8&amp;sourceID=14","4.8")</f>
        <v>4.8</v>
      </c>
      <c r="G9982" s="4" t="str">
        <f>HYPERLINK("http://141.218.60.56/~jnz1568/getInfo.php?workbook=12_04.xlsx&amp;sheet=U0&amp;row=9982&amp;col=7&amp;number=0.00188&amp;sourceID=14","0.00188")</f>
        <v>0.00188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HYPERLINK("http://141.218.60.56/~jnz1568/getInfo.php?workbook=12_04.xlsx&amp;sheet=U0&amp;row=9983&amp;col=6&amp;number=4.9&amp;sourceID=14","4.9")</f>
        <v>4.9</v>
      </c>
      <c r="G9983" s="4" t="str">
        <f>HYPERLINK("http://141.218.60.56/~jnz1568/getInfo.php?workbook=12_04.xlsx&amp;sheet=U0&amp;row=9983&amp;col=7&amp;number=0.00188&amp;sourceID=14","0.00188")</f>
        <v>0.00188</v>
      </c>
    </row>
    <row r="9984" spans="1:7">
      <c r="A9984" s="3">
        <v>12</v>
      </c>
      <c r="B9984" s="3">
        <v>4</v>
      </c>
      <c r="C9984" s="3">
        <v>3</v>
      </c>
      <c r="D9984" s="3">
        <v>103</v>
      </c>
      <c r="E9984" s="3">
        <v>1</v>
      </c>
      <c r="F9984" s="4" t="str">
        <f>HYPERLINK("http://141.218.60.56/~jnz1568/getInfo.php?workbook=12_04.xlsx&amp;sheet=U0&amp;row=9984&amp;col=6&amp;number=3&amp;sourceID=14","3")</f>
        <v>3</v>
      </c>
      <c r="G9984" s="4" t="str">
        <f>HYPERLINK("http://141.218.60.56/~jnz1568/getInfo.php?workbook=12_04.xlsx&amp;sheet=U0&amp;row=9984&amp;col=7&amp;number=0.000371&amp;sourceID=14","0.000371")</f>
        <v>0.000371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HYPERLINK("http://141.218.60.56/~jnz1568/getInfo.php?workbook=12_04.xlsx&amp;sheet=U0&amp;row=9985&amp;col=6&amp;number=3.1&amp;sourceID=14","3.1")</f>
        <v>3.1</v>
      </c>
      <c r="G9985" s="4" t="str">
        <f>HYPERLINK("http://141.218.60.56/~jnz1568/getInfo.php?workbook=12_04.xlsx&amp;sheet=U0&amp;row=9985&amp;col=7&amp;number=0.000371&amp;sourceID=14","0.000371")</f>
        <v>0.000371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HYPERLINK("http://141.218.60.56/~jnz1568/getInfo.php?workbook=12_04.xlsx&amp;sheet=U0&amp;row=9986&amp;col=6&amp;number=3.2&amp;sourceID=14","3.2")</f>
        <v>3.2</v>
      </c>
      <c r="G9986" s="4" t="str">
        <f>HYPERLINK("http://141.218.60.56/~jnz1568/getInfo.php?workbook=12_04.xlsx&amp;sheet=U0&amp;row=9986&amp;col=7&amp;number=0.000371&amp;sourceID=14","0.000371")</f>
        <v>0.000371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HYPERLINK("http://141.218.60.56/~jnz1568/getInfo.php?workbook=12_04.xlsx&amp;sheet=U0&amp;row=9987&amp;col=6&amp;number=3.3&amp;sourceID=14","3.3")</f>
        <v>3.3</v>
      </c>
      <c r="G9987" s="4" t="str">
        <f>HYPERLINK("http://141.218.60.56/~jnz1568/getInfo.php?workbook=12_04.xlsx&amp;sheet=U0&amp;row=9987&amp;col=7&amp;number=0.000371&amp;sourceID=14","0.000371")</f>
        <v>0.000371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HYPERLINK("http://141.218.60.56/~jnz1568/getInfo.php?workbook=12_04.xlsx&amp;sheet=U0&amp;row=9988&amp;col=6&amp;number=3.4&amp;sourceID=14","3.4")</f>
        <v>3.4</v>
      </c>
      <c r="G9988" s="4" t="str">
        <f>HYPERLINK("http://141.218.60.56/~jnz1568/getInfo.php?workbook=12_04.xlsx&amp;sheet=U0&amp;row=9988&amp;col=7&amp;number=0.000371&amp;sourceID=14","0.000371")</f>
        <v>0.000371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HYPERLINK("http://141.218.60.56/~jnz1568/getInfo.php?workbook=12_04.xlsx&amp;sheet=U0&amp;row=9989&amp;col=6&amp;number=3.5&amp;sourceID=14","3.5")</f>
        <v>3.5</v>
      </c>
      <c r="G9989" s="4" t="str">
        <f>HYPERLINK("http://141.218.60.56/~jnz1568/getInfo.php?workbook=12_04.xlsx&amp;sheet=U0&amp;row=9989&amp;col=7&amp;number=0.000371&amp;sourceID=14","0.000371")</f>
        <v>0.000371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HYPERLINK("http://141.218.60.56/~jnz1568/getInfo.php?workbook=12_04.xlsx&amp;sheet=U0&amp;row=9990&amp;col=6&amp;number=3.6&amp;sourceID=14","3.6")</f>
        <v>3.6</v>
      </c>
      <c r="G9990" s="4" t="str">
        <f>HYPERLINK("http://141.218.60.56/~jnz1568/getInfo.php?workbook=12_04.xlsx&amp;sheet=U0&amp;row=9990&amp;col=7&amp;number=0.000371&amp;sourceID=14","0.000371")</f>
        <v>0.000371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HYPERLINK("http://141.218.60.56/~jnz1568/getInfo.php?workbook=12_04.xlsx&amp;sheet=U0&amp;row=9991&amp;col=6&amp;number=3.7&amp;sourceID=14","3.7")</f>
        <v>3.7</v>
      </c>
      <c r="G9991" s="4" t="str">
        <f>HYPERLINK("http://141.218.60.56/~jnz1568/getInfo.php?workbook=12_04.xlsx&amp;sheet=U0&amp;row=9991&amp;col=7&amp;number=0.000371&amp;sourceID=14","0.000371")</f>
        <v>0.000371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HYPERLINK("http://141.218.60.56/~jnz1568/getInfo.php?workbook=12_04.xlsx&amp;sheet=U0&amp;row=9992&amp;col=6&amp;number=3.8&amp;sourceID=14","3.8")</f>
        <v>3.8</v>
      </c>
      <c r="G9992" s="4" t="str">
        <f>HYPERLINK("http://141.218.60.56/~jnz1568/getInfo.php?workbook=12_04.xlsx&amp;sheet=U0&amp;row=9992&amp;col=7&amp;number=0.00037&amp;sourceID=14","0.00037")</f>
        <v>0.00037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HYPERLINK("http://141.218.60.56/~jnz1568/getInfo.php?workbook=12_04.xlsx&amp;sheet=U0&amp;row=9993&amp;col=6&amp;number=3.9&amp;sourceID=14","3.9")</f>
        <v>3.9</v>
      </c>
      <c r="G9993" s="4" t="str">
        <f>HYPERLINK("http://141.218.60.56/~jnz1568/getInfo.php?workbook=12_04.xlsx&amp;sheet=U0&amp;row=9993&amp;col=7&amp;number=0.00037&amp;sourceID=14","0.00037")</f>
        <v>0.00037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HYPERLINK("http://141.218.60.56/~jnz1568/getInfo.php?workbook=12_04.xlsx&amp;sheet=U0&amp;row=9994&amp;col=6&amp;number=4&amp;sourceID=14","4")</f>
        <v>4</v>
      </c>
      <c r="G9994" s="4" t="str">
        <f>HYPERLINK("http://141.218.60.56/~jnz1568/getInfo.php?workbook=12_04.xlsx&amp;sheet=U0&amp;row=9994&amp;col=7&amp;number=0.00037&amp;sourceID=14","0.00037")</f>
        <v>0.00037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HYPERLINK("http://141.218.60.56/~jnz1568/getInfo.php?workbook=12_04.xlsx&amp;sheet=U0&amp;row=9995&amp;col=6&amp;number=4.1&amp;sourceID=14","4.1")</f>
        <v>4.1</v>
      </c>
      <c r="G9995" s="4" t="str">
        <f>HYPERLINK("http://141.218.60.56/~jnz1568/getInfo.php?workbook=12_04.xlsx&amp;sheet=U0&amp;row=9995&amp;col=7&amp;number=0.000369&amp;sourceID=14","0.000369")</f>
        <v>0.000369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HYPERLINK("http://141.218.60.56/~jnz1568/getInfo.php?workbook=12_04.xlsx&amp;sheet=U0&amp;row=9996&amp;col=6&amp;number=4.2&amp;sourceID=14","4.2")</f>
        <v>4.2</v>
      </c>
      <c r="G9996" s="4" t="str">
        <f>HYPERLINK("http://141.218.60.56/~jnz1568/getInfo.php?workbook=12_04.xlsx&amp;sheet=U0&amp;row=9996&amp;col=7&amp;number=0.000369&amp;sourceID=14","0.000369")</f>
        <v>0.000369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HYPERLINK("http://141.218.60.56/~jnz1568/getInfo.php?workbook=12_04.xlsx&amp;sheet=U0&amp;row=9997&amp;col=6&amp;number=4.3&amp;sourceID=14","4.3")</f>
        <v>4.3</v>
      </c>
      <c r="G9997" s="4" t="str">
        <f>HYPERLINK("http://141.218.60.56/~jnz1568/getInfo.php?workbook=12_04.xlsx&amp;sheet=U0&amp;row=9997&amp;col=7&amp;number=0.000368&amp;sourceID=14","0.000368")</f>
        <v>0.000368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HYPERLINK("http://141.218.60.56/~jnz1568/getInfo.php?workbook=12_04.xlsx&amp;sheet=U0&amp;row=9998&amp;col=6&amp;number=4.4&amp;sourceID=14","4.4")</f>
        <v>4.4</v>
      </c>
      <c r="G9998" s="4" t="str">
        <f>HYPERLINK("http://141.218.60.56/~jnz1568/getInfo.php?workbook=12_04.xlsx&amp;sheet=U0&amp;row=9998&amp;col=7&amp;number=0.000367&amp;sourceID=14","0.000367")</f>
        <v>0.000367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HYPERLINK("http://141.218.60.56/~jnz1568/getInfo.php?workbook=12_04.xlsx&amp;sheet=U0&amp;row=9999&amp;col=6&amp;number=4.5&amp;sourceID=14","4.5")</f>
        <v>4.5</v>
      </c>
      <c r="G9999" s="4" t="str">
        <f>HYPERLINK("http://141.218.60.56/~jnz1568/getInfo.php?workbook=12_04.xlsx&amp;sheet=U0&amp;row=9999&amp;col=7&amp;number=0.000366&amp;sourceID=14","0.000366")</f>
        <v>0.000366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HYPERLINK("http://141.218.60.56/~jnz1568/getInfo.php?workbook=12_04.xlsx&amp;sheet=U0&amp;row=10000&amp;col=6&amp;number=4.6&amp;sourceID=14","4.6")</f>
        <v>4.6</v>
      </c>
      <c r="G10000" s="4" t="str">
        <f>HYPERLINK("http://141.218.60.56/~jnz1568/getInfo.php?workbook=12_04.xlsx&amp;sheet=U0&amp;row=10000&amp;col=7&amp;number=0.000365&amp;sourceID=14","0.000365")</f>
        <v>0.000365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HYPERLINK("http://141.218.60.56/~jnz1568/getInfo.php?workbook=12_04.xlsx&amp;sheet=U0&amp;row=10001&amp;col=6&amp;number=4.7&amp;sourceID=14","4.7")</f>
        <v>4.7</v>
      </c>
      <c r="G10001" s="4" t="str">
        <f>HYPERLINK("http://141.218.60.56/~jnz1568/getInfo.php?workbook=12_04.xlsx&amp;sheet=U0&amp;row=10001&amp;col=7&amp;number=0.000363&amp;sourceID=14","0.000363")</f>
        <v>0.000363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HYPERLINK("http://141.218.60.56/~jnz1568/getInfo.php?workbook=12_04.xlsx&amp;sheet=U0&amp;row=10002&amp;col=6&amp;number=4.8&amp;sourceID=14","4.8")</f>
        <v>4.8</v>
      </c>
      <c r="G10002" s="4" t="str">
        <f>HYPERLINK("http://141.218.60.56/~jnz1568/getInfo.php?workbook=12_04.xlsx&amp;sheet=U0&amp;row=10002&amp;col=7&amp;number=0.000361&amp;sourceID=14","0.000361")</f>
        <v>0.000361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HYPERLINK("http://141.218.60.56/~jnz1568/getInfo.php?workbook=12_04.xlsx&amp;sheet=U0&amp;row=10003&amp;col=6&amp;number=4.9&amp;sourceID=14","4.9")</f>
        <v>4.9</v>
      </c>
      <c r="G10003" s="4" t="str">
        <f>HYPERLINK("http://141.218.60.56/~jnz1568/getInfo.php?workbook=12_04.xlsx&amp;sheet=U0&amp;row=10003&amp;col=7&amp;number=0.000359&amp;sourceID=14","0.000359")</f>
        <v>0.000359</v>
      </c>
    </row>
    <row r="10004" spans="1:7">
      <c r="A10004" s="3">
        <v>12</v>
      </c>
      <c r="B10004" s="3">
        <v>4</v>
      </c>
      <c r="C10004" s="3">
        <v>3</v>
      </c>
      <c r="D10004" s="3">
        <v>104</v>
      </c>
      <c r="E10004" s="3">
        <v>1</v>
      </c>
      <c r="F10004" s="4" t="str">
        <f>HYPERLINK("http://141.218.60.56/~jnz1568/getInfo.php?workbook=12_04.xlsx&amp;sheet=U0&amp;row=10004&amp;col=6&amp;number=3&amp;sourceID=14","3")</f>
        <v>3</v>
      </c>
      <c r="G10004" s="4" t="str">
        <f>HYPERLINK("http://141.218.60.56/~jnz1568/getInfo.php?workbook=12_04.xlsx&amp;sheet=U0&amp;row=10004&amp;col=7&amp;number=0.00118&amp;sourceID=14","0.00118")</f>
        <v>0.00118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HYPERLINK("http://141.218.60.56/~jnz1568/getInfo.php?workbook=12_04.xlsx&amp;sheet=U0&amp;row=10005&amp;col=6&amp;number=3.1&amp;sourceID=14","3.1")</f>
        <v>3.1</v>
      </c>
      <c r="G10005" s="4" t="str">
        <f>HYPERLINK("http://141.218.60.56/~jnz1568/getInfo.php?workbook=12_04.xlsx&amp;sheet=U0&amp;row=10005&amp;col=7&amp;number=0.00118&amp;sourceID=14","0.00118")</f>
        <v>0.00118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HYPERLINK("http://141.218.60.56/~jnz1568/getInfo.php?workbook=12_04.xlsx&amp;sheet=U0&amp;row=10006&amp;col=6&amp;number=3.2&amp;sourceID=14","3.2")</f>
        <v>3.2</v>
      </c>
      <c r="G10006" s="4" t="str">
        <f>HYPERLINK("http://141.218.60.56/~jnz1568/getInfo.php?workbook=12_04.xlsx&amp;sheet=U0&amp;row=10006&amp;col=7&amp;number=0.00118&amp;sourceID=14","0.00118")</f>
        <v>0.00118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HYPERLINK("http://141.218.60.56/~jnz1568/getInfo.php?workbook=12_04.xlsx&amp;sheet=U0&amp;row=10007&amp;col=6&amp;number=3.3&amp;sourceID=14","3.3")</f>
        <v>3.3</v>
      </c>
      <c r="G10007" s="4" t="str">
        <f>HYPERLINK("http://141.218.60.56/~jnz1568/getInfo.php?workbook=12_04.xlsx&amp;sheet=U0&amp;row=10007&amp;col=7&amp;number=0.00118&amp;sourceID=14","0.00118")</f>
        <v>0.00118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HYPERLINK("http://141.218.60.56/~jnz1568/getInfo.php?workbook=12_04.xlsx&amp;sheet=U0&amp;row=10008&amp;col=6&amp;number=3.4&amp;sourceID=14","3.4")</f>
        <v>3.4</v>
      </c>
      <c r="G10008" s="4" t="str">
        <f>HYPERLINK("http://141.218.60.56/~jnz1568/getInfo.php?workbook=12_04.xlsx&amp;sheet=U0&amp;row=10008&amp;col=7&amp;number=0.00118&amp;sourceID=14","0.00118")</f>
        <v>0.00118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HYPERLINK("http://141.218.60.56/~jnz1568/getInfo.php?workbook=12_04.xlsx&amp;sheet=U0&amp;row=10009&amp;col=6&amp;number=3.5&amp;sourceID=14","3.5")</f>
        <v>3.5</v>
      </c>
      <c r="G10009" s="4" t="str">
        <f>HYPERLINK("http://141.218.60.56/~jnz1568/getInfo.php?workbook=12_04.xlsx&amp;sheet=U0&amp;row=10009&amp;col=7&amp;number=0.00118&amp;sourceID=14","0.00118")</f>
        <v>0.00118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HYPERLINK("http://141.218.60.56/~jnz1568/getInfo.php?workbook=12_04.xlsx&amp;sheet=U0&amp;row=10010&amp;col=6&amp;number=3.6&amp;sourceID=14","3.6")</f>
        <v>3.6</v>
      </c>
      <c r="G10010" s="4" t="str">
        <f>HYPERLINK("http://141.218.60.56/~jnz1568/getInfo.php?workbook=12_04.xlsx&amp;sheet=U0&amp;row=10010&amp;col=7&amp;number=0.00118&amp;sourceID=14","0.00118")</f>
        <v>0.00118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HYPERLINK("http://141.218.60.56/~jnz1568/getInfo.php?workbook=12_04.xlsx&amp;sheet=U0&amp;row=10011&amp;col=6&amp;number=3.7&amp;sourceID=14","3.7")</f>
        <v>3.7</v>
      </c>
      <c r="G10011" s="4" t="str">
        <f>HYPERLINK("http://141.218.60.56/~jnz1568/getInfo.php?workbook=12_04.xlsx&amp;sheet=U0&amp;row=10011&amp;col=7&amp;number=0.00118&amp;sourceID=14","0.00118")</f>
        <v>0.00118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HYPERLINK("http://141.218.60.56/~jnz1568/getInfo.php?workbook=12_04.xlsx&amp;sheet=U0&amp;row=10012&amp;col=6&amp;number=3.8&amp;sourceID=14","3.8")</f>
        <v>3.8</v>
      </c>
      <c r="G10012" s="4" t="str">
        <f>HYPERLINK("http://141.218.60.56/~jnz1568/getInfo.php?workbook=12_04.xlsx&amp;sheet=U0&amp;row=10012&amp;col=7&amp;number=0.00118&amp;sourceID=14","0.00118")</f>
        <v>0.00118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HYPERLINK("http://141.218.60.56/~jnz1568/getInfo.php?workbook=12_04.xlsx&amp;sheet=U0&amp;row=10013&amp;col=6&amp;number=3.9&amp;sourceID=14","3.9")</f>
        <v>3.9</v>
      </c>
      <c r="G10013" s="4" t="str">
        <f>HYPERLINK("http://141.218.60.56/~jnz1568/getInfo.php?workbook=12_04.xlsx&amp;sheet=U0&amp;row=10013&amp;col=7&amp;number=0.00118&amp;sourceID=14","0.00118")</f>
        <v>0.00118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HYPERLINK("http://141.218.60.56/~jnz1568/getInfo.php?workbook=12_04.xlsx&amp;sheet=U0&amp;row=10014&amp;col=6&amp;number=4&amp;sourceID=14","4")</f>
        <v>4</v>
      </c>
      <c r="G10014" s="4" t="str">
        <f>HYPERLINK("http://141.218.60.56/~jnz1568/getInfo.php?workbook=12_04.xlsx&amp;sheet=U0&amp;row=10014&amp;col=7&amp;number=0.00118&amp;sourceID=14","0.00118")</f>
        <v>0.00118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HYPERLINK("http://141.218.60.56/~jnz1568/getInfo.php?workbook=12_04.xlsx&amp;sheet=U0&amp;row=10015&amp;col=6&amp;number=4.1&amp;sourceID=14","4.1")</f>
        <v>4.1</v>
      </c>
      <c r="G10015" s="4" t="str">
        <f>HYPERLINK("http://141.218.60.56/~jnz1568/getInfo.php?workbook=12_04.xlsx&amp;sheet=U0&amp;row=10015&amp;col=7&amp;number=0.00118&amp;sourceID=14","0.00118")</f>
        <v>0.00118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HYPERLINK("http://141.218.60.56/~jnz1568/getInfo.php?workbook=12_04.xlsx&amp;sheet=U0&amp;row=10016&amp;col=6&amp;number=4.2&amp;sourceID=14","4.2")</f>
        <v>4.2</v>
      </c>
      <c r="G10016" s="4" t="str">
        <f>HYPERLINK("http://141.218.60.56/~jnz1568/getInfo.php?workbook=12_04.xlsx&amp;sheet=U0&amp;row=10016&amp;col=7&amp;number=0.00118&amp;sourceID=14","0.00118")</f>
        <v>0.00118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HYPERLINK("http://141.218.60.56/~jnz1568/getInfo.php?workbook=12_04.xlsx&amp;sheet=U0&amp;row=10017&amp;col=6&amp;number=4.3&amp;sourceID=14","4.3")</f>
        <v>4.3</v>
      </c>
      <c r="G10017" s="4" t="str">
        <f>HYPERLINK("http://141.218.60.56/~jnz1568/getInfo.php?workbook=12_04.xlsx&amp;sheet=U0&amp;row=10017&amp;col=7&amp;number=0.00118&amp;sourceID=14","0.00118")</f>
        <v>0.00118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HYPERLINK("http://141.218.60.56/~jnz1568/getInfo.php?workbook=12_04.xlsx&amp;sheet=U0&amp;row=10018&amp;col=6&amp;number=4.4&amp;sourceID=14","4.4")</f>
        <v>4.4</v>
      </c>
      <c r="G10018" s="4" t="str">
        <f>HYPERLINK("http://141.218.60.56/~jnz1568/getInfo.php?workbook=12_04.xlsx&amp;sheet=U0&amp;row=10018&amp;col=7&amp;number=0.00118&amp;sourceID=14","0.00118")</f>
        <v>0.00118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HYPERLINK("http://141.218.60.56/~jnz1568/getInfo.php?workbook=12_04.xlsx&amp;sheet=U0&amp;row=10019&amp;col=6&amp;number=4.5&amp;sourceID=14","4.5")</f>
        <v>4.5</v>
      </c>
      <c r="G10019" s="4" t="str">
        <f>HYPERLINK("http://141.218.60.56/~jnz1568/getInfo.php?workbook=12_04.xlsx&amp;sheet=U0&amp;row=10019&amp;col=7&amp;number=0.00118&amp;sourceID=14","0.00118")</f>
        <v>0.00118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HYPERLINK("http://141.218.60.56/~jnz1568/getInfo.php?workbook=12_04.xlsx&amp;sheet=U0&amp;row=10020&amp;col=6&amp;number=4.6&amp;sourceID=14","4.6")</f>
        <v>4.6</v>
      </c>
      <c r="G10020" s="4" t="str">
        <f>HYPERLINK("http://141.218.60.56/~jnz1568/getInfo.php?workbook=12_04.xlsx&amp;sheet=U0&amp;row=10020&amp;col=7&amp;number=0.00117&amp;sourceID=14","0.00117")</f>
        <v>0.00117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HYPERLINK("http://141.218.60.56/~jnz1568/getInfo.php?workbook=12_04.xlsx&amp;sheet=U0&amp;row=10021&amp;col=6&amp;number=4.7&amp;sourceID=14","4.7")</f>
        <v>4.7</v>
      </c>
      <c r="G10021" s="4" t="str">
        <f>HYPERLINK("http://141.218.60.56/~jnz1568/getInfo.php?workbook=12_04.xlsx&amp;sheet=U0&amp;row=10021&amp;col=7&amp;number=0.00117&amp;sourceID=14","0.00117")</f>
        <v>0.00117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HYPERLINK("http://141.218.60.56/~jnz1568/getInfo.php?workbook=12_04.xlsx&amp;sheet=U0&amp;row=10022&amp;col=6&amp;number=4.8&amp;sourceID=14","4.8")</f>
        <v>4.8</v>
      </c>
      <c r="G10022" s="4" t="str">
        <f>HYPERLINK("http://141.218.60.56/~jnz1568/getInfo.php?workbook=12_04.xlsx&amp;sheet=U0&amp;row=10022&amp;col=7&amp;number=0.00117&amp;sourceID=14","0.00117")</f>
        <v>0.00117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HYPERLINK("http://141.218.60.56/~jnz1568/getInfo.php?workbook=12_04.xlsx&amp;sheet=U0&amp;row=10023&amp;col=6&amp;number=4.9&amp;sourceID=14","4.9")</f>
        <v>4.9</v>
      </c>
      <c r="G10023" s="4" t="str">
        <f>HYPERLINK("http://141.218.60.56/~jnz1568/getInfo.php?workbook=12_04.xlsx&amp;sheet=U0&amp;row=10023&amp;col=7&amp;number=0.00117&amp;sourceID=14","0.00117")</f>
        <v>0.00117</v>
      </c>
    </row>
    <row r="10024" spans="1:7">
      <c r="A10024" s="3">
        <v>12</v>
      </c>
      <c r="B10024" s="3">
        <v>4</v>
      </c>
      <c r="C10024" s="3">
        <v>3</v>
      </c>
      <c r="D10024" s="3">
        <v>105</v>
      </c>
      <c r="E10024" s="3">
        <v>1</v>
      </c>
      <c r="F10024" s="4" t="str">
        <f>HYPERLINK("http://141.218.60.56/~jnz1568/getInfo.php?workbook=12_04.xlsx&amp;sheet=U0&amp;row=10024&amp;col=6&amp;number=3&amp;sourceID=14","3")</f>
        <v>3</v>
      </c>
      <c r="G10024" s="4" t="str">
        <f>HYPERLINK("http://141.218.60.56/~jnz1568/getInfo.php?workbook=12_04.xlsx&amp;sheet=U0&amp;row=10024&amp;col=7&amp;number=0.00595&amp;sourceID=14","0.00595")</f>
        <v>0.00595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HYPERLINK("http://141.218.60.56/~jnz1568/getInfo.php?workbook=12_04.xlsx&amp;sheet=U0&amp;row=10025&amp;col=6&amp;number=3.1&amp;sourceID=14","3.1")</f>
        <v>3.1</v>
      </c>
      <c r="G10025" s="4" t="str">
        <f>HYPERLINK("http://141.218.60.56/~jnz1568/getInfo.php?workbook=12_04.xlsx&amp;sheet=U0&amp;row=10025&amp;col=7&amp;number=0.00595&amp;sourceID=14","0.00595")</f>
        <v>0.00595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HYPERLINK("http://141.218.60.56/~jnz1568/getInfo.php?workbook=12_04.xlsx&amp;sheet=U0&amp;row=10026&amp;col=6&amp;number=3.2&amp;sourceID=14","3.2")</f>
        <v>3.2</v>
      </c>
      <c r="G10026" s="4" t="str">
        <f>HYPERLINK("http://141.218.60.56/~jnz1568/getInfo.php?workbook=12_04.xlsx&amp;sheet=U0&amp;row=10026&amp;col=7&amp;number=0.00595&amp;sourceID=14","0.00595")</f>
        <v>0.00595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HYPERLINK("http://141.218.60.56/~jnz1568/getInfo.php?workbook=12_04.xlsx&amp;sheet=U0&amp;row=10027&amp;col=6&amp;number=3.3&amp;sourceID=14","3.3")</f>
        <v>3.3</v>
      </c>
      <c r="G10027" s="4" t="str">
        <f>HYPERLINK("http://141.218.60.56/~jnz1568/getInfo.php?workbook=12_04.xlsx&amp;sheet=U0&amp;row=10027&amp;col=7&amp;number=0.00595&amp;sourceID=14","0.00595")</f>
        <v>0.00595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HYPERLINK("http://141.218.60.56/~jnz1568/getInfo.php?workbook=12_04.xlsx&amp;sheet=U0&amp;row=10028&amp;col=6&amp;number=3.4&amp;sourceID=14","3.4")</f>
        <v>3.4</v>
      </c>
      <c r="G10028" s="4" t="str">
        <f>HYPERLINK("http://141.218.60.56/~jnz1568/getInfo.php?workbook=12_04.xlsx&amp;sheet=U0&amp;row=10028&amp;col=7&amp;number=0.00595&amp;sourceID=14","0.00595")</f>
        <v>0.00595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HYPERLINK("http://141.218.60.56/~jnz1568/getInfo.php?workbook=12_04.xlsx&amp;sheet=U0&amp;row=10029&amp;col=6&amp;number=3.5&amp;sourceID=14","3.5")</f>
        <v>3.5</v>
      </c>
      <c r="G10029" s="4" t="str">
        <f>HYPERLINK("http://141.218.60.56/~jnz1568/getInfo.php?workbook=12_04.xlsx&amp;sheet=U0&amp;row=10029&amp;col=7&amp;number=0.00595&amp;sourceID=14","0.00595")</f>
        <v>0.00595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HYPERLINK("http://141.218.60.56/~jnz1568/getInfo.php?workbook=12_04.xlsx&amp;sheet=U0&amp;row=10030&amp;col=6&amp;number=3.6&amp;sourceID=14","3.6")</f>
        <v>3.6</v>
      </c>
      <c r="G10030" s="4" t="str">
        <f>HYPERLINK("http://141.218.60.56/~jnz1568/getInfo.php?workbook=12_04.xlsx&amp;sheet=U0&amp;row=10030&amp;col=7&amp;number=0.00595&amp;sourceID=14","0.00595")</f>
        <v>0.00595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HYPERLINK("http://141.218.60.56/~jnz1568/getInfo.php?workbook=12_04.xlsx&amp;sheet=U0&amp;row=10031&amp;col=6&amp;number=3.7&amp;sourceID=14","3.7")</f>
        <v>3.7</v>
      </c>
      <c r="G10031" s="4" t="str">
        <f>HYPERLINK("http://141.218.60.56/~jnz1568/getInfo.php?workbook=12_04.xlsx&amp;sheet=U0&amp;row=10031&amp;col=7&amp;number=0.00596&amp;sourceID=14","0.00596")</f>
        <v>0.00596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HYPERLINK("http://141.218.60.56/~jnz1568/getInfo.php?workbook=12_04.xlsx&amp;sheet=U0&amp;row=10032&amp;col=6&amp;number=3.8&amp;sourceID=14","3.8")</f>
        <v>3.8</v>
      </c>
      <c r="G10032" s="4" t="str">
        <f>HYPERLINK("http://141.218.60.56/~jnz1568/getInfo.php?workbook=12_04.xlsx&amp;sheet=U0&amp;row=10032&amp;col=7&amp;number=0.00596&amp;sourceID=14","0.00596")</f>
        <v>0.00596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HYPERLINK("http://141.218.60.56/~jnz1568/getInfo.php?workbook=12_04.xlsx&amp;sheet=U0&amp;row=10033&amp;col=6&amp;number=3.9&amp;sourceID=14","3.9")</f>
        <v>3.9</v>
      </c>
      <c r="G10033" s="4" t="str">
        <f>HYPERLINK("http://141.218.60.56/~jnz1568/getInfo.php?workbook=12_04.xlsx&amp;sheet=U0&amp;row=10033&amp;col=7&amp;number=0.00596&amp;sourceID=14","0.00596")</f>
        <v>0.00596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HYPERLINK("http://141.218.60.56/~jnz1568/getInfo.php?workbook=12_04.xlsx&amp;sheet=U0&amp;row=10034&amp;col=6&amp;number=4&amp;sourceID=14","4")</f>
        <v>4</v>
      </c>
      <c r="G10034" s="4" t="str">
        <f>HYPERLINK("http://141.218.60.56/~jnz1568/getInfo.php?workbook=12_04.xlsx&amp;sheet=U0&amp;row=10034&amp;col=7&amp;number=0.00596&amp;sourceID=14","0.00596")</f>
        <v>0.00596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HYPERLINK("http://141.218.60.56/~jnz1568/getInfo.php?workbook=12_04.xlsx&amp;sheet=U0&amp;row=10035&amp;col=6&amp;number=4.1&amp;sourceID=14","4.1")</f>
        <v>4.1</v>
      </c>
      <c r="G10035" s="4" t="str">
        <f>HYPERLINK("http://141.218.60.56/~jnz1568/getInfo.php?workbook=12_04.xlsx&amp;sheet=U0&amp;row=10035&amp;col=7&amp;number=0.00597&amp;sourceID=14","0.00597")</f>
        <v>0.00597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HYPERLINK("http://141.218.60.56/~jnz1568/getInfo.php?workbook=12_04.xlsx&amp;sheet=U0&amp;row=10036&amp;col=6&amp;number=4.2&amp;sourceID=14","4.2")</f>
        <v>4.2</v>
      </c>
      <c r="G10036" s="4" t="str">
        <f>HYPERLINK("http://141.218.60.56/~jnz1568/getInfo.php?workbook=12_04.xlsx&amp;sheet=U0&amp;row=10036&amp;col=7&amp;number=0.00597&amp;sourceID=14","0.00597")</f>
        <v>0.00597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HYPERLINK("http://141.218.60.56/~jnz1568/getInfo.php?workbook=12_04.xlsx&amp;sheet=U0&amp;row=10037&amp;col=6&amp;number=4.3&amp;sourceID=14","4.3")</f>
        <v>4.3</v>
      </c>
      <c r="G10037" s="4" t="str">
        <f>HYPERLINK("http://141.218.60.56/~jnz1568/getInfo.php?workbook=12_04.xlsx&amp;sheet=U0&amp;row=10037&amp;col=7&amp;number=0.00597&amp;sourceID=14","0.00597")</f>
        <v>0.00597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HYPERLINK("http://141.218.60.56/~jnz1568/getInfo.php?workbook=12_04.xlsx&amp;sheet=U0&amp;row=10038&amp;col=6&amp;number=4.4&amp;sourceID=14","4.4")</f>
        <v>4.4</v>
      </c>
      <c r="G10038" s="4" t="str">
        <f>HYPERLINK("http://141.218.60.56/~jnz1568/getInfo.php?workbook=12_04.xlsx&amp;sheet=U0&amp;row=10038&amp;col=7&amp;number=0.00598&amp;sourceID=14","0.00598")</f>
        <v>0.00598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HYPERLINK("http://141.218.60.56/~jnz1568/getInfo.php?workbook=12_04.xlsx&amp;sheet=U0&amp;row=10039&amp;col=6&amp;number=4.5&amp;sourceID=14","4.5")</f>
        <v>4.5</v>
      </c>
      <c r="G10039" s="4" t="str">
        <f>HYPERLINK("http://141.218.60.56/~jnz1568/getInfo.php?workbook=12_04.xlsx&amp;sheet=U0&amp;row=10039&amp;col=7&amp;number=0.00599&amp;sourceID=14","0.00599")</f>
        <v>0.00599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HYPERLINK("http://141.218.60.56/~jnz1568/getInfo.php?workbook=12_04.xlsx&amp;sheet=U0&amp;row=10040&amp;col=6&amp;number=4.6&amp;sourceID=14","4.6")</f>
        <v>4.6</v>
      </c>
      <c r="G10040" s="4" t="str">
        <f>HYPERLINK("http://141.218.60.56/~jnz1568/getInfo.php?workbook=12_04.xlsx&amp;sheet=U0&amp;row=10040&amp;col=7&amp;number=0.006&amp;sourceID=14","0.006")</f>
        <v>0.006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HYPERLINK("http://141.218.60.56/~jnz1568/getInfo.php?workbook=12_04.xlsx&amp;sheet=U0&amp;row=10041&amp;col=6&amp;number=4.7&amp;sourceID=14","4.7")</f>
        <v>4.7</v>
      </c>
      <c r="G10041" s="4" t="str">
        <f>HYPERLINK("http://141.218.60.56/~jnz1568/getInfo.php?workbook=12_04.xlsx&amp;sheet=U0&amp;row=10041&amp;col=7&amp;number=0.00601&amp;sourceID=14","0.00601")</f>
        <v>0.00601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HYPERLINK("http://141.218.60.56/~jnz1568/getInfo.php?workbook=12_04.xlsx&amp;sheet=U0&amp;row=10042&amp;col=6&amp;number=4.8&amp;sourceID=14","4.8")</f>
        <v>4.8</v>
      </c>
      <c r="G10042" s="4" t="str">
        <f>HYPERLINK("http://141.218.60.56/~jnz1568/getInfo.php?workbook=12_04.xlsx&amp;sheet=U0&amp;row=10042&amp;col=7&amp;number=0.00603&amp;sourceID=14","0.00603")</f>
        <v>0.00603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HYPERLINK("http://141.218.60.56/~jnz1568/getInfo.php?workbook=12_04.xlsx&amp;sheet=U0&amp;row=10043&amp;col=6&amp;number=4.9&amp;sourceID=14","4.9")</f>
        <v>4.9</v>
      </c>
      <c r="G10043" s="4" t="str">
        <f>HYPERLINK("http://141.218.60.56/~jnz1568/getInfo.php?workbook=12_04.xlsx&amp;sheet=U0&amp;row=10043&amp;col=7&amp;number=0.00605&amp;sourceID=14","0.00605")</f>
        <v>0.00605</v>
      </c>
    </row>
    <row r="10044" spans="1:7">
      <c r="A10044" s="3">
        <v>12</v>
      </c>
      <c r="B10044" s="3">
        <v>4</v>
      </c>
      <c r="C10044" s="3">
        <v>3</v>
      </c>
      <c r="D10044" s="3">
        <v>106</v>
      </c>
      <c r="E10044" s="3">
        <v>1</v>
      </c>
      <c r="F10044" s="4" t="str">
        <f>HYPERLINK("http://141.218.60.56/~jnz1568/getInfo.php?workbook=12_04.xlsx&amp;sheet=U0&amp;row=10044&amp;col=6&amp;number=3&amp;sourceID=14","3")</f>
        <v>3</v>
      </c>
      <c r="G10044" s="4" t="str">
        <f>HYPERLINK("http://141.218.60.56/~jnz1568/getInfo.php?workbook=12_04.xlsx&amp;sheet=U0&amp;row=10044&amp;col=7&amp;number=0.0139&amp;sourceID=14","0.0139")</f>
        <v>0.0139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HYPERLINK("http://141.218.60.56/~jnz1568/getInfo.php?workbook=12_04.xlsx&amp;sheet=U0&amp;row=10045&amp;col=6&amp;number=3.1&amp;sourceID=14","3.1")</f>
        <v>3.1</v>
      </c>
      <c r="G10045" s="4" t="str">
        <f>HYPERLINK("http://141.218.60.56/~jnz1568/getInfo.php?workbook=12_04.xlsx&amp;sheet=U0&amp;row=10045&amp;col=7&amp;number=0.0139&amp;sourceID=14","0.0139")</f>
        <v>0.0139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HYPERLINK("http://141.218.60.56/~jnz1568/getInfo.php?workbook=12_04.xlsx&amp;sheet=U0&amp;row=10046&amp;col=6&amp;number=3.2&amp;sourceID=14","3.2")</f>
        <v>3.2</v>
      </c>
      <c r="G10046" s="4" t="str">
        <f>HYPERLINK("http://141.218.60.56/~jnz1568/getInfo.php?workbook=12_04.xlsx&amp;sheet=U0&amp;row=10046&amp;col=7&amp;number=0.0139&amp;sourceID=14","0.0139")</f>
        <v>0.0139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HYPERLINK("http://141.218.60.56/~jnz1568/getInfo.php?workbook=12_04.xlsx&amp;sheet=U0&amp;row=10047&amp;col=6&amp;number=3.3&amp;sourceID=14","3.3")</f>
        <v>3.3</v>
      </c>
      <c r="G10047" s="4" t="str">
        <f>HYPERLINK("http://141.218.60.56/~jnz1568/getInfo.php?workbook=12_04.xlsx&amp;sheet=U0&amp;row=10047&amp;col=7&amp;number=0.0139&amp;sourceID=14","0.0139")</f>
        <v>0.0139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HYPERLINK("http://141.218.60.56/~jnz1568/getInfo.php?workbook=12_04.xlsx&amp;sheet=U0&amp;row=10048&amp;col=6&amp;number=3.4&amp;sourceID=14","3.4")</f>
        <v>3.4</v>
      </c>
      <c r="G10048" s="4" t="str">
        <f>HYPERLINK("http://141.218.60.56/~jnz1568/getInfo.php?workbook=12_04.xlsx&amp;sheet=U0&amp;row=10048&amp;col=7&amp;number=0.0139&amp;sourceID=14","0.0139")</f>
        <v>0.0139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HYPERLINK("http://141.218.60.56/~jnz1568/getInfo.php?workbook=12_04.xlsx&amp;sheet=U0&amp;row=10049&amp;col=6&amp;number=3.5&amp;sourceID=14","3.5")</f>
        <v>3.5</v>
      </c>
      <c r="G10049" s="4" t="str">
        <f>HYPERLINK("http://141.218.60.56/~jnz1568/getInfo.php?workbook=12_04.xlsx&amp;sheet=U0&amp;row=10049&amp;col=7&amp;number=0.0139&amp;sourceID=14","0.0139")</f>
        <v>0.0139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HYPERLINK("http://141.218.60.56/~jnz1568/getInfo.php?workbook=12_04.xlsx&amp;sheet=U0&amp;row=10050&amp;col=6&amp;number=3.6&amp;sourceID=14","3.6")</f>
        <v>3.6</v>
      </c>
      <c r="G10050" s="4" t="str">
        <f>HYPERLINK("http://141.218.60.56/~jnz1568/getInfo.php?workbook=12_04.xlsx&amp;sheet=U0&amp;row=10050&amp;col=7&amp;number=0.0139&amp;sourceID=14","0.0139")</f>
        <v>0.0139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HYPERLINK("http://141.218.60.56/~jnz1568/getInfo.php?workbook=12_04.xlsx&amp;sheet=U0&amp;row=10051&amp;col=6&amp;number=3.7&amp;sourceID=14","3.7")</f>
        <v>3.7</v>
      </c>
      <c r="G10051" s="4" t="str">
        <f>HYPERLINK("http://141.218.60.56/~jnz1568/getInfo.php?workbook=12_04.xlsx&amp;sheet=U0&amp;row=10051&amp;col=7&amp;number=0.0139&amp;sourceID=14","0.0139")</f>
        <v>0.0139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HYPERLINK("http://141.218.60.56/~jnz1568/getInfo.php?workbook=12_04.xlsx&amp;sheet=U0&amp;row=10052&amp;col=6&amp;number=3.8&amp;sourceID=14","3.8")</f>
        <v>3.8</v>
      </c>
      <c r="G10052" s="4" t="str">
        <f>HYPERLINK("http://141.218.60.56/~jnz1568/getInfo.php?workbook=12_04.xlsx&amp;sheet=U0&amp;row=10052&amp;col=7&amp;number=0.0139&amp;sourceID=14","0.0139")</f>
        <v>0.0139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HYPERLINK("http://141.218.60.56/~jnz1568/getInfo.php?workbook=12_04.xlsx&amp;sheet=U0&amp;row=10053&amp;col=6&amp;number=3.9&amp;sourceID=14","3.9")</f>
        <v>3.9</v>
      </c>
      <c r="G10053" s="4" t="str">
        <f>HYPERLINK("http://141.218.60.56/~jnz1568/getInfo.php?workbook=12_04.xlsx&amp;sheet=U0&amp;row=10053&amp;col=7&amp;number=0.0139&amp;sourceID=14","0.0139")</f>
        <v>0.0139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HYPERLINK("http://141.218.60.56/~jnz1568/getInfo.php?workbook=12_04.xlsx&amp;sheet=U0&amp;row=10054&amp;col=6&amp;number=4&amp;sourceID=14","4")</f>
        <v>4</v>
      </c>
      <c r="G10054" s="4" t="str">
        <f>HYPERLINK("http://141.218.60.56/~jnz1568/getInfo.php?workbook=12_04.xlsx&amp;sheet=U0&amp;row=10054&amp;col=7&amp;number=0.0139&amp;sourceID=14","0.0139")</f>
        <v>0.0139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HYPERLINK("http://141.218.60.56/~jnz1568/getInfo.php?workbook=12_04.xlsx&amp;sheet=U0&amp;row=10055&amp;col=6&amp;number=4.1&amp;sourceID=14","4.1")</f>
        <v>4.1</v>
      </c>
      <c r="G10055" s="4" t="str">
        <f>HYPERLINK("http://141.218.60.56/~jnz1568/getInfo.php?workbook=12_04.xlsx&amp;sheet=U0&amp;row=10055&amp;col=7&amp;number=0.014&amp;sourceID=14","0.014")</f>
        <v>0.014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HYPERLINK("http://141.218.60.56/~jnz1568/getInfo.php?workbook=12_04.xlsx&amp;sheet=U0&amp;row=10056&amp;col=6&amp;number=4.2&amp;sourceID=14","4.2")</f>
        <v>4.2</v>
      </c>
      <c r="G10056" s="4" t="str">
        <f>HYPERLINK("http://141.218.60.56/~jnz1568/getInfo.php?workbook=12_04.xlsx&amp;sheet=U0&amp;row=10056&amp;col=7&amp;number=0.014&amp;sourceID=14","0.014")</f>
        <v>0.014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HYPERLINK("http://141.218.60.56/~jnz1568/getInfo.php?workbook=12_04.xlsx&amp;sheet=U0&amp;row=10057&amp;col=6&amp;number=4.3&amp;sourceID=14","4.3")</f>
        <v>4.3</v>
      </c>
      <c r="G10057" s="4" t="str">
        <f>HYPERLINK("http://141.218.60.56/~jnz1568/getInfo.php?workbook=12_04.xlsx&amp;sheet=U0&amp;row=10057&amp;col=7&amp;number=0.014&amp;sourceID=14","0.014")</f>
        <v>0.014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HYPERLINK("http://141.218.60.56/~jnz1568/getInfo.php?workbook=12_04.xlsx&amp;sheet=U0&amp;row=10058&amp;col=6&amp;number=4.4&amp;sourceID=14","4.4")</f>
        <v>4.4</v>
      </c>
      <c r="G10058" s="4" t="str">
        <f>HYPERLINK("http://141.218.60.56/~jnz1568/getInfo.php?workbook=12_04.xlsx&amp;sheet=U0&amp;row=10058&amp;col=7&amp;number=0.014&amp;sourceID=14","0.014")</f>
        <v>0.014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HYPERLINK("http://141.218.60.56/~jnz1568/getInfo.php?workbook=12_04.xlsx&amp;sheet=U0&amp;row=10059&amp;col=6&amp;number=4.5&amp;sourceID=14","4.5")</f>
        <v>4.5</v>
      </c>
      <c r="G10059" s="4" t="str">
        <f>HYPERLINK("http://141.218.60.56/~jnz1568/getInfo.php?workbook=12_04.xlsx&amp;sheet=U0&amp;row=10059&amp;col=7&amp;number=0.014&amp;sourceID=14","0.014")</f>
        <v>0.014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HYPERLINK("http://141.218.60.56/~jnz1568/getInfo.php?workbook=12_04.xlsx&amp;sheet=U0&amp;row=10060&amp;col=6&amp;number=4.6&amp;sourceID=14","4.6")</f>
        <v>4.6</v>
      </c>
      <c r="G10060" s="4" t="str">
        <f>HYPERLINK("http://141.218.60.56/~jnz1568/getInfo.php?workbook=12_04.xlsx&amp;sheet=U0&amp;row=10060&amp;col=7&amp;number=0.0141&amp;sourceID=14","0.0141")</f>
        <v>0.0141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HYPERLINK("http://141.218.60.56/~jnz1568/getInfo.php?workbook=12_04.xlsx&amp;sheet=U0&amp;row=10061&amp;col=6&amp;number=4.7&amp;sourceID=14","4.7")</f>
        <v>4.7</v>
      </c>
      <c r="G10061" s="4" t="str">
        <f>HYPERLINK("http://141.218.60.56/~jnz1568/getInfo.php?workbook=12_04.xlsx&amp;sheet=U0&amp;row=10061&amp;col=7&amp;number=0.0141&amp;sourceID=14","0.0141")</f>
        <v>0.0141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HYPERLINK("http://141.218.60.56/~jnz1568/getInfo.php?workbook=12_04.xlsx&amp;sheet=U0&amp;row=10062&amp;col=6&amp;number=4.8&amp;sourceID=14","4.8")</f>
        <v>4.8</v>
      </c>
      <c r="G10062" s="4" t="str">
        <f>HYPERLINK("http://141.218.60.56/~jnz1568/getInfo.php?workbook=12_04.xlsx&amp;sheet=U0&amp;row=10062&amp;col=7&amp;number=0.0142&amp;sourceID=14","0.0142")</f>
        <v>0.0142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HYPERLINK("http://141.218.60.56/~jnz1568/getInfo.php?workbook=12_04.xlsx&amp;sheet=U0&amp;row=10063&amp;col=6&amp;number=4.9&amp;sourceID=14","4.9")</f>
        <v>4.9</v>
      </c>
      <c r="G10063" s="4" t="str">
        <f>HYPERLINK("http://141.218.60.56/~jnz1568/getInfo.php?workbook=12_04.xlsx&amp;sheet=U0&amp;row=10063&amp;col=7&amp;number=0.0143&amp;sourceID=14","0.0143")</f>
        <v>0.0143</v>
      </c>
    </row>
    <row r="10064" spans="1:7">
      <c r="A10064" s="3">
        <v>12</v>
      </c>
      <c r="B10064" s="3">
        <v>4</v>
      </c>
      <c r="C10064" s="3">
        <v>3</v>
      </c>
      <c r="D10064" s="3">
        <v>107</v>
      </c>
      <c r="E10064" s="3">
        <v>1</v>
      </c>
      <c r="F10064" s="4" t="str">
        <f>HYPERLINK("http://141.218.60.56/~jnz1568/getInfo.php?workbook=12_04.xlsx&amp;sheet=U0&amp;row=10064&amp;col=6&amp;number=3&amp;sourceID=14","3")</f>
        <v>3</v>
      </c>
      <c r="G10064" s="4" t="str">
        <f>HYPERLINK("http://141.218.60.56/~jnz1568/getInfo.php?workbook=12_04.xlsx&amp;sheet=U0&amp;row=10064&amp;col=7&amp;number=0.00377&amp;sourceID=14","0.00377")</f>
        <v>0.00377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HYPERLINK("http://141.218.60.56/~jnz1568/getInfo.php?workbook=12_04.xlsx&amp;sheet=U0&amp;row=10065&amp;col=6&amp;number=3.1&amp;sourceID=14","3.1")</f>
        <v>3.1</v>
      </c>
      <c r="G10065" s="4" t="str">
        <f>HYPERLINK("http://141.218.60.56/~jnz1568/getInfo.php?workbook=12_04.xlsx&amp;sheet=U0&amp;row=10065&amp;col=7&amp;number=0.00377&amp;sourceID=14","0.00377")</f>
        <v>0.00377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HYPERLINK("http://141.218.60.56/~jnz1568/getInfo.php?workbook=12_04.xlsx&amp;sheet=U0&amp;row=10066&amp;col=6&amp;number=3.2&amp;sourceID=14","3.2")</f>
        <v>3.2</v>
      </c>
      <c r="G10066" s="4" t="str">
        <f>HYPERLINK("http://141.218.60.56/~jnz1568/getInfo.php?workbook=12_04.xlsx&amp;sheet=U0&amp;row=10066&amp;col=7&amp;number=0.00376&amp;sourceID=14","0.00376")</f>
        <v>0.00376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HYPERLINK("http://141.218.60.56/~jnz1568/getInfo.php?workbook=12_04.xlsx&amp;sheet=U0&amp;row=10067&amp;col=6&amp;number=3.3&amp;sourceID=14","3.3")</f>
        <v>3.3</v>
      </c>
      <c r="G10067" s="4" t="str">
        <f>HYPERLINK("http://141.218.60.56/~jnz1568/getInfo.php?workbook=12_04.xlsx&amp;sheet=U0&amp;row=10067&amp;col=7&amp;number=0.00376&amp;sourceID=14","0.00376")</f>
        <v>0.00376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HYPERLINK("http://141.218.60.56/~jnz1568/getInfo.php?workbook=12_04.xlsx&amp;sheet=U0&amp;row=10068&amp;col=6&amp;number=3.4&amp;sourceID=14","3.4")</f>
        <v>3.4</v>
      </c>
      <c r="G10068" s="4" t="str">
        <f>HYPERLINK("http://141.218.60.56/~jnz1568/getInfo.php?workbook=12_04.xlsx&amp;sheet=U0&amp;row=10068&amp;col=7&amp;number=0.00376&amp;sourceID=14","0.00376")</f>
        <v>0.00376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HYPERLINK("http://141.218.60.56/~jnz1568/getInfo.php?workbook=12_04.xlsx&amp;sheet=U0&amp;row=10069&amp;col=6&amp;number=3.5&amp;sourceID=14","3.5")</f>
        <v>3.5</v>
      </c>
      <c r="G10069" s="4" t="str">
        <f>HYPERLINK("http://141.218.60.56/~jnz1568/getInfo.php?workbook=12_04.xlsx&amp;sheet=U0&amp;row=10069&amp;col=7&amp;number=0.00376&amp;sourceID=14","0.00376")</f>
        <v>0.00376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HYPERLINK("http://141.218.60.56/~jnz1568/getInfo.php?workbook=12_04.xlsx&amp;sheet=U0&amp;row=10070&amp;col=6&amp;number=3.6&amp;sourceID=14","3.6")</f>
        <v>3.6</v>
      </c>
      <c r="G10070" s="4" t="str">
        <f>HYPERLINK("http://141.218.60.56/~jnz1568/getInfo.php?workbook=12_04.xlsx&amp;sheet=U0&amp;row=10070&amp;col=7&amp;number=0.00376&amp;sourceID=14","0.00376")</f>
        <v>0.00376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HYPERLINK("http://141.218.60.56/~jnz1568/getInfo.php?workbook=12_04.xlsx&amp;sheet=U0&amp;row=10071&amp;col=6&amp;number=3.7&amp;sourceID=14","3.7")</f>
        <v>3.7</v>
      </c>
      <c r="G10071" s="4" t="str">
        <f>HYPERLINK("http://141.218.60.56/~jnz1568/getInfo.php?workbook=12_04.xlsx&amp;sheet=U0&amp;row=10071&amp;col=7&amp;number=0.00376&amp;sourceID=14","0.00376")</f>
        <v>0.00376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HYPERLINK("http://141.218.60.56/~jnz1568/getInfo.php?workbook=12_04.xlsx&amp;sheet=U0&amp;row=10072&amp;col=6&amp;number=3.8&amp;sourceID=14","3.8")</f>
        <v>3.8</v>
      </c>
      <c r="G10072" s="4" t="str">
        <f>HYPERLINK("http://141.218.60.56/~jnz1568/getInfo.php?workbook=12_04.xlsx&amp;sheet=U0&amp;row=10072&amp;col=7&amp;number=0.00376&amp;sourceID=14","0.00376")</f>
        <v>0.00376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HYPERLINK("http://141.218.60.56/~jnz1568/getInfo.php?workbook=12_04.xlsx&amp;sheet=U0&amp;row=10073&amp;col=6&amp;number=3.9&amp;sourceID=14","3.9")</f>
        <v>3.9</v>
      </c>
      <c r="G10073" s="4" t="str">
        <f>HYPERLINK("http://141.218.60.56/~jnz1568/getInfo.php?workbook=12_04.xlsx&amp;sheet=U0&amp;row=10073&amp;col=7&amp;number=0.00376&amp;sourceID=14","0.00376")</f>
        <v>0.00376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HYPERLINK("http://141.218.60.56/~jnz1568/getInfo.php?workbook=12_04.xlsx&amp;sheet=U0&amp;row=10074&amp;col=6&amp;number=4&amp;sourceID=14","4")</f>
        <v>4</v>
      </c>
      <c r="G10074" s="4" t="str">
        <f>HYPERLINK("http://141.218.60.56/~jnz1568/getInfo.php?workbook=12_04.xlsx&amp;sheet=U0&amp;row=10074&amp;col=7&amp;number=0.00376&amp;sourceID=14","0.00376")</f>
        <v>0.00376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HYPERLINK("http://141.218.60.56/~jnz1568/getInfo.php?workbook=12_04.xlsx&amp;sheet=U0&amp;row=10075&amp;col=6&amp;number=4.1&amp;sourceID=14","4.1")</f>
        <v>4.1</v>
      </c>
      <c r="G10075" s="4" t="str">
        <f>HYPERLINK("http://141.218.60.56/~jnz1568/getInfo.php?workbook=12_04.xlsx&amp;sheet=U0&amp;row=10075&amp;col=7&amp;number=0.00376&amp;sourceID=14","0.00376")</f>
        <v>0.00376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HYPERLINK("http://141.218.60.56/~jnz1568/getInfo.php?workbook=12_04.xlsx&amp;sheet=U0&amp;row=10076&amp;col=6&amp;number=4.2&amp;sourceID=14","4.2")</f>
        <v>4.2</v>
      </c>
      <c r="G10076" s="4" t="str">
        <f>HYPERLINK("http://141.218.60.56/~jnz1568/getInfo.php?workbook=12_04.xlsx&amp;sheet=U0&amp;row=10076&amp;col=7&amp;number=0.00375&amp;sourceID=14","0.00375")</f>
        <v>0.00375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HYPERLINK("http://141.218.60.56/~jnz1568/getInfo.php?workbook=12_04.xlsx&amp;sheet=U0&amp;row=10077&amp;col=6&amp;number=4.3&amp;sourceID=14","4.3")</f>
        <v>4.3</v>
      </c>
      <c r="G10077" s="4" t="str">
        <f>HYPERLINK("http://141.218.60.56/~jnz1568/getInfo.php?workbook=12_04.xlsx&amp;sheet=U0&amp;row=10077&amp;col=7&amp;number=0.00375&amp;sourceID=14","0.00375")</f>
        <v>0.00375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HYPERLINK("http://141.218.60.56/~jnz1568/getInfo.php?workbook=12_04.xlsx&amp;sheet=U0&amp;row=10078&amp;col=6&amp;number=4.4&amp;sourceID=14","4.4")</f>
        <v>4.4</v>
      </c>
      <c r="G10078" s="4" t="str">
        <f>HYPERLINK("http://141.218.60.56/~jnz1568/getInfo.php?workbook=12_04.xlsx&amp;sheet=U0&amp;row=10078&amp;col=7&amp;number=0.00375&amp;sourceID=14","0.00375")</f>
        <v>0.00375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HYPERLINK("http://141.218.60.56/~jnz1568/getInfo.php?workbook=12_04.xlsx&amp;sheet=U0&amp;row=10079&amp;col=6&amp;number=4.5&amp;sourceID=14","4.5")</f>
        <v>4.5</v>
      </c>
      <c r="G10079" s="4" t="str">
        <f>HYPERLINK("http://141.218.60.56/~jnz1568/getInfo.php?workbook=12_04.xlsx&amp;sheet=U0&amp;row=10079&amp;col=7&amp;number=0.00374&amp;sourceID=14","0.00374")</f>
        <v>0.00374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HYPERLINK("http://141.218.60.56/~jnz1568/getInfo.php?workbook=12_04.xlsx&amp;sheet=U0&amp;row=10080&amp;col=6&amp;number=4.6&amp;sourceID=14","4.6")</f>
        <v>4.6</v>
      </c>
      <c r="G10080" s="4" t="str">
        <f>HYPERLINK("http://141.218.60.56/~jnz1568/getInfo.php?workbook=12_04.xlsx&amp;sheet=U0&amp;row=10080&amp;col=7&amp;number=0.00374&amp;sourceID=14","0.00374")</f>
        <v>0.00374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HYPERLINK("http://141.218.60.56/~jnz1568/getInfo.php?workbook=12_04.xlsx&amp;sheet=U0&amp;row=10081&amp;col=6&amp;number=4.7&amp;sourceID=14","4.7")</f>
        <v>4.7</v>
      </c>
      <c r="G10081" s="4" t="str">
        <f>HYPERLINK("http://141.218.60.56/~jnz1568/getInfo.php?workbook=12_04.xlsx&amp;sheet=U0&amp;row=10081&amp;col=7&amp;number=0.00373&amp;sourceID=14","0.00373")</f>
        <v>0.00373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HYPERLINK("http://141.218.60.56/~jnz1568/getInfo.php?workbook=12_04.xlsx&amp;sheet=U0&amp;row=10082&amp;col=6&amp;number=4.8&amp;sourceID=14","4.8")</f>
        <v>4.8</v>
      </c>
      <c r="G10082" s="4" t="str">
        <f>HYPERLINK("http://141.218.60.56/~jnz1568/getInfo.php?workbook=12_04.xlsx&amp;sheet=U0&amp;row=10082&amp;col=7&amp;number=0.00372&amp;sourceID=14","0.00372")</f>
        <v>0.00372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HYPERLINK("http://141.218.60.56/~jnz1568/getInfo.php?workbook=12_04.xlsx&amp;sheet=U0&amp;row=10083&amp;col=6&amp;number=4.9&amp;sourceID=14","4.9")</f>
        <v>4.9</v>
      </c>
      <c r="G10083" s="4" t="str">
        <f>HYPERLINK("http://141.218.60.56/~jnz1568/getInfo.php?workbook=12_04.xlsx&amp;sheet=U0&amp;row=10083&amp;col=7&amp;number=0.00371&amp;sourceID=14","0.00371")</f>
        <v>0.00371</v>
      </c>
    </row>
    <row r="10084" spans="1:7">
      <c r="A10084" s="3">
        <v>12</v>
      </c>
      <c r="B10084" s="3">
        <v>4</v>
      </c>
      <c r="C10084" s="3">
        <v>3</v>
      </c>
      <c r="D10084" s="3">
        <v>108</v>
      </c>
      <c r="E10084" s="3">
        <v>1</v>
      </c>
      <c r="F10084" s="4" t="str">
        <f>HYPERLINK("http://141.218.60.56/~jnz1568/getInfo.php?workbook=12_04.xlsx&amp;sheet=U0&amp;row=10084&amp;col=6&amp;number=3&amp;sourceID=14","3")</f>
        <v>3</v>
      </c>
      <c r="G10084" s="4" t="str">
        <f>HYPERLINK("http://141.218.60.56/~jnz1568/getInfo.php?workbook=12_04.xlsx&amp;sheet=U0&amp;row=10084&amp;col=7&amp;number=0.00454&amp;sourceID=14","0.00454")</f>
        <v>0.00454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HYPERLINK("http://141.218.60.56/~jnz1568/getInfo.php?workbook=12_04.xlsx&amp;sheet=U0&amp;row=10085&amp;col=6&amp;number=3.1&amp;sourceID=14","3.1")</f>
        <v>3.1</v>
      </c>
      <c r="G10085" s="4" t="str">
        <f>HYPERLINK("http://141.218.60.56/~jnz1568/getInfo.php?workbook=12_04.xlsx&amp;sheet=U0&amp;row=10085&amp;col=7&amp;number=0.00454&amp;sourceID=14","0.00454")</f>
        <v>0.00454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HYPERLINK("http://141.218.60.56/~jnz1568/getInfo.php?workbook=12_04.xlsx&amp;sheet=U0&amp;row=10086&amp;col=6&amp;number=3.2&amp;sourceID=14","3.2")</f>
        <v>3.2</v>
      </c>
      <c r="G10086" s="4" t="str">
        <f>HYPERLINK("http://141.218.60.56/~jnz1568/getInfo.php?workbook=12_04.xlsx&amp;sheet=U0&amp;row=10086&amp;col=7&amp;number=0.00454&amp;sourceID=14","0.00454")</f>
        <v>0.00454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HYPERLINK("http://141.218.60.56/~jnz1568/getInfo.php?workbook=12_04.xlsx&amp;sheet=U0&amp;row=10087&amp;col=6&amp;number=3.3&amp;sourceID=14","3.3")</f>
        <v>3.3</v>
      </c>
      <c r="G10087" s="4" t="str">
        <f>HYPERLINK("http://141.218.60.56/~jnz1568/getInfo.php?workbook=12_04.xlsx&amp;sheet=U0&amp;row=10087&amp;col=7&amp;number=0.00454&amp;sourceID=14","0.00454")</f>
        <v>0.00454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HYPERLINK("http://141.218.60.56/~jnz1568/getInfo.php?workbook=12_04.xlsx&amp;sheet=U0&amp;row=10088&amp;col=6&amp;number=3.4&amp;sourceID=14","3.4")</f>
        <v>3.4</v>
      </c>
      <c r="G10088" s="4" t="str">
        <f>HYPERLINK("http://141.218.60.56/~jnz1568/getInfo.php?workbook=12_04.xlsx&amp;sheet=U0&amp;row=10088&amp;col=7&amp;number=0.00454&amp;sourceID=14","0.00454")</f>
        <v>0.00454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HYPERLINK("http://141.218.60.56/~jnz1568/getInfo.php?workbook=12_04.xlsx&amp;sheet=U0&amp;row=10089&amp;col=6&amp;number=3.5&amp;sourceID=14","3.5")</f>
        <v>3.5</v>
      </c>
      <c r="G10089" s="4" t="str">
        <f>HYPERLINK("http://141.218.60.56/~jnz1568/getInfo.php?workbook=12_04.xlsx&amp;sheet=U0&amp;row=10089&amp;col=7&amp;number=0.00454&amp;sourceID=14","0.00454")</f>
        <v>0.00454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HYPERLINK("http://141.218.60.56/~jnz1568/getInfo.php?workbook=12_04.xlsx&amp;sheet=U0&amp;row=10090&amp;col=6&amp;number=3.6&amp;sourceID=14","3.6")</f>
        <v>3.6</v>
      </c>
      <c r="G10090" s="4" t="str">
        <f>HYPERLINK("http://141.218.60.56/~jnz1568/getInfo.php?workbook=12_04.xlsx&amp;sheet=U0&amp;row=10090&amp;col=7&amp;number=0.00453&amp;sourceID=14","0.00453")</f>
        <v>0.00453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HYPERLINK("http://141.218.60.56/~jnz1568/getInfo.php?workbook=12_04.xlsx&amp;sheet=U0&amp;row=10091&amp;col=6&amp;number=3.7&amp;sourceID=14","3.7")</f>
        <v>3.7</v>
      </c>
      <c r="G10091" s="4" t="str">
        <f>HYPERLINK("http://141.218.60.56/~jnz1568/getInfo.php?workbook=12_04.xlsx&amp;sheet=U0&amp;row=10091&amp;col=7&amp;number=0.00453&amp;sourceID=14","0.00453")</f>
        <v>0.00453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HYPERLINK("http://141.218.60.56/~jnz1568/getInfo.php?workbook=12_04.xlsx&amp;sheet=U0&amp;row=10092&amp;col=6&amp;number=3.8&amp;sourceID=14","3.8")</f>
        <v>3.8</v>
      </c>
      <c r="G10092" s="4" t="str">
        <f>HYPERLINK("http://141.218.60.56/~jnz1568/getInfo.php?workbook=12_04.xlsx&amp;sheet=U0&amp;row=10092&amp;col=7&amp;number=0.00453&amp;sourceID=14","0.00453")</f>
        <v>0.00453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HYPERLINK("http://141.218.60.56/~jnz1568/getInfo.php?workbook=12_04.xlsx&amp;sheet=U0&amp;row=10093&amp;col=6&amp;number=3.9&amp;sourceID=14","3.9")</f>
        <v>3.9</v>
      </c>
      <c r="G10093" s="4" t="str">
        <f>HYPERLINK("http://141.218.60.56/~jnz1568/getInfo.php?workbook=12_04.xlsx&amp;sheet=U0&amp;row=10093&amp;col=7&amp;number=0.00453&amp;sourceID=14","0.00453")</f>
        <v>0.00453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HYPERLINK("http://141.218.60.56/~jnz1568/getInfo.php?workbook=12_04.xlsx&amp;sheet=U0&amp;row=10094&amp;col=6&amp;number=4&amp;sourceID=14","4")</f>
        <v>4</v>
      </c>
      <c r="G10094" s="4" t="str">
        <f>HYPERLINK("http://141.218.60.56/~jnz1568/getInfo.php?workbook=12_04.xlsx&amp;sheet=U0&amp;row=10094&amp;col=7&amp;number=0.00452&amp;sourceID=14","0.00452")</f>
        <v>0.00452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HYPERLINK("http://141.218.60.56/~jnz1568/getInfo.php?workbook=12_04.xlsx&amp;sheet=U0&amp;row=10095&amp;col=6&amp;number=4.1&amp;sourceID=14","4.1")</f>
        <v>4.1</v>
      </c>
      <c r="G10095" s="4" t="str">
        <f>HYPERLINK("http://141.218.60.56/~jnz1568/getInfo.php?workbook=12_04.xlsx&amp;sheet=U0&amp;row=10095&amp;col=7&amp;number=0.00452&amp;sourceID=14","0.00452")</f>
        <v>0.00452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HYPERLINK("http://141.218.60.56/~jnz1568/getInfo.php?workbook=12_04.xlsx&amp;sheet=U0&amp;row=10096&amp;col=6&amp;number=4.2&amp;sourceID=14","4.2")</f>
        <v>4.2</v>
      </c>
      <c r="G10096" s="4" t="str">
        <f>HYPERLINK("http://141.218.60.56/~jnz1568/getInfo.php?workbook=12_04.xlsx&amp;sheet=U0&amp;row=10096&amp;col=7&amp;number=0.00451&amp;sourceID=14","0.00451")</f>
        <v>0.00451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HYPERLINK("http://141.218.60.56/~jnz1568/getInfo.php?workbook=12_04.xlsx&amp;sheet=U0&amp;row=10097&amp;col=6&amp;number=4.3&amp;sourceID=14","4.3")</f>
        <v>4.3</v>
      </c>
      <c r="G10097" s="4" t="str">
        <f>HYPERLINK("http://141.218.60.56/~jnz1568/getInfo.php?workbook=12_04.xlsx&amp;sheet=U0&amp;row=10097&amp;col=7&amp;number=0.0045&amp;sourceID=14","0.0045")</f>
        <v>0.0045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HYPERLINK("http://141.218.60.56/~jnz1568/getInfo.php?workbook=12_04.xlsx&amp;sheet=U0&amp;row=10098&amp;col=6&amp;number=4.4&amp;sourceID=14","4.4")</f>
        <v>4.4</v>
      </c>
      <c r="G10098" s="4" t="str">
        <f>HYPERLINK("http://141.218.60.56/~jnz1568/getInfo.php?workbook=12_04.xlsx&amp;sheet=U0&amp;row=10098&amp;col=7&amp;number=0.0045&amp;sourceID=14","0.0045")</f>
        <v>0.0045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HYPERLINK("http://141.218.60.56/~jnz1568/getInfo.php?workbook=12_04.xlsx&amp;sheet=U0&amp;row=10099&amp;col=6&amp;number=4.5&amp;sourceID=14","4.5")</f>
        <v>4.5</v>
      </c>
      <c r="G10099" s="4" t="str">
        <f>HYPERLINK("http://141.218.60.56/~jnz1568/getInfo.php?workbook=12_04.xlsx&amp;sheet=U0&amp;row=10099&amp;col=7&amp;number=0.00448&amp;sourceID=14","0.00448")</f>
        <v>0.00448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HYPERLINK("http://141.218.60.56/~jnz1568/getInfo.php?workbook=12_04.xlsx&amp;sheet=U0&amp;row=10100&amp;col=6&amp;number=4.6&amp;sourceID=14","4.6")</f>
        <v>4.6</v>
      </c>
      <c r="G10100" s="4" t="str">
        <f>HYPERLINK("http://141.218.60.56/~jnz1568/getInfo.php?workbook=12_04.xlsx&amp;sheet=U0&amp;row=10100&amp;col=7&amp;number=0.00447&amp;sourceID=14","0.00447")</f>
        <v>0.00447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HYPERLINK("http://141.218.60.56/~jnz1568/getInfo.php?workbook=12_04.xlsx&amp;sheet=U0&amp;row=10101&amp;col=6&amp;number=4.7&amp;sourceID=14","4.7")</f>
        <v>4.7</v>
      </c>
      <c r="G10101" s="4" t="str">
        <f>HYPERLINK("http://141.218.60.56/~jnz1568/getInfo.php?workbook=12_04.xlsx&amp;sheet=U0&amp;row=10101&amp;col=7&amp;number=0.00445&amp;sourceID=14","0.00445")</f>
        <v>0.00445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HYPERLINK("http://141.218.60.56/~jnz1568/getInfo.php?workbook=12_04.xlsx&amp;sheet=U0&amp;row=10102&amp;col=6&amp;number=4.8&amp;sourceID=14","4.8")</f>
        <v>4.8</v>
      </c>
      <c r="G10102" s="4" t="str">
        <f>HYPERLINK("http://141.218.60.56/~jnz1568/getInfo.php?workbook=12_04.xlsx&amp;sheet=U0&amp;row=10102&amp;col=7&amp;number=0.00443&amp;sourceID=14","0.00443")</f>
        <v>0.00443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HYPERLINK("http://141.218.60.56/~jnz1568/getInfo.php?workbook=12_04.xlsx&amp;sheet=U0&amp;row=10103&amp;col=6&amp;number=4.9&amp;sourceID=14","4.9")</f>
        <v>4.9</v>
      </c>
      <c r="G10103" s="4" t="str">
        <f>HYPERLINK("http://141.218.60.56/~jnz1568/getInfo.php?workbook=12_04.xlsx&amp;sheet=U0&amp;row=10103&amp;col=7&amp;number=0.0044&amp;sourceID=14","0.0044")</f>
        <v>0.0044</v>
      </c>
    </row>
    <row r="10104" spans="1:7">
      <c r="A10104" s="3">
        <v>12</v>
      </c>
      <c r="B10104" s="3">
        <v>4</v>
      </c>
      <c r="C10104" s="3">
        <v>4</v>
      </c>
      <c r="D10104" s="3">
        <v>99</v>
      </c>
      <c r="E10104" s="3">
        <v>1</v>
      </c>
      <c r="F10104" s="4" t="str">
        <f>HYPERLINK("http://141.218.60.56/~jnz1568/getInfo.php?workbook=12_04.xlsx&amp;sheet=U0&amp;row=10104&amp;col=6&amp;number=3&amp;sourceID=14","3")</f>
        <v>3</v>
      </c>
      <c r="G10104" s="4" t="str">
        <f>HYPERLINK("http://141.218.60.56/~jnz1568/getInfo.php?workbook=12_04.xlsx&amp;sheet=U0&amp;row=10104&amp;col=7&amp;number=0.00163&amp;sourceID=14","0.00163")</f>
        <v>0.00163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HYPERLINK("http://141.218.60.56/~jnz1568/getInfo.php?workbook=12_04.xlsx&amp;sheet=U0&amp;row=10105&amp;col=6&amp;number=3.1&amp;sourceID=14","3.1")</f>
        <v>3.1</v>
      </c>
      <c r="G10105" s="4" t="str">
        <f>HYPERLINK("http://141.218.60.56/~jnz1568/getInfo.php?workbook=12_04.xlsx&amp;sheet=U0&amp;row=10105&amp;col=7&amp;number=0.00163&amp;sourceID=14","0.00163")</f>
        <v>0.00163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HYPERLINK("http://141.218.60.56/~jnz1568/getInfo.php?workbook=12_04.xlsx&amp;sheet=U0&amp;row=10106&amp;col=6&amp;number=3.2&amp;sourceID=14","3.2")</f>
        <v>3.2</v>
      </c>
      <c r="G10106" s="4" t="str">
        <f>HYPERLINK("http://141.218.60.56/~jnz1568/getInfo.php?workbook=12_04.xlsx&amp;sheet=U0&amp;row=10106&amp;col=7&amp;number=0.00163&amp;sourceID=14","0.00163")</f>
        <v>0.00163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HYPERLINK("http://141.218.60.56/~jnz1568/getInfo.php?workbook=12_04.xlsx&amp;sheet=U0&amp;row=10107&amp;col=6&amp;number=3.3&amp;sourceID=14","3.3")</f>
        <v>3.3</v>
      </c>
      <c r="G10107" s="4" t="str">
        <f>HYPERLINK("http://141.218.60.56/~jnz1568/getInfo.php?workbook=12_04.xlsx&amp;sheet=U0&amp;row=10107&amp;col=7&amp;number=0.00163&amp;sourceID=14","0.00163")</f>
        <v>0.00163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HYPERLINK("http://141.218.60.56/~jnz1568/getInfo.php?workbook=12_04.xlsx&amp;sheet=U0&amp;row=10108&amp;col=6&amp;number=3.4&amp;sourceID=14","3.4")</f>
        <v>3.4</v>
      </c>
      <c r="G10108" s="4" t="str">
        <f>HYPERLINK("http://141.218.60.56/~jnz1568/getInfo.php?workbook=12_04.xlsx&amp;sheet=U0&amp;row=10108&amp;col=7&amp;number=0.00163&amp;sourceID=14","0.00163")</f>
        <v>0.00163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HYPERLINK("http://141.218.60.56/~jnz1568/getInfo.php?workbook=12_04.xlsx&amp;sheet=U0&amp;row=10109&amp;col=6&amp;number=3.5&amp;sourceID=14","3.5")</f>
        <v>3.5</v>
      </c>
      <c r="G10109" s="4" t="str">
        <f>HYPERLINK("http://141.218.60.56/~jnz1568/getInfo.php?workbook=12_04.xlsx&amp;sheet=U0&amp;row=10109&amp;col=7&amp;number=0.00163&amp;sourceID=14","0.00163")</f>
        <v>0.00163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HYPERLINK("http://141.218.60.56/~jnz1568/getInfo.php?workbook=12_04.xlsx&amp;sheet=U0&amp;row=10110&amp;col=6&amp;number=3.6&amp;sourceID=14","3.6")</f>
        <v>3.6</v>
      </c>
      <c r="G10110" s="4" t="str">
        <f>HYPERLINK("http://141.218.60.56/~jnz1568/getInfo.php?workbook=12_04.xlsx&amp;sheet=U0&amp;row=10110&amp;col=7&amp;number=0.00163&amp;sourceID=14","0.00163")</f>
        <v>0.00163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HYPERLINK("http://141.218.60.56/~jnz1568/getInfo.php?workbook=12_04.xlsx&amp;sheet=U0&amp;row=10111&amp;col=6&amp;number=3.7&amp;sourceID=14","3.7")</f>
        <v>3.7</v>
      </c>
      <c r="G10111" s="4" t="str">
        <f>HYPERLINK("http://141.218.60.56/~jnz1568/getInfo.php?workbook=12_04.xlsx&amp;sheet=U0&amp;row=10111&amp;col=7&amp;number=0.00163&amp;sourceID=14","0.00163")</f>
        <v>0.00163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HYPERLINK("http://141.218.60.56/~jnz1568/getInfo.php?workbook=12_04.xlsx&amp;sheet=U0&amp;row=10112&amp;col=6&amp;number=3.8&amp;sourceID=14","3.8")</f>
        <v>3.8</v>
      </c>
      <c r="G10112" s="4" t="str">
        <f>HYPERLINK("http://141.218.60.56/~jnz1568/getInfo.php?workbook=12_04.xlsx&amp;sheet=U0&amp;row=10112&amp;col=7&amp;number=0.00163&amp;sourceID=14","0.00163")</f>
        <v>0.00163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HYPERLINK("http://141.218.60.56/~jnz1568/getInfo.php?workbook=12_04.xlsx&amp;sheet=U0&amp;row=10113&amp;col=6&amp;number=3.9&amp;sourceID=14","3.9")</f>
        <v>3.9</v>
      </c>
      <c r="G10113" s="4" t="str">
        <f>HYPERLINK("http://141.218.60.56/~jnz1568/getInfo.php?workbook=12_04.xlsx&amp;sheet=U0&amp;row=10113&amp;col=7&amp;number=0.00163&amp;sourceID=14","0.00163")</f>
        <v>0.00163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HYPERLINK("http://141.218.60.56/~jnz1568/getInfo.php?workbook=12_04.xlsx&amp;sheet=U0&amp;row=10114&amp;col=6&amp;number=4&amp;sourceID=14","4")</f>
        <v>4</v>
      </c>
      <c r="G10114" s="4" t="str">
        <f>HYPERLINK("http://141.218.60.56/~jnz1568/getInfo.php?workbook=12_04.xlsx&amp;sheet=U0&amp;row=10114&amp;col=7&amp;number=0.00163&amp;sourceID=14","0.00163")</f>
        <v>0.00163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HYPERLINK("http://141.218.60.56/~jnz1568/getInfo.php?workbook=12_04.xlsx&amp;sheet=U0&amp;row=10115&amp;col=6&amp;number=4.1&amp;sourceID=14","4.1")</f>
        <v>4.1</v>
      </c>
      <c r="G10115" s="4" t="str">
        <f>HYPERLINK("http://141.218.60.56/~jnz1568/getInfo.php?workbook=12_04.xlsx&amp;sheet=U0&amp;row=10115&amp;col=7&amp;number=0.00163&amp;sourceID=14","0.00163")</f>
        <v>0.00163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HYPERLINK("http://141.218.60.56/~jnz1568/getInfo.php?workbook=12_04.xlsx&amp;sheet=U0&amp;row=10116&amp;col=6&amp;number=4.2&amp;sourceID=14","4.2")</f>
        <v>4.2</v>
      </c>
      <c r="G10116" s="4" t="str">
        <f>HYPERLINK("http://141.218.60.56/~jnz1568/getInfo.php?workbook=12_04.xlsx&amp;sheet=U0&amp;row=10116&amp;col=7&amp;number=0.00163&amp;sourceID=14","0.00163")</f>
        <v>0.00163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HYPERLINK("http://141.218.60.56/~jnz1568/getInfo.php?workbook=12_04.xlsx&amp;sheet=U0&amp;row=10117&amp;col=6&amp;number=4.3&amp;sourceID=14","4.3")</f>
        <v>4.3</v>
      </c>
      <c r="G10117" s="4" t="str">
        <f>HYPERLINK("http://141.218.60.56/~jnz1568/getInfo.php?workbook=12_04.xlsx&amp;sheet=U0&amp;row=10117&amp;col=7&amp;number=0.00163&amp;sourceID=14","0.00163")</f>
        <v>0.00163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HYPERLINK("http://141.218.60.56/~jnz1568/getInfo.php?workbook=12_04.xlsx&amp;sheet=U0&amp;row=10118&amp;col=6&amp;number=4.4&amp;sourceID=14","4.4")</f>
        <v>4.4</v>
      </c>
      <c r="G10118" s="4" t="str">
        <f>HYPERLINK("http://141.218.60.56/~jnz1568/getInfo.php?workbook=12_04.xlsx&amp;sheet=U0&amp;row=10118&amp;col=7&amp;number=0.00163&amp;sourceID=14","0.00163")</f>
        <v>0.00163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HYPERLINK("http://141.218.60.56/~jnz1568/getInfo.php?workbook=12_04.xlsx&amp;sheet=U0&amp;row=10119&amp;col=6&amp;number=4.5&amp;sourceID=14","4.5")</f>
        <v>4.5</v>
      </c>
      <c r="G10119" s="4" t="str">
        <f>HYPERLINK("http://141.218.60.56/~jnz1568/getInfo.php?workbook=12_04.xlsx&amp;sheet=U0&amp;row=10119&amp;col=7&amp;number=0.00163&amp;sourceID=14","0.00163")</f>
        <v>0.00163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HYPERLINK("http://141.218.60.56/~jnz1568/getInfo.php?workbook=12_04.xlsx&amp;sheet=U0&amp;row=10120&amp;col=6&amp;number=4.6&amp;sourceID=14","4.6")</f>
        <v>4.6</v>
      </c>
      <c r="G10120" s="4" t="str">
        <f>HYPERLINK("http://141.218.60.56/~jnz1568/getInfo.php?workbook=12_04.xlsx&amp;sheet=U0&amp;row=10120&amp;col=7&amp;number=0.00162&amp;sourceID=14","0.00162")</f>
        <v>0.00162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HYPERLINK("http://141.218.60.56/~jnz1568/getInfo.php?workbook=12_04.xlsx&amp;sheet=U0&amp;row=10121&amp;col=6&amp;number=4.7&amp;sourceID=14","4.7")</f>
        <v>4.7</v>
      </c>
      <c r="G10121" s="4" t="str">
        <f>HYPERLINK("http://141.218.60.56/~jnz1568/getInfo.php?workbook=12_04.xlsx&amp;sheet=U0&amp;row=10121&amp;col=7&amp;number=0.00162&amp;sourceID=14","0.00162")</f>
        <v>0.00162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HYPERLINK("http://141.218.60.56/~jnz1568/getInfo.php?workbook=12_04.xlsx&amp;sheet=U0&amp;row=10122&amp;col=6&amp;number=4.8&amp;sourceID=14","4.8")</f>
        <v>4.8</v>
      </c>
      <c r="G10122" s="4" t="str">
        <f>HYPERLINK("http://141.218.60.56/~jnz1568/getInfo.php?workbook=12_04.xlsx&amp;sheet=U0&amp;row=10122&amp;col=7&amp;number=0.00162&amp;sourceID=14","0.00162")</f>
        <v>0.00162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HYPERLINK("http://141.218.60.56/~jnz1568/getInfo.php?workbook=12_04.xlsx&amp;sheet=U0&amp;row=10123&amp;col=6&amp;number=4.9&amp;sourceID=14","4.9")</f>
        <v>4.9</v>
      </c>
      <c r="G10123" s="4" t="str">
        <f>HYPERLINK("http://141.218.60.56/~jnz1568/getInfo.php?workbook=12_04.xlsx&amp;sheet=U0&amp;row=10123&amp;col=7&amp;number=0.00162&amp;sourceID=14","0.00162")</f>
        <v>0.00162</v>
      </c>
    </row>
    <row r="10124" spans="1:7">
      <c r="A10124" s="3">
        <v>12</v>
      </c>
      <c r="B10124" s="3">
        <v>4</v>
      </c>
      <c r="C10124" s="3">
        <v>4</v>
      </c>
      <c r="D10124" s="3">
        <v>100</v>
      </c>
      <c r="E10124" s="3">
        <v>1</v>
      </c>
      <c r="F10124" s="4" t="str">
        <f>HYPERLINK("http://141.218.60.56/~jnz1568/getInfo.php?workbook=12_04.xlsx&amp;sheet=U0&amp;row=10124&amp;col=6&amp;number=3&amp;sourceID=14","3")</f>
        <v>3</v>
      </c>
      <c r="G10124" s="4" t="str">
        <f>HYPERLINK("http://141.218.60.56/~jnz1568/getInfo.php?workbook=12_04.xlsx&amp;sheet=U0&amp;row=10124&amp;col=7&amp;number=0.000557&amp;sourceID=14","0.000557")</f>
        <v>0.000557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HYPERLINK("http://141.218.60.56/~jnz1568/getInfo.php?workbook=12_04.xlsx&amp;sheet=U0&amp;row=10125&amp;col=6&amp;number=3.1&amp;sourceID=14","3.1")</f>
        <v>3.1</v>
      </c>
      <c r="G10125" s="4" t="str">
        <f>HYPERLINK("http://141.218.60.56/~jnz1568/getInfo.php?workbook=12_04.xlsx&amp;sheet=U0&amp;row=10125&amp;col=7&amp;number=0.000557&amp;sourceID=14","0.000557")</f>
        <v>0.000557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HYPERLINK("http://141.218.60.56/~jnz1568/getInfo.php?workbook=12_04.xlsx&amp;sheet=U0&amp;row=10126&amp;col=6&amp;number=3.2&amp;sourceID=14","3.2")</f>
        <v>3.2</v>
      </c>
      <c r="G10126" s="4" t="str">
        <f>HYPERLINK("http://141.218.60.56/~jnz1568/getInfo.php?workbook=12_04.xlsx&amp;sheet=U0&amp;row=10126&amp;col=7&amp;number=0.000557&amp;sourceID=14","0.000557")</f>
        <v>0.000557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HYPERLINK("http://141.218.60.56/~jnz1568/getInfo.php?workbook=12_04.xlsx&amp;sheet=U0&amp;row=10127&amp;col=6&amp;number=3.3&amp;sourceID=14","3.3")</f>
        <v>3.3</v>
      </c>
      <c r="G10127" s="4" t="str">
        <f>HYPERLINK("http://141.218.60.56/~jnz1568/getInfo.php?workbook=12_04.xlsx&amp;sheet=U0&amp;row=10127&amp;col=7&amp;number=0.000557&amp;sourceID=14","0.000557")</f>
        <v>0.000557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HYPERLINK("http://141.218.60.56/~jnz1568/getInfo.php?workbook=12_04.xlsx&amp;sheet=U0&amp;row=10128&amp;col=6&amp;number=3.4&amp;sourceID=14","3.4")</f>
        <v>3.4</v>
      </c>
      <c r="G10128" s="4" t="str">
        <f>HYPERLINK("http://141.218.60.56/~jnz1568/getInfo.php?workbook=12_04.xlsx&amp;sheet=U0&amp;row=10128&amp;col=7&amp;number=0.000557&amp;sourceID=14","0.000557")</f>
        <v>0.000557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HYPERLINK("http://141.218.60.56/~jnz1568/getInfo.php?workbook=12_04.xlsx&amp;sheet=U0&amp;row=10129&amp;col=6&amp;number=3.5&amp;sourceID=14","3.5")</f>
        <v>3.5</v>
      </c>
      <c r="G10129" s="4" t="str">
        <f>HYPERLINK("http://141.218.60.56/~jnz1568/getInfo.php?workbook=12_04.xlsx&amp;sheet=U0&amp;row=10129&amp;col=7&amp;number=0.000557&amp;sourceID=14","0.000557")</f>
        <v>0.000557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HYPERLINK("http://141.218.60.56/~jnz1568/getInfo.php?workbook=12_04.xlsx&amp;sheet=U0&amp;row=10130&amp;col=6&amp;number=3.6&amp;sourceID=14","3.6")</f>
        <v>3.6</v>
      </c>
      <c r="G10130" s="4" t="str">
        <f>HYPERLINK("http://141.218.60.56/~jnz1568/getInfo.php?workbook=12_04.xlsx&amp;sheet=U0&amp;row=10130&amp;col=7&amp;number=0.000557&amp;sourceID=14","0.000557")</f>
        <v>0.000557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HYPERLINK("http://141.218.60.56/~jnz1568/getInfo.php?workbook=12_04.xlsx&amp;sheet=U0&amp;row=10131&amp;col=6&amp;number=3.7&amp;sourceID=14","3.7")</f>
        <v>3.7</v>
      </c>
      <c r="G10131" s="4" t="str">
        <f>HYPERLINK("http://141.218.60.56/~jnz1568/getInfo.php?workbook=12_04.xlsx&amp;sheet=U0&amp;row=10131&amp;col=7&amp;number=0.000557&amp;sourceID=14","0.000557")</f>
        <v>0.000557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HYPERLINK("http://141.218.60.56/~jnz1568/getInfo.php?workbook=12_04.xlsx&amp;sheet=U0&amp;row=10132&amp;col=6&amp;number=3.8&amp;sourceID=14","3.8")</f>
        <v>3.8</v>
      </c>
      <c r="G10132" s="4" t="str">
        <f>HYPERLINK("http://141.218.60.56/~jnz1568/getInfo.php?workbook=12_04.xlsx&amp;sheet=U0&amp;row=10132&amp;col=7&amp;number=0.000557&amp;sourceID=14","0.000557")</f>
        <v>0.000557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HYPERLINK("http://141.218.60.56/~jnz1568/getInfo.php?workbook=12_04.xlsx&amp;sheet=U0&amp;row=10133&amp;col=6&amp;number=3.9&amp;sourceID=14","3.9")</f>
        <v>3.9</v>
      </c>
      <c r="G10133" s="4" t="str">
        <f>HYPERLINK("http://141.218.60.56/~jnz1568/getInfo.php?workbook=12_04.xlsx&amp;sheet=U0&amp;row=10133&amp;col=7&amp;number=0.000556&amp;sourceID=14","0.000556")</f>
        <v>0.000556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HYPERLINK("http://141.218.60.56/~jnz1568/getInfo.php?workbook=12_04.xlsx&amp;sheet=U0&amp;row=10134&amp;col=6&amp;number=4&amp;sourceID=14","4")</f>
        <v>4</v>
      </c>
      <c r="G10134" s="4" t="str">
        <f>HYPERLINK("http://141.218.60.56/~jnz1568/getInfo.php?workbook=12_04.xlsx&amp;sheet=U0&amp;row=10134&amp;col=7&amp;number=0.000556&amp;sourceID=14","0.000556")</f>
        <v>0.000556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HYPERLINK("http://141.218.60.56/~jnz1568/getInfo.php?workbook=12_04.xlsx&amp;sheet=U0&amp;row=10135&amp;col=6&amp;number=4.1&amp;sourceID=14","4.1")</f>
        <v>4.1</v>
      </c>
      <c r="G10135" s="4" t="str">
        <f>HYPERLINK("http://141.218.60.56/~jnz1568/getInfo.php?workbook=12_04.xlsx&amp;sheet=U0&amp;row=10135&amp;col=7&amp;number=0.000556&amp;sourceID=14","0.000556")</f>
        <v>0.000556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HYPERLINK("http://141.218.60.56/~jnz1568/getInfo.php?workbook=12_04.xlsx&amp;sheet=U0&amp;row=10136&amp;col=6&amp;number=4.2&amp;sourceID=14","4.2")</f>
        <v>4.2</v>
      </c>
      <c r="G10136" s="4" t="str">
        <f>HYPERLINK("http://141.218.60.56/~jnz1568/getInfo.php?workbook=12_04.xlsx&amp;sheet=U0&amp;row=10136&amp;col=7&amp;number=0.000556&amp;sourceID=14","0.000556")</f>
        <v>0.000556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HYPERLINK("http://141.218.60.56/~jnz1568/getInfo.php?workbook=12_04.xlsx&amp;sheet=U0&amp;row=10137&amp;col=6&amp;number=4.3&amp;sourceID=14","4.3")</f>
        <v>4.3</v>
      </c>
      <c r="G10137" s="4" t="str">
        <f>HYPERLINK("http://141.218.60.56/~jnz1568/getInfo.php?workbook=12_04.xlsx&amp;sheet=U0&amp;row=10137&amp;col=7&amp;number=0.000556&amp;sourceID=14","0.000556")</f>
        <v>0.000556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HYPERLINK("http://141.218.60.56/~jnz1568/getInfo.php?workbook=12_04.xlsx&amp;sheet=U0&amp;row=10138&amp;col=6&amp;number=4.4&amp;sourceID=14","4.4")</f>
        <v>4.4</v>
      </c>
      <c r="G10138" s="4" t="str">
        <f>HYPERLINK("http://141.218.60.56/~jnz1568/getInfo.php?workbook=12_04.xlsx&amp;sheet=U0&amp;row=10138&amp;col=7&amp;number=0.000555&amp;sourceID=14","0.000555")</f>
        <v>0.000555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HYPERLINK("http://141.218.60.56/~jnz1568/getInfo.php?workbook=12_04.xlsx&amp;sheet=U0&amp;row=10139&amp;col=6&amp;number=4.5&amp;sourceID=14","4.5")</f>
        <v>4.5</v>
      </c>
      <c r="G10139" s="4" t="str">
        <f>HYPERLINK("http://141.218.60.56/~jnz1568/getInfo.php?workbook=12_04.xlsx&amp;sheet=U0&amp;row=10139&amp;col=7&amp;number=0.000555&amp;sourceID=14","0.000555")</f>
        <v>0.000555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HYPERLINK("http://141.218.60.56/~jnz1568/getInfo.php?workbook=12_04.xlsx&amp;sheet=U0&amp;row=10140&amp;col=6&amp;number=4.6&amp;sourceID=14","4.6")</f>
        <v>4.6</v>
      </c>
      <c r="G10140" s="4" t="str">
        <f>HYPERLINK("http://141.218.60.56/~jnz1568/getInfo.php?workbook=12_04.xlsx&amp;sheet=U0&amp;row=10140&amp;col=7&amp;number=0.000555&amp;sourceID=14","0.000555")</f>
        <v>0.000555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HYPERLINK("http://141.218.60.56/~jnz1568/getInfo.php?workbook=12_04.xlsx&amp;sheet=U0&amp;row=10141&amp;col=6&amp;number=4.7&amp;sourceID=14","4.7")</f>
        <v>4.7</v>
      </c>
      <c r="G10141" s="4" t="str">
        <f>HYPERLINK("http://141.218.60.56/~jnz1568/getInfo.php?workbook=12_04.xlsx&amp;sheet=U0&amp;row=10141&amp;col=7&amp;number=0.000554&amp;sourceID=14","0.000554")</f>
        <v>0.000554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HYPERLINK("http://141.218.60.56/~jnz1568/getInfo.php?workbook=12_04.xlsx&amp;sheet=U0&amp;row=10142&amp;col=6&amp;number=4.8&amp;sourceID=14","4.8")</f>
        <v>4.8</v>
      </c>
      <c r="G10142" s="4" t="str">
        <f>HYPERLINK("http://141.218.60.56/~jnz1568/getInfo.php?workbook=12_04.xlsx&amp;sheet=U0&amp;row=10142&amp;col=7&amp;number=0.000553&amp;sourceID=14","0.000553")</f>
        <v>0.000553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HYPERLINK("http://141.218.60.56/~jnz1568/getInfo.php?workbook=12_04.xlsx&amp;sheet=U0&amp;row=10143&amp;col=6&amp;number=4.9&amp;sourceID=14","4.9")</f>
        <v>4.9</v>
      </c>
      <c r="G10143" s="4" t="str">
        <f>HYPERLINK("http://141.218.60.56/~jnz1568/getInfo.php?workbook=12_04.xlsx&amp;sheet=U0&amp;row=10143&amp;col=7&amp;number=0.000552&amp;sourceID=14","0.000552")</f>
        <v>0.000552</v>
      </c>
    </row>
    <row r="10144" spans="1:7">
      <c r="A10144" s="3">
        <v>12</v>
      </c>
      <c r="B10144" s="3">
        <v>4</v>
      </c>
      <c r="C10144" s="3">
        <v>4</v>
      </c>
      <c r="D10144" s="3">
        <v>101</v>
      </c>
      <c r="E10144" s="3">
        <v>1</v>
      </c>
      <c r="F10144" s="4" t="str">
        <f>HYPERLINK("http://141.218.60.56/~jnz1568/getInfo.php?workbook=12_04.xlsx&amp;sheet=U0&amp;row=10144&amp;col=6&amp;number=3&amp;sourceID=14","3")</f>
        <v>3</v>
      </c>
      <c r="G10144" s="4" t="str">
        <f>HYPERLINK("http://141.218.60.56/~jnz1568/getInfo.php?workbook=12_04.xlsx&amp;sheet=U0&amp;row=10144&amp;col=7&amp;number=0.00186&amp;sourceID=14","0.00186")</f>
        <v>0.00186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HYPERLINK("http://141.218.60.56/~jnz1568/getInfo.php?workbook=12_04.xlsx&amp;sheet=U0&amp;row=10145&amp;col=6&amp;number=3.1&amp;sourceID=14","3.1")</f>
        <v>3.1</v>
      </c>
      <c r="G10145" s="4" t="str">
        <f>HYPERLINK("http://141.218.60.56/~jnz1568/getInfo.php?workbook=12_04.xlsx&amp;sheet=U0&amp;row=10145&amp;col=7&amp;number=0.00186&amp;sourceID=14","0.00186")</f>
        <v>0.00186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HYPERLINK("http://141.218.60.56/~jnz1568/getInfo.php?workbook=12_04.xlsx&amp;sheet=U0&amp;row=10146&amp;col=6&amp;number=3.2&amp;sourceID=14","3.2")</f>
        <v>3.2</v>
      </c>
      <c r="G10146" s="4" t="str">
        <f>HYPERLINK("http://141.218.60.56/~jnz1568/getInfo.php?workbook=12_04.xlsx&amp;sheet=U0&amp;row=10146&amp;col=7&amp;number=0.00186&amp;sourceID=14","0.00186")</f>
        <v>0.00186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HYPERLINK("http://141.218.60.56/~jnz1568/getInfo.php?workbook=12_04.xlsx&amp;sheet=U0&amp;row=10147&amp;col=6&amp;number=3.3&amp;sourceID=14","3.3")</f>
        <v>3.3</v>
      </c>
      <c r="G10147" s="4" t="str">
        <f>HYPERLINK("http://141.218.60.56/~jnz1568/getInfo.php?workbook=12_04.xlsx&amp;sheet=U0&amp;row=10147&amp;col=7&amp;number=0.00186&amp;sourceID=14","0.00186")</f>
        <v>0.00186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HYPERLINK("http://141.218.60.56/~jnz1568/getInfo.php?workbook=12_04.xlsx&amp;sheet=U0&amp;row=10148&amp;col=6&amp;number=3.4&amp;sourceID=14","3.4")</f>
        <v>3.4</v>
      </c>
      <c r="G10148" s="4" t="str">
        <f>HYPERLINK("http://141.218.60.56/~jnz1568/getInfo.php?workbook=12_04.xlsx&amp;sheet=U0&amp;row=10148&amp;col=7&amp;number=0.00186&amp;sourceID=14","0.00186")</f>
        <v>0.00186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HYPERLINK("http://141.218.60.56/~jnz1568/getInfo.php?workbook=12_04.xlsx&amp;sheet=U0&amp;row=10149&amp;col=6&amp;number=3.5&amp;sourceID=14","3.5")</f>
        <v>3.5</v>
      </c>
      <c r="G10149" s="4" t="str">
        <f>HYPERLINK("http://141.218.60.56/~jnz1568/getInfo.php?workbook=12_04.xlsx&amp;sheet=U0&amp;row=10149&amp;col=7&amp;number=0.00186&amp;sourceID=14","0.00186")</f>
        <v>0.00186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HYPERLINK("http://141.218.60.56/~jnz1568/getInfo.php?workbook=12_04.xlsx&amp;sheet=U0&amp;row=10150&amp;col=6&amp;number=3.6&amp;sourceID=14","3.6")</f>
        <v>3.6</v>
      </c>
      <c r="G10150" s="4" t="str">
        <f>HYPERLINK("http://141.218.60.56/~jnz1568/getInfo.php?workbook=12_04.xlsx&amp;sheet=U0&amp;row=10150&amp;col=7&amp;number=0.00186&amp;sourceID=14","0.00186")</f>
        <v>0.00186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HYPERLINK("http://141.218.60.56/~jnz1568/getInfo.php?workbook=12_04.xlsx&amp;sheet=U0&amp;row=10151&amp;col=6&amp;number=3.7&amp;sourceID=14","3.7")</f>
        <v>3.7</v>
      </c>
      <c r="G10151" s="4" t="str">
        <f>HYPERLINK("http://141.218.60.56/~jnz1568/getInfo.php?workbook=12_04.xlsx&amp;sheet=U0&amp;row=10151&amp;col=7&amp;number=0.00186&amp;sourceID=14","0.00186")</f>
        <v>0.00186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HYPERLINK("http://141.218.60.56/~jnz1568/getInfo.php?workbook=12_04.xlsx&amp;sheet=U0&amp;row=10152&amp;col=6&amp;number=3.8&amp;sourceID=14","3.8")</f>
        <v>3.8</v>
      </c>
      <c r="G10152" s="4" t="str">
        <f>HYPERLINK("http://141.218.60.56/~jnz1568/getInfo.php?workbook=12_04.xlsx&amp;sheet=U0&amp;row=10152&amp;col=7&amp;number=0.00186&amp;sourceID=14","0.00186")</f>
        <v>0.00186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HYPERLINK("http://141.218.60.56/~jnz1568/getInfo.php?workbook=12_04.xlsx&amp;sheet=U0&amp;row=10153&amp;col=6&amp;number=3.9&amp;sourceID=14","3.9")</f>
        <v>3.9</v>
      </c>
      <c r="G10153" s="4" t="str">
        <f>HYPERLINK("http://141.218.60.56/~jnz1568/getInfo.php?workbook=12_04.xlsx&amp;sheet=U0&amp;row=10153&amp;col=7&amp;number=0.00186&amp;sourceID=14","0.00186")</f>
        <v>0.00186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HYPERLINK("http://141.218.60.56/~jnz1568/getInfo.php?workbook=12_04.xlsx&amp;sheet=U0&amp;row=10154&amp;col=6&amp;number=4&amp;sourceID=14","4")</f>
        <v>4</v>
      </c>
      <c r="G10154" s="4" t="str">
        <f>HYPERLINK("http://141.218.60.56/~jnz1568/getInfo.php?workbook=12_04.xlsx&amp;sheet=U0&amp;row=10154&amp;col=7&amp;number=0.00186&amp;sourceID=14","0.00186")</f>
        <v>0.00186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HYPERLINK("http://141.218.60.56/~jnz1568/getInfo.php?workbook=12_04.xlsx&amp;sheet=U0&amp;row=10155&amp;col=6&amp;number=4.1&amp;sourceID=14","4.1")</f>
        <v>4.1</v>
      </c>
      <c r="G10155" s="4" t="str">
        <f>HYPERLINK("http://141.218.60.56/~jnz1568/getInfo.php?workbook=12_04.xlsx&amp;sheet=U0&amp;row=10155&amp;col=7&amp;number=0.00186&amp;sourceID=14","0.00186")</f>
        <v>0.00186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HYPERLINK("http://141.218.60.56/~jnz1568/getInfo.php?workbook=12_04.xlsx&amp;sheet=U0&amp;row=10156&amp;col=6&amp;number=4.2&amp;sourceID=14","4.2")</f>
        <v>4.2</v>
      </c>
      <c r="G10156" s="4" t="str">
        <f>HYPERLINK("http://141.218.60.56/~jnz1568/getInfo.php?workbook=12_04.xlsx&amp;sheet=U0&amp;row=10156&amp;col=7&amp;number=0.00185&amp;sourceID=14","0.00185")</f>
        <v>0.00185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HYPERLINK("http://141.218.60.56/~jnz1568/getInfo.php?workbook=12_04.xlsx&amp;sheet=U0&amp;row=10157&amp;col=6&amp;number=4.3&amp;sourceID=14","4.3")</f>
        <v>4.3</v>
      </c>
      <c r="G10157" s="4" t="str">
        <f>HYPERLINK("http://141.218.60.56/~jnz1568/getInfo.php?workbook=12_04.xlsx&amp;sheet=U0&amp;row=10157&amp;col=7&amp;number=0.00185&amp;sourceID=14","0.00185")</f>
        <v>0.00185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HYPERLINK("http://141.218.60.56/~jnz1568/getInfo.php?workbook=12_04.xlsx&amp;sheet=U0&amp;row=10158&amp;col=6&amp;number=4.4&amp;sourceID=14","4.4")</f>
        <v>4.4</v>
      </c>
      <c r="G10158" s="4" t="str">
        <f>HYPERLINK("http://141.218.60.56/~jnz1568/getInfo.php?workbook=12_04.xlsx&amp;sheet=U0&amp;row=10158&amp;col=7&amp;number=0.00185&amp;sourceID=14","0.00185")</f>
        <v>0.00185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HYPERLINK("http://141.218.60.56/~jnz1568/getInfo.php?workbook=12_04.xlsx&amp;sheet=U0&amp;row=10159&amp;col=6&amp;number=4.5&amp;sourceID=14","4.5")</f>
        <v>4.5</v>
      </c>
      <c r="G10159" s="4" t="str">
        <f>HYPERLINK("http://141.218.60.56/~jnz1568/getInfo.php?workbook=12_04.xlsx&amp;sheet=U0&amp;row=10159&amp;col=7&amp;number=0.00185&amp;sourceID=14","0.00185")</f>
        <v>0.00185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HYPERLINK("http://141.218.60.56/~jnz1568/getInfo.php?workbook=12_04.xlsx&amp;sheet=U0&amp;row=10160&amp;col=6&amp;number=4.6&amp;sourceID=14","4.6")</f>
        <v>4.6</v>
      </c>
      <c r="G10160" s="4" t="str">
        <f>HYPERLINK("http://141.218.60.56/~jnz1568/getInfo.php?workbook=12_04.xlsx&amp;sheet=U0&amp;row=10160&amp;col=7&amp;number=0.00185&amp;sourceID=14","0.00185")</f>
        <v>0.00185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HYPERLINK("http://141.218.60.56/~jnz1568/getInfo.php?workbook=12_04.xlsx&amp;sheet=U0&amp;row=10161&amp;col=6&amp;number=4.7&amp;sourceID=14","4.7")</f>
        <v>4.7</v>
      </c>
      <c r="G10161" s="4" t="str">
        <f>HYPERLINK("http://141.218.60.56/~jnz1568/getInfo.php?workbook=12_04.xlsx&amp;sheet=U0&amp;row=10161&amp;col=7&amp;number=0.00185&amp;sourceID=14","0.00185")</f>
        <v>0.00185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HYPERLINK("http://141.218.60.56/~jnz1568/getInfo.php?workbook=12_04.xlsx&amp;sheet=U0&amp;row=10162&amp;col=6&amp;number=4.8&amp;sourceID=14","4.8")</f>
        <v>4.8</v>
      </c>
      <c r="G10162" s="4" t="str">
        <f>HYPERLINK("http://141.218.60.56/~jnz1568/getInfo.php?workbook=12_04.xlsx&amp;sheet=U0&amp;row=10162&amp;col=7&amp;number=0.00184&amp;sourceID=14","0.00184")</f>
        <v>0.00184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HYPERLINK("http://141.218.60.56/~jnz1568/getInfo.php?workbook=12_04.xlsx&amp;sheet=U0&amp;row=10163&amp;col=6&amp;number=4.9&amp;sourceID=14","4.9")</f>
        <v>4.9</v>
      </c>
      <c r="G10163" s="4" t="str">
        <f>HYPERLINK("http://141.218.60.56/~jnz1568/getInfo.php?workbook=12_04.xlsx&amp;sheet=U0&amp;row=10163&amp;col=7&amp;number=0.00184&amp;sourceID=14","0.00184")</f>
        <v>0.00184</v>
      </c>
    </row>
    <row r="10164" spans="1:7">
      <c r="A10164" s="3">
        <v>12</v>
      </c>
      <c r="B10164" s="3">
        <v>4</v>
      </c>
      <c r="C10164" s="3">
        <v>4</v>
      </c>
      <c r="D10164" s="3">
        <v>102</v>
      </c>
      <c r="E10164" s="3">
        <v>1</v>
      </c>
      <c r="F10164" s="4" t="str">
        <f>HYPERLINK("http://141.218.60.56/~jnz1568/getInfo.php?workbook=12_04.xlsx&amp;sheet=U0&amp;row=10164&amp;col=6&amp;number=3&amp;sourceID=14","3")</f>
        <v>3</v>
      </c>
      <c r="G10164" s="4" t="str">
        <f>HYPERLINK("http://141.218.60.56/~jnz1568/getInfo.php?workbook=12_04.xlsx&amp;sheet=U0&amp;row=10164&amp;col=7&amp;number=0.0138&amp;sourceID=14","0.0138")</f>
        <v>0.0138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HYPERLINK("http://141.218.60.56/~jnz1568/getInfo.php?workbook=12_04.xlsx&amp;sheet=U0&amp;row=10165&amp;col=6&amp;number=3.1&amp;sourceID=14","3.1")</f>
        <v>3.1</v>
      </c>
      <c r="G10165" s="4" t="str">
        <f>HYPERLINK("http://141.218.60.56/~jnz1568/getInfo.php?workbook=12_04.xlsx&amp;sheet=U0&amp;row=10165&amp;col=7&amp;number=0.0138&amp;sourceID=14","0.0138")</f>
        <v>0.0138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HYPERLINK("http://141.218.60.56/~jnz1568/getInfo.php?workbook=12_04.xlsx&amp;sheet=U0&amp;row=10166&amp;col=6&amp;number=3.2&amp;sourceID=14","3.2")</f>
        <v>3.2</v>
      </c>
      <c r="G10166" s="4" t="str">
        <f>HYPERLINK("http://141.218.60.56/~jnz1568/getInfo.php?workbook=12_04.xlsx&amp;sheet=U0&amp;row=10166&amp;col=7&amp;number=0.0138&amp;sourceID=14","0.0138")</f>
        <v>0.0138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HYPERLINK("http://141.218.60.56/~jnz1568/getInfo.php?workbook=12_04.xlsx&amp;sheet=U0&amp;row=10167&amp;col=6&amp;number=3.3&amp;sourceID=14","3.3")</f>
        <v>3.3</v>
      </c>
      <c r="G10167" s="4" t="str">
        <f>HYPERLINK("http://141.218.60.56/~jnz1568/getInfo.php?workbook=12_04.xlsx&amp;sheet=U0&amp;row=10167&amp;col=7&amp;number=0.0138&amp;sourceID=14","0.0138")</f>
        <v>0.0138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HYPERLINK("http://141.218.60.56/~jnz1568/getInfo.php?workbook=12_04.xlsx&amp;sheet=U0&amp;row=10168&amp;col=6&amp;number=3.4&amp;sourceID=14","3.4")</f>
        <v>3.4</v>
      </c>
      <c r="G10168" s="4" t="str">
        <f>HYPERLINK("http://141.218.60.56/~jnz1568/getInfo.php?workbook=12_04.xlsx&amp;sheet=U0&amp;row=10168&amp;col=7&amp;number=0.0138&amp;sourceID=14","0.0138")</f>
        <v>0.0138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HYPERLINK("http://141.218.60.56/~jnz1568/getInfo.php?workbook=12_04.xlsx&amp;sheet=U0&amp;row=10169&amp;col=6&amp;number=3.5&amp;sourceID=14","3.5")</f>
        <v>3.5</v>
      </c>
      <c r="G10169" s="4" t="str">
        <f>HYPERLINK("http://141.218.60.56/~jnz1568/getInfo.php?workbook=12_04.xlsx&amp;sheet=U0&amp;row=10169&amp;col=7&amp;number=0.0138&amp;sourceID=14","0.0138")</f>
        <v>0.0138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HYPERLINK("http://141.218.60.56/~jnz1568/getInfo.php?workbook=12_04.xlsx&amp;sheet=U0&amp;row=10170&amp;col=6&amp;number=3.6&amp;sourceID=14","3.6")</f>
        <v>3.6</v>
      </c>
      <c r="G10170" s="4" t="str">
        <f>HYPERLINK("http://141.218.60.56/~jnz1568/getInfo.php?workbook=12_04.xlsx&amp;sheet=U0&amp;row=10170&amp;col=7&amp;number=0.0138&amp;sourceID=14","0.0138")</f>
        <v>0.0138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HYPERLINK("http://141.218.60.56/~jnz1568/getInfo.php?workbook=12_04.xlsx&amp;sheet=U0&amp;row=10171&amp;col=6&amp;number=3.7&amp;sourceID=14","3.7")</f>
        <v>3.7</v>
      </c>
      <c r="G10171" s="4" t="str">
        <f>HYPERLINK("http://141.218.60.56/~jnz1568/getInfo.php?workbook=12_04.xlsx&amp;sheet=U0&amp;row=10171&amp;col=7&amp;number=0.0138&amp;sourceID=14","0.0138")</f>
        <v>0.0138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HYPERLINK("http://141.218.60.56/~jnz1568/getInfo.php?workbook=12_04.xlsx&amp;sheet=U0&amp;row=10172&amp;col=6&amp;number=3.8&amp;sourceID=14","3.8")</f>
        <v>3.8</v>
      </c>
      <c r="G10172" s="4" t="str">
        <f>HYPERLINK("http://141.218.60.56/~jnz1568/getInfo.php?workbook=12_04.xlsx&amp;sheet=U0&amp;row=10172&amp;col=7&amp;number=0.0138&amp;sourceID=14","0.0138")</f>
        <v>0.0138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HYPERLINK("http://141.218.60.56/~jnz1568/getInfo.php?workbook=12_04.xlsx&amp;sheet=U0&amp;row=10173&amp;col=6&amp;number=3.9&amp;sourceID=14","3.9")</f>
        <v>3.9</v>
      </c>
      <c r="G10173" s="4" t="str">
        <f>HYPERLINK("http://141.218.60.56/~jnz1568/getInfo.php?workbook=12_04.xlsx&amp;sheet=U0&amp;row=10173&amp;col=7&amp;number=0.0138&amp;sourceID=14","0.0138")</f>
        <v>0.0138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HYPERLINK("http://141.218.60.56/~jnz1568/getInfo.php?workbook=12_04.xlsx&amp;sheet=U0&amp;row=10174&amp;col=6&amp;number=4&amp;sourceID=14","4")</f>
        <v>4</v>
      </c>
      <c r="G10174" s="4" t="str">
        <f>HYPERLINK("http://141.218.60.56/~jnz1568/getInfo.php?workbook=12_04.xlsx&amp;sheet=U0&amp;row=10174&amp;col=7&amp;number=0.0138&amp;sourceID=14","0.0138")</f>
        <v>0.0138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HYPERLINK("http://141.218.60.56/~jnz1568/getInfo.php?workbook=12_04.xlsx&amp;sheet=U0&amp;row=10175&amp;col=6&amp;number=4.1&amp;sourceID=14","4.1")</f>
        <v>4.1</v>
      </c>
      <c r="G10175" s="4" t="str">
        <f>HYPERLINK("http://141.218.60.56/~jnz1568/getInfo.php?workbook=12_04.xlsx&amp;sheet=U0&amp;row=10175&amp;col=7&amp;number=0.0138&amp;sourceID=14","0.0138")</f>
        <v>0.0138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HYPERLINK("http://141.218.60.56/~jnz1568/getInfo.php?workbook=12_04.xlsx&amp;sheet=U0&amp;row=10176&amp;col=6&amp;number=4.2&amp;sourceID=14","4.2")</f>
        <v>4.2</v>
      </c>
      <c r="G10176" s="4" t="str">
        <f>HYPERLINK("http://141.218.60.56/~jnz1568/getInfo.php?workbook=12_04.xlsx&amp;sheet=U0&amp;row=10176&amp;col=7&amp;number=0.0138&amp;sourceID=14","0.0138")</f>
        <v>0.0138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HYPERLINK("http://141.218.60.56/~jnz1568/getInfo.php?workbook=12_04.xlsx&amp;sheet=U0&amp;row=10177&amp;col=6&amp;number=4.3&amp;sourceID=14","4.3")</f>
        <v>4.3</v>
      </c>
      <c r="G10177" s="4" t="str">
        <f>HYPERLINK("http://141.218.60.56/~jnz1568/getInfo.php?workbook=12_04.xlsx&amp;sheet=U0&amp;row=10177&amp;col=7&amp;number=0.0138&amp;sourceID=14","0.0138")</f>
        <v>0.0138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HYPERLINK("http://141.218.60.56/~jnz1568/getInfo.php?workbook=12_04.xlsx&amp;sheet=U0&amp;row=10178&amp;col=6&amp;number=4.4&amp;sourceID=14","4.4")</f>
        <v>4.4</v>
      </c>
      <c r="G10178" s="4" t="str">
        <f>HYPERLINK("http://141.218.60.56/~jnz1568/getInfo.php?workbook=12_04.xlsx&amp;sheet=U0&amp;row=10178&amp;col=7&amp;number=0.0138&amp;sourceID=14","0.0138")</f>
        <v>0.0138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HYPERLINK("http://141.218.60.56/~jnz1568/getInfo.php?workbook=12_04.xlsx&amp;sheet=U0&amp;row=10179&amp;col=6&amp;number=4.5&amp;sourceID=14","4.5")</f>
        <v>4.5</v>
      </c>
      <c r="G10179" s="4" t="str">
        <f>HYPERLINK("http://141.218.60.56/~jnz1568/getInfo.php?workbook=12_04.xlsx&amp;sheet=U0&amp;row=10179&amp;col=7&amp;number=0.0139&amp;sourceID=14","0.0139")</f>
        <v>0.0139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HYPERLINK("http://141.218.60.56/~jnz1568/getInfo.php?workbook=12_04.xlsx&amp;sheet=U0&amp;row=10180&amp;col=6&amp;number=4.6&amp;sourceID=14","4.6")</f>
        <v>4.6</v>
      </c>
      <c r="G10180" s="4" t="str">
        <f>HYPERLINK("http://141.218.60.56/~jnz1568/getInfo.php?workbook=12_04.xlsx&amp;sheet=U0&amp;row=10180&amp;col=7&amp;number=0.0139&amp;sourceID=14","0.0139")</f>
        <v>0.0139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HYPERLINK("http://141.218.60.56/~jnz1568/getInfo.php?workbook=12_04.xlsx&amp;sheet=U0&amp;row=10181&amp;col=6&amp;number=4.7&amp;sourceID=14","4.7")</f>
        <v>4.7</v>
      </c>
      <c r="G10181" s="4" t="str">
        <f>HYPERLINK("http://141.218.60.56/~jnz1568/getInfo.php?workbook=12_04.xlsx&amp;sheet=U0&amp;row=10181&amp;col=7&amp;number=0.0139&amp;sourceID=14","0.0139")</f>
        <v>0.0139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HYPERLINK("http://141.218.60.56/~jnz1568/getInfo.php?workbook=12_04.xlsx&amp;sheet=U0&amp;row=10182&amp;col=6&amp;number=4.8&amp;sourceID=14","4.8")</f>
        <v>4.8</v>
      </c>
      <c r="G10182" s="4" t="str">
        <f>HYPERLINK("http://141.218.60.56/~jnz1568/getInfo.php?workbook=12_04.xlsx&amp;sheet=U0&amp;row=10182&amp;col=7&amp;number=0.0139&amp;sourceID=14","0.0139")</f>
        <v>0.0139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HYPERLINK("http://141.218.60.56/~jnz1568/getInfo.php?workbook=12_04.xlsx&amp;sheet=U0&amp;row=10183&amp;col=6&amp;number=4.9&amp;sourceID=14","4.9")</f>
        <v>4.9</v>
      </c>
      <c r="G10183" s="4" t="str">
        <f>HYPERLINK("http://141.218.60.56/~jnz1568/getInfo.php?workbook=12_04.xlsx&amp;sheet=U0&amp;row=10183&amp;col=7&amp;number=0.0139&amp;sourceID=14","0.0139")</f>
        <v>0.0139</v>
      </c>
    </row>
    <row r="10184" spans="1:7">
      <c r="A10184" s="3">
        <v>12</v>
      </c>
      <c r="B10184" s="3">
        <v>4</v>
      </c>
      <c r="C10184" s="3">
        <v>4</v>
      </c>
      <c r="D10184" s="3">
        <v>103</v>
      </c>
      <c r="E10184" s="3">
        <v>1</v>
      </c>
      <c r="F10184" s="4" t="str">
        <f>HYPERLINK("http://141.218.60.56/~jnz1568/getInfo.php?workbook=12_04.xlsx&amp;sheet=U0&amp;row=10184&amp;col=6&amp;number=3&amp;sourceID=14","3")</f>
        <v>3</v>
      </c>
      <c r="G10184" s="4" t="str">
        <f>HYPERLINK("http://141.218.60.56/~jnz1568/getInfo.php?workbook=12_04.xlsx&amp;sheet=U0&amp;row=10184&amp;col=7&amp;number=0.000634&amp;sourceID=14","0.000634")</f>
        <v>0.000634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HYPERLINK("http://141.218.60.56/~jnz1568/getInfo.php?workbook=12_04.xlsx&amp;sheet=U0&amp;row=10185&amp;col=6&amp;number=3.1&amp;sourceID=14","3.1")</f>
        <v>3.1</v>
      </c>
      <c r="G10185" s="4" t="str">
        <f>HYPERLINK("http://141.218.60.56/~jnz1568/getInfo.php?workbook=12_04.xlsx&amp;sheet=U0&amp;row=10185&amp;col=7&amp;number=0.000634&amp;sourceID=14","0.000634")</f>
        <v>0.000634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HYPERLINK("http://141.218.60.56/~jnz1568/getInfo.php?workbook=12_04.xlsx&amp;sheet=U0&amp;row=10186&amp;col=6&amp;number=3.2&amp;sourceID=14","3.2")</f>
        <v>3.2</v>
      </c>
      <c r="G10186" s="4" t="str">
        <f>HYPERLINK("http://141.218.60.56/~jnz1568/getInfo.php?workbook=12_04.xlsx&amp;sheet=U0&amp;row=10186&amp;col=7&amp;number=0.000633&amp;sourceID=14","0.000633")</f>
        <v>0.000633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HYPERLINK("http://141.218.60.56/~jnz1568/getInfo.php?workbook=12_04.xlsx&amp;sheet=U0&amp;row=10187&amp;col=6&amp;number=3.3&amp;sourceID=14","3.3")</f>
        <v>3.3</v>
      </c>
      <c r="G10187" s="4" t="str">
        <f>HYPERLINK("http://141.218.60.56/~jnz1568/getInfo.php?workbook=12_04.xlsx&amp;sheet=U0&amp;row=10187&amp;col=7&amp;number=0.000633&amp;sourceID=14","0.000633")</f>
        <v>0.000633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HYPERLINK("http://141.218.60.56/~jnz1568/getInfo.php?workbook=12_04.xlsx&amp;sheet=U0&amp;row=10188&amp;col=6&amp;number=3.4&amp;sourceID=14","3.4")</f>
        <v>3.4</v>
      </c>
      <c r="G10188" s="4" t="str">
        <f>HYPERLINK("http://141.218.60.56/~jnz1568/getInfo.php?workbook=12_04.xlsx&amp;sheet=U0&amp;row=10188&amp;col=7&amp;number=0.000633&amp;sourceID=14","0.000633")</f>
        <v>0.000633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HYPERLINK("http://141.218.60.56/~jnz1568/getInfo.php?workbook=12_04.xlsx&amp;sheet=U0&amp;row=10189&amp;col=6&amp;number=3.5&amp;sourceID=14","3.5")</f>
        <v>3.5</v>
      </c>
      <c r="G10189" s="4" t="str">
        <f>HYPERLINK("http://141.218.60.56/~jnz1568/getInfo.php?workbook=12_04.xlsx&amp;sheet=U0&amp;row=10189&amp;col=7&amp;number=0.000633&amp;sourceID=14","0.000633")</f>
        <v>0.000633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HYPERLINK("http://141.218.60.56/~jnz1568/getInfo.php?workbook=12_04.xlsx&amp;sheet=U0&amp;row=10190&amp;col=6&amp;number=3.6&amp;sourceID=14","3.6")</f>
        <v>3.6</v>
      </c>
      <c r="G10190" s="4" t="str">
        <f>HYPERLINK("http://141.218.60.56/~jnz1568/getInfo.php?workbook=12_04.xlsx&amp;sheet=U0&amp;row=10190&amp;col=7&amp;number=0.000633&amp;sourceID=14","0.000633")</f>
        <v>0.000633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HYPERLINK("http://141.218.60.56/~jnz1568/getInfo.php?workbook=12_04.xlsx&amp;sheet=U0&amp;row=10191&amp;col=6&amp;number=3.7&amp;sourceID=14","3.7")</f>
        <v>3.7</v>
      </c>
      <c r="G10191" s="4" t="str">
        <f>HYPERLINK("http://141.218.60.56/~jnz1568/getInfo.php?workbook=12_04.xlsx&amp;sheet=U0&amp;row=10191&amp;col=7&amp;number=0.000633&amp;sourceID=14","0.000633")</f>
        <v>0.000633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HYPERLINK("http://141.218.60.56/~jnz1568/getInfo.php?workbook=12_04.xlsx&amp;sheet=U0&amp;row=10192&amp;col=6&amp;number=3.8&amp;sourceID=14","3.8")</f>
        <v>3.8</v>
      </c>
      <c r="G10192" s="4" t="str">
        <f>HYPERLINK("http://141.218.60.56/~jnz1568/getInfo.php?workbook=12_04.xlsx&amp;sheet=U0&amp;row=10192&amp;col=7&amp;number=0.000632&amp;sourceID=14","0.000632")</f>
        <v>0.000632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HYPERLINK("http://141.218.60.56/~jnz1568/getInfo.php?workbook=12_04.xlsx&amp;sheet=U0&amp;row=10193&amp;col=6&amp;number=3.9&amp;sourceID=14","3.9")</f>
        <v>3.9</v>
      </c>
      <c r="G10193" s="4" t="str">
        <f>HYPERLINK("http://141.218.60.56/~jnz1568/getInfo.php?workbook=12_04.xlsx&amp;sheet=U0&amp;row=10193&amp;col=7&amp;number=0.000632&amp;sourceID=14","0.000632")</f>
        <v>0.000632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HYPERLINK("http://141.218.60.56/~jnz1568/getInfo.php?workbook=12_04.xlsx&amp;sheet=U0&amp;row=10194&amp;col=6&amp;number=4&amp;sourceID=14","4")</f>
        <v>4</v>
      </c>
      <c r="G10194" s="4" t="str">
        <f>HYPERLINK("http://141.218.60.56/~jnz1568/getInfo.php?workbook=12_04.xlsx&amp;sheet=U0&amp;row=10194&amp;col=7&amp;number=0.000631&amp;sourceID=14","0.000631")</f>
        <v>0.000631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HYPERLINK("http://141.218.60.56/~jnz1568/getInfo.php?workbook=12_04.xlsx&amp;sheet=U0&amp;row=10195&amp;col=6&amp;number=4.1&amp;sourceID=14","4.1")</f>
        <v>4.1</v>
      </c>
      <c r="G10195" s="4" t="str">
        <f>HYPERLINK("http://141.218.60.56/~jnz1568/getInfo.php?workbook=12_04.xlsx&amp;sheet=U0&amp;row=10195&amp;col=7&amp;number=0.00063&amp;sourceID=14","0.00063")</f>
        <v>0.00063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HYPERLINK("http://141.218.60.56/~jnz1568/getInfo.php?workbook=12_04.xlsx&amp;sheet=U0&amp;row=10196&amp;col=6&amp;number=4.2&amp;sourceID=14","4.2")</f>
        <v>4.2</v>
      </c>
      <c r="G10196" s="4" t="str">
        <f>HYPERLINK("http://141.218.60.56/~jnz1568/getInfo.php?workbook=12_04.xlsx&amp;sheet=U0&amp;row=10196&amp;col=7&amp;number=0.00063&amp;sourceID=14","0.00063")</f>
        <v>0.00063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HYPERLINK("http://141.218.60.56/~jnz1568/getInfo.php?workbook=12_04.xlsx&amp;sheet=U0&amp;row=10197&amp;col=6&amp;number=4.3&amp;sourceID=14","4.3")</f>
        <v>4.3</v>
      </c>
      <c r="G10197" s="4" t="str">
        <f>HYPERLINK("http://141.218.60.56/~jnz1568/getInfo.php?workbook=12_04.xlsx&amp;sheet=U0&amp;row=10197&amp;col=7&amp;number=0.000628&amp;sourceID=14","0.000628")</f>
        <v>0.000628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HYPERLINK("http://141.218.60.56/~jnz1568/getInfo.php?workbook=12_04.xlsx&amp;sheet=U0&amp;row=10198&amp;col=6&amp;number=4.4&amp;sourceID=14","4.4")</f>
        <v>4.4</v>
      </c>
      <c r="G10198" s="4" t="str">
        <f>HYPERLINK("http://141.218.60.56/~jnz1568/getInfo.php?workbook=12_04.xlsx&amp;sheet=U0&amp;row=10198&amp;col=7&amp;number=0.000627&amp;sourceID=14","0.000627")</f>
        <v>0.000627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HYPERLINK("http://141.218.60.56/~jnz1568/getInfo.php?workbook=12_04.xlsx&amp;sheet=U0&amp;row=10199&amp;col=6&amp;number=4.5&amp;sourceID=14","4.5")</f>
        <v>4.5</v>
      </c>
      <c r="G10199" s="4" t="str">
        <f>HYPERLINK("http://141.218.60.56/~jnz1568/getInfo.php?workbook=12_04.xlsx&amp;sheet=U0&amp;row=10199&amp;col=7&amp;number=0.000625&amp;sourceID=14","0.000625")</f>
        <v>0.000625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HYPERLINK("http://141.218.60.56/~jnz1568/getInfo.php?workbook=12_04.xlsx&amp;sheet=U0&amp;row=10200&amp;col=6&amp;number=4.6&amp;sourceID=14","4.6")</f>
        <v>4.6</v>
      </c>
      <c r="G10200" s="4" t="str">
        <f>HYPERLINK("http://141.218.60.56/~jnz1568/getInfo.php?workbook=12_04.xlsx&amp;sheet=U0&amp;row=10200&amp;col=7&amp;number=0.000623&amp;sourceID=14","0.000623")</f>
        <v>0.000623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HYPERLINK("http://141.218.60.56/~jnz1568/getInfo.php?workbook=12_04.xlsx&amp;sheet=U0&amp;row=10201&amp;col=6&amp;number=4.7&amp;sourceID=14","4.7")</f>
        <v>4.7</v>
      </c>
      <c r="G10201" s="4" t="str">
        <f>HYPERLINK("http://141.218.60.56/~jnz1568/getInfo.php?workbook=12_04.xlsx&amp;sheet=U0&amp;row=10201&amp;col=7&amp;number=0.00062&amp;sourceID=14","0.00062")</f>
        <v>0.00062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HYPERLINK("http://141.218.60.56/~jnz1568/getInfo.php?workbook=12_04.xlsx&amp;sheet=U0&amp;row=10202&amp;col=6&amp;number=4.8&amp;sourceID=14","4.8")</f>
        <v>4.8</v>
      </c>
      <c r="G10202" s="4" t="str">
        <f>HYPERLINK("http://141.218.60.56/~jnz1568/getInfo.php?workbook=12_04.xlsx&amp;sheet=U0&amp;row=10202&amp;col=7&amp;number=0.000617&amp;sourceID=14","0.000617")</f>
        <v>0.000617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HYPERLINK("http://141.218.60.56/~jnz1568/getInfo.php?workbook=12_04.xlsx&amp;sheet=U0&amp;row=10203&amp;col=6&amp;number=4.9&amp;sourceID=14","4.9")</f>
        <v>4.9</v>
      </c>
      <c r="G10203" s="4" t="str">
        <f>HYPERLINK("http://141.218.60.56/~jnz1568/getInfo.php?workbook=12_04.xlsx&amp;sheet=U0&amp;row=10203&amp;col=7&amp;number=0.000613&amp;sourceID=14","0.000613")</f>
        <v>0.000613</v>
      </c>
    </row>
    <row r="10204" spans="1:7">
      <c r="A10204" s="3">
        <v>12</v>
      </c>
      <c r="B10204" s="3">
        <v>4</v>
      </c>
      <c r="C10204" s="3">
        <v>4</v>
      </c>
      <c r="D10204" s="3">
        <v>104</v>
      </c>
      <c r="E10204" s="3">
        <v>1</v>
      </c>
      <c r="F10204" s="4" t="str">
        <f>HYPERLINK("http://141.218.60.56/~jnz1568/getInfo.php?workbook=12_04.xlsx&amp;sheet=U0&amp;row=10204&amp;col=6&amp;number=3&amp;sourceID=14","3")</f>
        <v>3</v>
      </c>
      <c r="G10204" s="4" t="str">
        <f>HYPERLINK("http://141.218.60.56/~jnz1568/getInfo.php?workbook=12_04.xlsx&amp;sheet=U0&amp;row=10204&amp;col=7&amp;number=0.00198&amp;sourceID=14","0.00198")</f>
        <v>0.00198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HYPERLINK("http://141.218.60.56/~jnz1568/getInfo.php?workbook=12_04.xlsx&amp;sheet=U0&amp;row=10205&amp;col=6&amp;number=3.1&amp;sourceID=14","3.1")</f>
        <v>3.1</v>
      </c>
      <c r="G10205" s="4" t="str">
        <f>HYPERLINK("http://141.218.60.56/~jnz1568/getInfo.php?workbook=12_04.xlsx&amp;sheet=U0&amp;row=10205&amp;col=7&amp;number=0.00198&amp;sourceID=14","0.00198")</f>
        <v>0.00198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HYPERLINK("http://141.218.60.56/~jnz1568/getInfo.php?workbook=12_04.xlsx&amp;sheet=U0&amp;row=10206&amp;col=6&amp;number=3.2&amp;sourceID=14","3.2")</f>
        <v>3.2</v>
      </c>
      <c r="G10206" s="4" t="str">
        <f>HYPERLINK("http://141.218.60.56/~jnz1568/getInfo.php?workbook=12_04.xlsx&amp;sheet=U0&amp;row=10206&amp;col=7&amp;number=0.00198&amp;sourceID=14","0.00198")</f>
        <v>0.00198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HYPERLINK("http://141.218.60.56/~jnz1568/getInfo.php?workbook=12_04.xlsx&amp;sheet=U0&amp;row=10207&amp;col=6&amp;number=3.3&amp;sourceID=14","3.3")</f>
        <v>3.3</v>
      </c>
      <c r="G10207" s="4" t="str">
        <f>HYPERLINK("http://141.218.60.56/~jnz1568/getInfo.php?workbook=12_04.xlsx&amp;sheet=U0&amp;row=10207&amp;col=7&amp;number=0.00198&amp;sourceID=14","0.00198")</f>
        <v>0.00198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HYPERLINK("http://141.218.60.56/~jnz1568/getInfo.php?workbook=12_04.xlsx&amp;sheet=U0&amp;row=10208&amp;col=6&amp;number=3.4&amp;sourceID=14","3.4")</f>
        <v>3.4</v>
      </c>
      <c r="G10208" s="4" t="str">
        <f>HYPERLINK("http://141.218.60.56/~jnz1568/getInfo.php?workbook=12_04.xlsx&amp;sheet=U0&amp;row=10208&amp;col=7&amp;number=0.00198&amp;sourceID=14","0.00198")</f>
        <v>0.00198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HYPERLINK("http://141.218.60.56/~jnz1568/getInfo.php?workbook=12_04.xlsx&amp;sheet=U0&amp;row=10209&amp;col=6&amp;number=3.5&amp;sourceID=14","3.5")</f>
        <v>3.5</v>
      </c>
      <c r="G10209" s="4" t="str">
        <f>HYPERLINK("http://141.218.60.56/~jnz1568/getInfo.php?workbook=12_04.xlsx&amp;sheet=U0&amp;row=10209&amp;col=7&amp;number=0.00198&amp;sourceID=14","0.00198")</f>
        <v>0.00198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HYPERLINK("http://141.218.60.56/~jnz1568/getInfo.php?workbook=12_04.xlsx&amp;sheet=U0&amp;row=10210&amp;col=6&amp;number=3.6&amp;sourceID=14","3.6")</f>
        <v>3.6</v>
      </c>
      <c r="G10210" s="4" t="str">
        <f>HYPERLINK("http://141.218.60.56/~jnz1568/getInfo.php?workbook=12_04.xlsx&amp;sheet=U0&amp;row=10210&amp;col=7&amp;number=0.00198&amp;sourceID=14","0.00198")</f>
        <v>0.00198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HYPERLINK("http://141.218.60.56/~jnz1568/getInfo.php?workbook=12_04.xlsx&amp;sheet=U0&amp;row=10211&amp;col=6&amp;number=3.7&amp;sourceID=14","3.7")</f>
        <v>3.7</v>
      </c>
      <c r="G10211" s="4" t="str">
        <f>HYPERLINK("http://141.218.60.56/~jnz1568/getInfo.php?workbook=12_04.xlsx&amp;sheet=U0&amp;row=10211&amp;col=7&amp;number=0.00198&amp;sourceID=14","0.00198")</f>
        <v>0.00198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HYPERLINK("http://141.218.60.56/~jnz1568/getInfo.php?workbook=12_04.xlsx&amp;sheet=U0&amp;row=10212&amp;col=6&amp;number=3.8&amp;sourceID=14","3.8")</f>
        <v>3.8</v>
      </c>
      <c r="G10212" s="4" t="str">
        <f>HYPERLINK("http://141.218.60.56/~jnz1568/getInfo.php?workbook=12_04.xlsx&amp;sheet=U0&amp;row=10212&amp;col=7&amp;number=0.00198&amp;sourceID=14","0.00198")</f>
        <v>0.00198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HYPERLINK("http://141.218.60.56/~jnz1568/getInfo.php?workbook=12_04.xlsx&amp;sheet=U0&amp;row=10213&amp;col=6&amp;number=3.9&amp;sourceID=14","3.9")</f>
        <v>3.9</v>
      </c>
      <c r="G10213" s="4" t="str">
        <f>HYPERLINK("http://141.218.60.56/~jnz1568/getInfo.php?workbook=12_04.xlsx&amp;sheet=U0&amp;row=10213&amp;col=7&amp;number=0.00197&amp;sourceID=14","0.00197")</f>
        <v>0.00197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HYPERLINK("http://141.218.60.56/~jnz1568/getInfo.php?workbook=12_04.xlsx&amp;sheet=U0&amp;row=10214&amp;col=6&amp;number=4&amp;sourceID=14","4")</f>
        <v>4</v>
      </c>
      <c r="G10214" s="4" t="str">
        <f>HYPERLINK("http://141.218.60.56/~jnz1568/getInfo.php?workbook=12_04.xlsx&amp;sheet=U0&amp;row=10214&amp;col=7&amp;number=0.00197&amp;sourceID=14","0.00197")</f>
        <v>0.00197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HYPERLINK("http://141.218.60.56/~jnz1568/getInfo.php?workbook=12_04.xlsx&amp;sheet=U0&amp;row=10215&amp;col=6&amp;number=4.1&amp;sourceID=14","4.1")</f>
        <v>4.1</v>
      </c>
      <c r="G10215" s="4" t="str">
        <f>HYPERLINK("http://141.218.60.56/~jnz1568/getInfo.php?workbook=12_04.xlsx&amp;sheet=U0&amp;row=10215&amp;col=7&amp;number=0.00197&amp;sourceID=14","0.00197")</f>
        <v>0.00197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HYPERLINK("http://141.218.60.56/~jnz1568/getInfo.php?workbook=12_04.xlsx&amp;sheet=U0&amp;row=10216&amp;col=6&amp;number=4.2&amp;sourceID=14","4.2")</f>
        <v>4.2</v>
      </c>
      <c r="G10216" s="4" t="str">
        <f>HYPERLINK("http://141.218.60.56/~jnz1568/getInfo.php?workbook=12_04.xlsx&amp;sheet=U0&amp;row=10216&amp;col=7&amp;number=0.00197&amp;sourceID=14","0.00197")</f>
        <v>0.00197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HYPERLINK("http://141.218.60.56/~jnz1568/getInfo.php?workbook=12_04.xlsx&amp;sheet=U0&amp;row=10217&amp;col=6&amp;number=4.3&amp;sourceID=14","4.3")</f>
        <v>4.3</v>
      </c>
      <c r="G10217" s="4" t="str">
        <f>HYPERLINK("http://141.218.60.56/~jnz1568/getInfo.php?workbook=12_04.xlsx&amp;sheet=U0&amp;row=10217&amp;col=7&amp;number=0.00197&amp;sourceID=14","0.00197")</f>
        <v>0.00197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HYPERLINK("http://141.218.60.56/~jnz1568/getInfo.php?workbook=12_04.xlsx&amp;sheet=U0&amp;row=10218&amp;col=6&amp;number=4.4&amp;sourceID=14","4.4")</f>
        <v>4.4</v>
      </c>
      <c r="G10218" s="4" t="str">
        <f>HYPERLINK("http://141.218.60.56/~jnz1568/getInfo.php?workbook=12_04.xlsx&amp;sheet=U0&amp;row=10218&amp;col=7&amp;number=0.00197&amp;sourceID=14","0.00197")</f>
        <v>0.00197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HYPERLINK("http://141.218.60.56/~jnz1568/getInfo.php?workbook=12_04.xlsx&amp;sheet=U0&amp;row=10219&amp;col=6&amp;number=4.5&amp;sourceID=14","4.5")</f>
        <v>4.5</v>
      </c>
      <c r="G10219" s="4" t="str">
        <f>HYPERLINK("http://141.218.60.56/~jnz1568/getInfo.php?workbook=12_04.xlsx&amp;sheet=U0&amp;row=10219&amp;col=7&amp;number=0.00197&amp;sourceID=14","0.00197")</f>
        <v>0.00197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HYPERLINK("http://141.218.60.56/~jnz1568/getInfo.php?workbook=12_04.xlsx&amp;sheet=U0&amp;row=10220&amp;col=6&amp;number=4.6&amp;sourceID=14","4.6")</f>
        <v>4.6</v>
      </c>
      <c r="G10220" s="4" t="str">
        <f>HYPERLINK("http://141.218.60.56/~jnz1568/getInfo.php?workbook=12_04.xlsx&amp;sheet=U0&amp;row=10220&amp;col=7&amp;number=0.00197&amp;sourceID=14","0.00197")</f>
        <v>0.00197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HYPERLINK("http://141.218.60.56/~jnz1568/getInfo.php?workbook=12_04.xlsx&amp;sheet=U0&amp;row=10221&amp;col=6&amp;number=4.7&amp;sourceID=14","4.7")</f>
        <v>4.7</v>
      </c>
      <c r="G10221" s="4" t="str">
        <f>HYPERLINK("http://141.218.60.56/~jnz1568/getInfo.php?workbook=12_04.xlsx&amp;sheet=U0&amp;row=10221&amp;col=7&amp;number=0.00196&amp;sourceID=14","0.00196")</f>
        <v>0.00196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HYPERLINK("http://141.218.60.56/~jnz1568/getInfo.php?workbook=12_04.xlsx&amp;sheet=U0&amp;row=10222&amp;col=6&amp;number=4.8&amp;sourceID=14","4.8")</f>
        <v>4.8</v>
      </c>
      <c r="G10222" s="4" t="str">
        <f>HYPERLINK("http://141.218.60.56/~jnz1568/getInfo.php?workbook=12_04.xlsx&amp;sheet=U0&amp;row=10222&amp;col=7&amp;number=0.00196&amp;sourceID=14","0.00196")</f>
        <v>0.00196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HYPERLINK("http://141.218.60.56/~jnz1568/getInfo.php?workbook=12_04.xlsx&amp;sheet=U0&amp;row=10223&amp;col=6&amp;number=4.9&amp;sourceID=14","4.9")</f>
        <v>4.9</v>
      </c>
      <c r="G10223" s="4" t="str">
        <f>HYPERLINK("http://141.218.60.56/~jnz1568/getInfo.php?workbook=12_04.xlsx&amp;sheet=U0&amp;row=10223&amp;col=7&amp;number=0.00196&amp;sourceID=14","0.00196")</f>
        <v>0.00196</v>
      </c>
    </row>
    <row r="10224" spans="1:7">
      <c r="A10224" s="3">
        <v>12</v>
      </c>
      <c r="B10224" s="3">
        <v>4</v>
      </c>
      <c r="C10224" s="3">
        <v>4</v>
      </c>
      <c r="D10224" s="3">
        <v>105</v>
      </c>
      <c r="E10224" s="3">
        <v>1</v>
      </c>
      <c r="F10224" s="4" t="str">
        <f>HYPERLINK("http://141.218.60.56/~jnz1568/getInfo.php?workbook=12_04.xlsx&amp;sheet=U0&amp;row=10224&amp;col=6&amp;number=3&amp;sourceID=14","3")</f>
        <v>3</v>
      </c>
      <c r="G10224" s="4" t="str">
        <f>HYPERLINK("http://141.218.60.56/~jnz1568/getInfo.php?workbook=12_04.xlsx&amp;sheet=U0&amp;row=10224&amp;col=7&amp;number=0.00261&amp;sourceID=14","0.00261")</f>
        <v>0.00261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HYPERLINK("http://141.218.60.56/~jnz1568/getInfo.php?workbook=12_04.xlsx&amp;sheet=U0&amp;row=10225&amp;col=6&amp;number=3.1&amp;sourceID=14","3.1")</f>
        <v>3.1</v>
      </c>
      <c r="G10225" s="4" t="str">
        <f>HYPERLINK("http://141.218.60.56/~jnz1568/getInfo.php?workbook=12_04.xlsx&amp;sheet=U0&amp;row=10225&amp;col=7&amp;number=0.00261&amp;sourceID=14","0.00261")</f>
        <v>0.00261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HYPERLINK("http://141.218.60.56/~jnz1568/getInfo.php?workbook=12_04.xlsx&amp;sheet=U0&amp;row=10226&amp;col=6&amp;number=3.2&amp;sourceID=14","3.2")</f>
        <v>3.2</v>
      </c>
      <c r="G10226" s="4" t="str">
        <f>HYPERLINK("http://141.218.60.56/~jnz1568/getInfo.php?workbook=12_04.xlsx&amp;sheet=U0&amp;row=10226&amp;col=7&amp;number=0.00261&amp;sourceID=14","0.00261")</f>
        <v>0.00261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HYPERLINK("http://141.218.60.56/~jnz1568/getInfo.php?workbook=12_04.xlsx&amp;sheet=U0&amp;row=10227&amp;col=6&amp;number=3.3&amp;sourceID=14","3.3")</f>
        <v>3.3</v>
      </c>
      <c r="G10227" s="4" t="str">
        <f>HYPERLINK("http://141.218.60.56/~jnz1568/getInfo.php?workbook=12_04.xlsx&amp;sheet=U0&amp;row=10227&amp;col=7&amp;number=0.00261&amp;sourceID=14","0.00261")</f>
        <v>0.00261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HYPERLINK("http://141.218.60.56/~jnz1568/getInfo.php?workbook=12_04.xlsx&amp;sheet=U0&amp;row=10228&amp;col=6&amp;number=3.4&amp;sourceID=14","3.4")</f>
        <v>3.4</v>
      </c>
      <c r="G10228" s="4" t="str">
        <f>HYPERLINK("http://141.218.60.56/~jnz1568/getInfo.php?workbook=12_04.xlsx&amp;sheet=U0&amp;row=10228&amp;col=7&amp;number=0.00261&amp;sourceID=14","0.00261")</f>
        <v>0.00261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HYPERLINK("http://141.218.60.56/~jnz1568/getInfo.php?workbook=12_04.xlsx&amp;sheet=U0&amp;row=10229&amp;col=6&amp;number=3.5&amp;sourceID=14","3.5")</f>
        <v>3.5</v>
      </c>
      <c r="G10229" s="4" t="str">
        <f>HYPERLINK("http://141.218.60.56/~jnz1568/getInfo.php?workbook=12_04.xlsx&amp;sheet=U0&amp;row=10229&amp;col=7&amp;number=0.00261&amp;sourceID=14","0.00261")</f>
        <v>0.00261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HYPERLINK("http://141.218.60.56/~jnz1568/getInfo.php?workbook=12_04.xlsx&amp;sheet=U0&amp;row=10230&amp;col=6&amp;number=3.6&amp;sourceID=14","3.6")</f>
        <v>3.6</v>
      </c>
      <c r="G10230" s="4" t="str">
        <f>HYPERLINK("http://141.218.60.56/~jnz1568/getInfo.php?workbook=12_04.xlsx&amp;sheet=U0&amp;row=10230&amp;col=7&amp;number=0.00261&amp;sourceID=14","0.00261")</f>
        <v>0.00261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HYPERLINK("http://141.218.60.56/~jnz1568/getInfo.php?workbook=12_04.xlsx&amp;sheet=U0&amp;row=10231&amp;col=6&amp;number=3.7&amp;sourceID=14","3.7")</f>
        <v>3.7</v>
      </c>
      <c r="G10231" s="4" t="str">
        <f>HYPERLINK("http://141.218.60.56/~jnz1568/getInfo.php?workbook=12_04.xlsx&amp;sheet=U0&amp;row=10231&amp;col=7&amp;number=0.00261&amp;sourceID=14","0.00261")</f>
        <v>0.00261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HYPERLINK("http://141.218.60.56/~jnz1568/getInfo.php?workbook=12_04.xlsx&amp;sheet=U0&amp;row=10232&amp;col=6&amp;number=3.8&amp;sourceID=14","3.8")</f>
        <v>3.8</v>
      </c>
      <c r="G10232" s="4" t="str">
        <f>HYPERLINK("http://141.218.60.56/~jnz1568/getInfo.php?workbook=12_04.xlsx&amp;sheet=U0&amp;row=10232&amp;col=7&amp;number=0.00261&amp;sourceID=14","0.00261")</f>
        <v>0.00261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HYPERLINK("http://141.218.60.56/~jnz1568/getInfo.php?workbook=12_04.xlsx&amp;sheet=U0&amp;row=10233&amp;col=6&amp;number=3.9&amp;sourceID=14","3.9")</f>
        <v>3.9</v>
      </c>
      <c r="G10233" s="4" t="str">
        <f>HYPERLINK("http://141.218.60.56/~jnz1568/getInfo.php?workbook=12_04.xlsx&amp;sheet=U0&amp;row=10233&amp;col=7&amp;number=0.00261&amp;sourceID=14","0.00261")</f>
        <v>0.00261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HYPERLINK("http://141.218.60.56/~jnz1568/getInfo.php?workbook=12_04.xlsx&amp;sheet=U0&amp;row=10234&amp;col=6&amp;number=4&amp;sourceID=14","4")</f>
        <v>4</v>
      </c>
      <c r="G10234" s="4" t="str">
        <f>HYPERLINK("http://141.218.60.56/~jnz1568/getInfo.php?workbook=12_04.xlsx&amp;sheet=U0&amp;row=10234&amp;col=7&amp;number=0.00261&amp;sourceID=14","0.00261")</f>
        <v>0.00261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HYPERLINK("http://141.218.60.56/~jnz1568/getInfo.php?workbook=12_04.xlsx&amp;sheet=U0&amp;row=10235&amp;col=6&amp;number=4.1&amp;sourceID=14","4.1")</f>
        <v>4.1</v>
      </c>
      <c r="G10235" s="4" t="str">
        <f>HYPERLINK("http://141.218.60.56/~jnz1568/getInfo.php?workbook=12_04.xlsx&amp;sheet=U0&amp;row=10235&amp;col=7&amp;number=0.00261&amp;sourceID=14","0.00261")</f>
        <v>0.00261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HYPERLINK("http://141.218.60.56/~jnz1568/getInfo.php?workbook=12_04.xlsx&amp;sheet=U0&amp;row=10236&amp;col=6&amp;number=4.2&amp;sourceID=14","4.2")</f>
        <v>4.2</v>
      </c>
      <c r="G10236" s="4" t="str">
        <f>HYPERLINK("http://141.218.60.56/~jnz1568/getInfo.php?workbook=12_04.xlsx&amp;sheet=U0&amp;row=10236&amp;col=7&amp;number=0.00261&amp;sourceID=14","0.00261")</f>
        <v>0.00261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HYPERLINK("http://141.218.60.56/~jnz1568/getInfo.php?workbook=12_04.xlsx&amp;sheet=U0&amp;row=10237&amp;col=6&amp;number=4.3&amp;sourceID=14","4.3")</f>
        <v>4.3</v>
      </c>
      <c r="G10237" s="4" t="str">
        <f>HYPERLINK("http://141.218.60.56/~jnz1568/getInfo.php?workbook=12_04.xlsx&amp;sheet=U0&amp;row=10237&amp;col=7&amp;number=0.0026&amp;sourceID=14","0.0026")</f>
        <v>0.0026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HYPERLINK("http://141.218.60.56/~jnz1568/getInfo.php?workbook=12_04.xlsx&amp;sheet=U0&amp;row=10238&amp;col=6&amp;number=4.4&amp;sourceID=14","4.4")</f>
        <v>4.4</v>
      </c>
      <c r="G10238" s="4" t="str">
        <f>HYPERLINK("http://141.218.60.56/~jnz1568/getInfo.php?workbook=12_04.xlsx&amp;sheet=U0&amp;row=10238&amp;col=7&amp;number=0.0026&amp;sourceID=14","0.0026")</f>
        <v>0.0026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HYPERLINK("http://141.218.60.56/~jnz1568/getInfo.php?workbook=12_04.xlsx&amp;sheet=U0&amp;row=10239&amp;col=6&amp;number=4.5&amp;sourceID=14","4.5")</f>
        <v>4.5</v>
      </c>
      <c r="G10239" s="4" t="str">
        <f>HYPERLINK("http://141.218.60.56/~jnz1568/getInfo.php?workbook=12_04.xlsx&amp;sheet=U0&amp;row=10239&amp;col=7&amp;number=0.0026&amp;sourceID=14","0.0026")</f>
        <v>0.0026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HYPERLINK("http://141.218.60.56/~jnz1568/getInfo.php?workbook=12_04.xlsx&amp;sheet=U0&amp;row=10240&amp;col=6&amp;number=4.6&amp;sourceID=14","4.6")</f>
        <v>4.6</v>
      </c>
      <c r="G10240" s="4" t="str">
        <f>HYPERLINK("http://141.218.60.56/~jnz1568/getInfo.php?workbook=12_04.xlsx&amp;sheet=U0&amp;row=10240&amp;col=7&amp;number=0.0026&amp;sourceID=14","0.0026")</f>
        <v>0.0026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HYPERLINK("http://141.218.60.56/~jnz1568/getInfo.php?workbook=12_04.xlsx&amp;sheet=U0&amp;row=10241&amp;col=6&amp;number=4.7&amp;sourceID=14","4.7")</f>
        <v>4.7</v>
      </c>
      <c r="G10241" s="4" t="str">
        <f>HYPERLINK("http://141.218.60.56/~jnz1568/getInfo.php?workbook=12_04.xlsx&amp;sheet=U0&amp;row=10241&amp;col=7&amp;number=0.00259&amp;sourceID=14","0.00259")</f>
        <v>0.00259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HYPERLINK("http://141.218.60.56/~jnz1568/getInfo.php?workbook=12_04.xlsx&amp;sheet=U0&amp;row=10242&amp;col=6&amp;number=4.8&amp;sourceID=14","4.8")</f>
        <v>4.8</v>
      </c>
      <c r="G10242" s="4" t="str">
        <f>HYPERLINK("http://141.218.60.56/~jnz1568/getInfo.php?workbook=12_04.xlsx&amp;sheet=U0&amp;row=10242&amp;col=7&amp;number=0.00259&amp;sourceID=14","0.00259")</f>
        <v>0.00259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HYPERLINK("http://141.218.60.56/~jnz1568/getInfo.php?workbook=12_04.xlsx&amp;sheet=U0&amp;row=10243&amp;col=6&amp;number=4.9&amp;sourceID=14","4.9")</f>
        <v>4.9</v>
      </c>
      <c r="G10243" s="4" t="str">
        <f>HYPERLINK("http://141.218.60.56/~jnz1568/getInfo.php?workbook=12_04.xlsx&amp;sheet=U0&amp;row=10243&amp;col=7&amp;number=0.00258&amp;sourceID=14","0.00258")</f>
        <v>0.00258</v>
      </c>
    </row>
    <row r="10244" spans="1:7">
      <c r="A10244" s="3">
        <v>12</v>
      </c>
      <c r="B10244" s="3">
        <v>4</v>
      </c>
      <c r="C10244" s="3">
        <v>4</v>
      </c>
      <c r="D10244" s="3">
        <v>106</v>
      </c>
      <c r="E10244" s="3">
        <v>1</v>
      </c>
      <c r="F10244" s="4" t="str">
        <f>HYPERLINK("http://141.218.60.56/~jnz1568/getInfo.php?workbook=12_04.xlsx&amp;sheet=U0&amp;row=10244&amp;col=6&amp;number=3&amp;sourceID=14","3")</f>
        <v>3</v>
      </c>
      <c r="G10244" s="4" t="str">
        <f>HYPERLINK("http://141.218.60.56/~jnz1568/getInfo.php?workbook=12_04.xlsx&amp;sheet=U0&amp;row=10244&amp;col=7&amp;number=0.0084&amp;sourceID=14","0.0084")</f>
        <v>0.0084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HYPERLINK("http://141.218.60.56/~jnz1568/getInfo.php?workbook=12_04.xlsx&amp;sheet=U0&amp;row=10245&amp;col=6&amp;number=3.1&amp;sourceID=14","3.1")</f>
        <v>3.1</v>
      </c>
      <c r="G10245" s="4" t="str">
        <f>HYPERLINK("http://141.218.60.56/~jnz1568/getInfo.php?workbook=12_04.xlsx&amp;sheet=U0&amp;row=10245&amp;col=7&amp;number=0.0084&amp;sourceID=14","0.0084")</f>
        <v>0.0084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HYPERLINK("http://141.218.60.56/~jnz1568/getInfo.php?workbook=12_04.xlsx&amp;sheet=U0&amp;row=10246&amp;col=6&amp;number=3.2&amp;sourceID=14","3.2")</f>
        <v>3.2</v>
      </c>
      <c r="G10246" s="4" t="str">
        <f>HYPERLINK("http://141.218.60.56/~jnz1568/getInfo.php?workbook=12_04.xlsx&amp;sheet=U0&amp;row=10246&amp;col=7&amp;number=0.0084&amp;sourceID=14","0.0084")</f>
        <v>0.0084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HYPERLINK("http://141.218.60.56/~jnz1568/getInfo.php?workbook=12_04.xlsx&amp;sheet=U0&amp;row=10247&amp;col=6&amp;number=3.3&amp;sourceID=14","3.3")</f>
        <v>3.3</v>
      </c>
      <c r="G10247" s="4" t="str">
        <f>HYPERLINK("http://141.218.60.56/~jnz1568/getInfo.php?workbook=12_04.xlsx&amp;sheet=U0&amp;row=10247&amp;col=7&amp;number=0.0084&amp;sourceID=14","0.0084")</f>
        <v>0.0084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HYPERLINK("http://141.218.60.56/~jnz1568/getInfo.php?workbook=12_04.xlsx&amp;sheet=U0&amp;row=10248&amp;col=6&amp;number=3.4&amp;sourceID=14","3.4")</f>
        <v>3.4</v>
      </c>
      <c r="G10248" s="4" t="str">
        <f>HYPERLINK("http://141.218.60.56/~jnz1568/getInfo.php?workbook=12_04.xlsx&amp;sheet=U0&amp;row=10248&amp;col=7&amp;number=0.0084&amp;sourceID=14","0.0084")</f>
        <v>0.0084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HYPERLINK("http://141.218.60.56/~jnz1568/getInfo.php?workbook=12_04.xlsx&amp;sheet=U0&amp;row=10249&amp;col=6&amp;number=3.5&amp;sourceID=14","3.5")</f>
        <v>3.5</v>
      </c>
      <c r="G10249" s="4" t="str">
        <f>HYPERLINK("http://141.218.60.56/~jnz1568/getInfo.php?workbook=12_04.xlsx&amp;sheet=U0&amp;row=10249&amp;col=7&amp;number=0.0084&amp;sourceID=14","0.0084")</f>
        <v>0.0084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HYPERLINK("http://141.218.60.56/~jnz1568/getInfo.php?workbook=12_04.xlsx&amp;sheet=U0&amp;row=10250&amp;col=6&amp;number=3.6&amp;sourceID=14","3.6")</f>
        <v>3.6</v>
      </c>
      <c r="G10250" s="4" t="str">
        <f>HYPERLINK("http://141.218.60.56/~jnz1568/getInfo.php?workbook=12_04.xlsx&amp;sheet=U0&amp;row=10250&amp;col=7&amp;number=0.00841&amp;sourceID=14","0.00841")</f>
        <v>0.00841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HYPERLINK("http://141.218.60.56/~jnz1568/getInfo.php?workbook=12_04.xlsx&amp;sheet=U0&amp;row=10251&amp;col=6&amp;number=3.7&amp;sourceID=14","3.7")</f>
        <v>3.7</v>
      </c>
      <c r="G10251" s="4" t="str">
        <f>HYPERLINK("http://141.218.60.56/~jnz1568/getInfo.php?workbook=12_04.xlsx&amp;sheet=U0&amp;row=10251&amp;col=7&amp;number=0.00841&amp;sourceID=14","0.00841")</f>
        <v>0.00841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HYPERLINK("http://141.218.60.56/~jnz1568/getInfo.php?workbook=12_04.xlsx&amp;sheet=U0&amp;row=10252&amp;col=6&amp;number=3.8&amp;sourceID=14","3.8")</f>
        <v>3.8</v>
      </c>
      <c r="G10252" s="4" t="str">
        <f>HYPERLINK("http://141.218.60.56/~jnz1568/getInfo.php?workbook=12_04.xlsx&amp;sheet=U0&amp;row=10252&amp;col=7&amp;number=0.00841&amp;sourceID=14","0.00841")</f>
        <v>0.00841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HYPERLINK("http://141.218.60.56/~jnz1568/getInfo.php?workbook=12_04.xlsx&amp;sheet=U0&amp;row=10253&amp;col=6&amp;number=3.9&amp;sourceID=14","3.9")</f>
        <v>3.9</v>
      </c>
      <c r="G10253" s="4" t="str">
        <f>HYPERLINK("http://141.218.60.56/~jnz1568/getInfo.php?workbook=12_04.xlsx&amp;sheet=U0&amp;row=10253&amp;col=7&amp;number=0.00841&amp;sourceID=14","0.00841")</f>
        <v>0.00841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HYPERLINK("http://141.218.60.56/~jnz1568/getInfo.php?workbook=12_04.xlsx&amp;sheet=U0&amp;row=10254&amp;col=6&amp;number=4&amp;sourceID=14","4")</f>
        <v>4</v>
      </c>
      <c r="G10254" s="4" t="str">
        <f>HYPERLINK("http://141.218.60.56/~jnz1568/getInfo.php?workbook=12_04.xlsx&amp;sheet=U0&amp;row=10254&amp;col=7&amp;number=0.00841&amp;sourceID=14","0.00841")</f>
        <v>0.00841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HYPERLINK("http://141.218.60.56/~jnz1568/getInfo.php?workbook=12_04.xlsx&amp;sheet=U0&amp;row=10255&amp;col=6&amp;number=4.1&amp;sourceID=14","4.1")</f>
        <v>4.1</v>
      </c>
      <c r="G10255" s="4" t="str">
        <f>HYPERLINK("http://141.218.60.56/~jnz1568/getInfo.php?workbook=12_04.xlsx&amp;sheet=U0&amp;row=10255&amp;col=7&amp;number=0.00841&amp;sourceID=14","0.00841")</f>
        <v>0.00841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HYPERLINK("http://141.218.60.56/~jnz1568/getInfo.php?workbook=12_04.xlsx&amp;sheet=U0&amp;row=10256&amp;col=6&amp;number=4.2&amp;sourceID=14","4.2")</f>
        <v>4.2</v>
      </c>
      <c r="G10256" s="4" t="str">
        <f>HYPERLINK("http://141.218.60.56/~jnz1568/getInfo.php?workbook=12_04.xlsx&amp;sheet=U0&amp;row=10256&amp;col=7&amp;number=0.00841&amp;sourceID=14","0.00841")</f>
        <v>0.00841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HYPERLINK("http://141.218.60.56/~jnz1568/getInfo.php?workbook=12_04.xlsx&amp;sheet=U0&amp;row=10257&amp;col=6&amp;number=4.3&amp;sourceID=14","4.3")</f>
        <v>4.3</v>
      </c>
      <c r="G10257" s="4" t="str">
        <f>HYPERLINK("http://141.218.60.56/~jnz1568/getInfo.php?workbook=12_04.xlsx&amp;sheet=U0&amp;row=10257&amp;col=7&amp;number=0.00842&amp;sourceID=14","0.00842")</f>
        <v>0.00842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HYPERLINK("http://141.218.60.56/~jnz1568/getInfo.php?workbook=12_04.xlsx&amp;sheet=U0&amp;row=10258&amp;col=6&amp;number=4.4&amp;sourceID=14","4.4")</f>
        <v>4.4</v>
      </c>
      <c r="G10258" s="4" t="str">
        <f>HYPERLINK("http://141.218.60.56/~jnz1568/getInfo.php?workbook=12_04.xlsx&amp;sheet=U0&amp;row=10258&amp;col=7&amp;number=0.00842&amp;sourceID=14","0.00842")</f>
        <v>0.00842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HYPERLINK("http://141.218.60.56/~jnz1568/getInfo.php?workbook=12_04.xlsx&amp;sheet=U0&amp;row=10259&amp;col=6&amp;number=4.5&amp;sourceID=14","4.5")</f>
        <v>4.5</v>
      </c>
      <c r="G10259" s="4" t="str">
        <f>HYPERLINK("http://141.218.60.56/~jnz1568/getInfo.php?workbook=12_04.xlsx&amp;sheet=U0&amp;row=10259&amp;col=7&amp;number=0.00843&amp;sourceID=14","0.00843")</f>
        <v>0.00843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HYPERLINK("http://141.218.60.56/~jnz1568/getInfo.php?workbook=12_04.xlsx&amp;sheet=U0&amp;row=10260&amp;col=6&amp;number=4.6&amp;sourceID=14","4.6")</f>
        <v>4.6</v>
      </c>
      <c r="G10260" s="4" t="str">
        <f>HYPERLINK("http://141.218.60.56/~jnz1568/getInfo.php?workbook=12_04.xlsx&amp;sheet=U0&amp;row=10260&amp;col=7&amp;number=0.00843&amp;sourceID=14","0.00843")</f>
        <v>0.00843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HYPERLINK("http://141.218.60.56/~jnz1568/getInfo.php?workbook=12_04.xlsx&amp;sheet=U0&amp;row=10261&amp;col=6&amp;number=4.7&amp;sourceID=14","4.7")</f>
        <v>4.7</v>
      </c>
      <c r="G10261" s="4" t="str">
        <f>HYPERLINK("http://141.218.60.56/~jnz1568/getInfo.php?workbook=12_04.xlsx&amp;sheet=U0&amp;row=10261&amp;col=7&amp;number=0.00844&amp;sourceID=14","0.00844")</f>
        <v>0.00844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HYPERLINK("http://141.218.60.56/~jnz1568/getInfo.php?workbook=12_04.xlsx&amp;sheet=U0&amp;row=10262&amp;col=6&amp;number=4.8&amp;sourceID=14","4.8")</f>
        <v>4.8</v>
      </c>
      <c r="G10262" s="4" t="str">
        <f>HYPERLINK("http://141.218.60.56/~jnz1568/getInfo.php?workbook=12_04.xlsx&amp;sheet=U0&amp;row=10262&amp;col=7&amp;number=0.00845&amp;sourceID=14","0.00845")</f>
        <v>0.00845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HYPERLINK("http://141.218.60.56/~jnz1568/getInfo.php?workbook=12_04.xlsx&amp;sheet=U0&amp;row=10263&amp;col=6&amp;number=4.9&amp;sourceID=14","4.9")</f>
        <v>4.9</v>
      </c>
      <c r="G10263" s="4" t="str">
        <f>HYPERLINK("http://141.218.60.56/~jnz1568/getInfo.php?workbook=12_04.xlsx&amp;sheet=U0&amp;row=10263&amp;col=7&amp;number=0.00846&amp;sourceID=14","0.00846")</f>
        <v>0.00846</v>
      </c>
    </row>
    <row r="10264" spans="1:7">
      <c r="A10264" s="3">
        <v>12</v>
      </c>
      <c r="B10264" s="3">
        <v>4</v>
      </c>
      <c r="C10264" s="3">
        <v>4</v>
      </c>
      <c r="D10264" s="3">
        <v>107</v>
      </c>
      <c r="E10264" s="3">
        <v>1</v>
      </c>
      <c r="F10264" s="4" t="str">
        <f>HYPERLINK("http://141.218.60.56/~jnz1568/getInfo.php?workbook=12_04.xlsx&amp;sheet=U0&amp;row=10264&amp;col=6&amp;number=3&amp;sourceID=14","3")</f>
        <v>3</v>
      </c>
      <c r="G10264" s="4" t="str">
        <f>HYPERLINK("http://141.218.60.56/~jnz1568/getInfo.php?workbook=12_04.xlsx&amp;sheet=U0&amp;row=10264&amp;col=7&amp;number=0.0282&amp;sourceID=14","0.0282")</f>
        <v>0.0282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HYPERLINK("http://141.218.60.56/~jnz1568/getInfo.php?workbook=12_04.xlsx&amp;sheet=U0&amp;row=10265&amp;col=6&amp;number=3.1&amp;sourceID=14","3.1")</f>
        <v>3.1</v>
      </c>
      <c r="G10265" s="4" t="str">
        <f>HYPERLINK("http://141.218.60.56/~jnz1568/getInfo.php?workbook=12_04.xlsx&amp;sheet=U0&amp;row=10265&amp;col=7&amp;number=0.0282&amp;sourceID=14","0.0282")</f>
        <v>0.0282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HYPERLINK("http://141.218.60.56/~jnz1568/getInfo.php?workbook=12_04.xlsx&amp;sheet=U0&amp;row=10266&amp;col=6&amp;number=3.2&amp;sourceID=14","3.2")</f>
        <v>3.2</v>
      </c>
      <c r="G10266" s="4" t="str">
        <f>HYPERLINK("http://141.218.60.56/~jnz1568/getInfo.php?workbook=12_04.xlsx&amp;sheet=U0&amp;row=10266&amp;col=7&amp;number=0.0282&amp;sourceID=14","0.0282")</f>
        <v>0.0282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HYPERLINK("http://141.218.60.56/~jnz1568/getInfo.php?workbook=12_04.xlsx&amp;sheet=U0&amp;row=10267&amp;col=6&amp;number=3.3&amp;sourceID=14","3.3")</f>
        <v>3.3</v>
      </c>
      <c r="G10267" s="4" t="str">
        <f>HYPERLINK("http://141.218.60.56/~jnz1568/getInfo.php?workbook=12_04.xlsx&amp;sheet=U0&amp;row=10267&amp;col=7&amp;number=0.0282&amp;sourceID=14","0.0282")</f>
        <v>0.0282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HYPERLINK("http://141.218.60.56/~jnz1568/getInfo.php?workbook=12_04.xlsx&amp;sheet=U0&amp;row=10268&amp;col=6&amp;number=3.4&amp;sourceID=14","3.4")</f>
        <v>3.4</v>
      </c>
      <c r="G10268" s="4" t="str">
        <f>HYPERLINK("http://141.218.60.56/~jnz1568/getInfo.php?workbook=12_04.xlsx&amp;sheet=U0&amp;row=10268&amp;col=7&amp;number=0.0282&amp;sourceID=14","0.0282")</f>
        <v>0.0282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HYPERLINK("http://141.218.60.56/~jnz1568/getInfo.php?workbook=12_04.xlsx&amp;sheet=U0&amp;row=10269&amp;col=6&amp;number=3.5&amp;sourceID=14","3.5")</f>
        <v>3.5</v>
      </c>
      <c r="G10269" s="4" t="str">
        <f>HYPERLINK("http://141.218.60.56/~jnz1568/getInfo.php?workbook=12_04.xlsx&amp;sheet=U0&amp;row=10269&amp;col=7&amp;number=0.0282&amp;sourceID=14","0.0282")</f>
        <v>0.0282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HYPERLINK("http://141.218.60.56/~jnz1568/getInfo.php?workbook=12_04.xlsx&amp;sheet=U0&amp;row=10270&amp;col=6&amp;number=3.6&amp;sourceID=14","3.6")</f>
        <v>3.6</v>
      </c>
      <c r="G10270" s="4" t="str">
        <f>HYPERLINK("http://141.218.60.56/~jnz1568/getInfo.php?workbook=12_04.xlsx&amp;sheet=U0&amp;row=10270&amp;col=7&amp;number=0.0282&amp;sourceID=14","0.0282")</f>
        <v>0.0282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HYPERLINK("http://141.218.60.56/~jnz1568/getInfo.php?workbook=12_04.xlsx&amp;sheet=U0&amp;row=10271&amp;col=6&amp;number=3.7&amp;sourceID=14","3.7")</f>
        <v>3.7</v>
      </c>
      <c r="G10271" s="4" t="str">
        <f>HYPERLINK("http://141.218.60.56/~jnz1568/getInfo.php?workbook=12_04.xlsx&amp;sheet=U0&amp;row=10271&amp;col=7&amp;number=0.0283&amp;sourceID=14","0.0283")</f>
        <v>0.0283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HYPERLINK("http://141.218.60.56/~jnz1568/getInfo.php?workbook=12_04.xlsx&amp;sheet=U0&amp;row=10272&amp;col=6&amp;number=3.8&amp;sourceID=14","3.8")</f>
        <v>3.8</v>
      </c>
      <c r="G10272" s="4" t="str">
        <f>HYPERLINK("http://141.218.60.56/~jnz1568/getInfo.php?workbook=12_04.xlsx&amp;sheet=U0&amp;row=10272&amp;col=7&amp;number=0.0283&amp;sourceID=14","0.0283")</f>
        <v>0.0283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HYPERLINK("http://141.218.60.56/~jnz1568/getInfo.php?workbook=12_04.xlsx&amp;sheet=U0&amp;row=10273&amp;col=6&amp;number=3.9&amp;sourceID=14","3.9")</f>
        <v>3.9</v>
      </c>
      <c r="G10273" s="4" t="str">
        <f>HYPERLINK("http://141.218.60.56/~jnz1568/getInfo.php?workbook=12_04.xlsx&amp;sheet=U0&amp;row=10273&amp;col=7&amp;number=0.0283&amp;sourceID=14","0.0283")</f>
        <v>0.0283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HYPERLINK("http://141.218.60.56/~jnz1568/getInfo.php?workbook=12_04.xlsx&amp;sheet=U0&amp;row=10274&amp;col=6&amp;number=4&amp;sourceID=14","4")</f>
        <v>4</v>
      </c>
      <c r="G10274" s="4" t="str">
        <f>HYPERLINK("http://141.218.60.56/~jnz1568/getInfo.php?workbook=12_04.xlsx&amp;sheet=U0&amp;row=10274&amp;col=7&amp;number=0.0283&amp;sourceID=14","0.0283")</f>
        <v>0.0283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HYPERLINK("http://141.218.60.56/~jnz1568/getInfo.php?workbook=12_04.xlsx&amp;sheet=U0&amp;row=10275&amp;col=6&amp;number=4.1&amp;sourceID=14","4.1")</f>
        <v>4.1</v>
      </c>
      <c r="G10275" s="4" t="str">
        <f>HYPERLINK("http://141.218.60.56/~jnz1568/getInfo.php?workbook=12_04.xlsx&amp;sheet=U0&amp;row=10275&amp;col=7&amp;number=0.0283&amp;sourceID=14","0.0283")</f>
        <v>0.0283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HYPERLINK("http://141.218.60.56/~jnz1568/getInfo.php?workbook=12_04.xlsx&amp;sheet=U0&amp;row=10276&amp;col=6&amp;number=4.2&amp;sourceID=14","4.2")</f>
        <v>4.2</v>
      </c>
      <c r="G10276" s="4" t="str">
        <f>HYPERLINK("http://141.218.60.56/~jnz1568/getInfo.php?workbook=12_04.xlsx&amp;sheet=U0&amp;row=10276&amp;col=7&amp;number=0.0283&amp;sourceID=14","0.0283")</f>
        <v>0.0283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HYPERLINK("http://141.218.60.56/~jnz1568/getInfo.php?workbook=12_04.xlsx&amp;sheet=U0&amp;row=10277&amp;col=6&amp;number=4.3&amp;sourceID=14","4.3")</f>
        <v>4.3</v>
      </c>
      <c r="G10277" s="4" t="str">
        <f>HYPERLINK("http://141.218.60.56/~jnz1568/getInfo.php?workbook=12_04.xlsx&amp;sheet=U0&amp;row=10277&amp;col=7&amp;number=0.0284&amp;sourceID=14","0.0284")</f>
        <v>0.0284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HYPERLINK("http://141.218.60.56/~jnz1568/getInfo.php?workbook=12_04.xlsx&amp;sheet=U0&amp;row=10278&amp;col=6&amp;number=4.4&amp;sourceID=14","4.4")</f>
        <v>4.4</v>
      </c>
      <c r="G10278" s="4" t="str">
        <f>HYPERLINK("http://141.218.60.56/~jnz1568/getInfo.php?workbook=12_04.xlsx&amp;sheet=U0&amp;row=10278&amp;col=7&amp;number=0.0284&amp;sourceID=14","0.0284")</f>
        <v>0.0284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HYPERLINK("http://141.218.60.56/~jnz1568/getInfo.php?workbook=12_04.xlsx&amp;sheet=U0&amp;row=10279&amp;col=6&amp;number=4.5&amp;sourceID=14","4.5")</f>
        <v>4.5</v>
      </c>
      <c r="G10279" s="4" t="str">
        <f>HYPERLINK("http://141.218.60.56/~jnz1568/getInfo.php?workbook=12_04.xlsx&amp;sheet=U0&amp;row=10279&amp;col=7&amp;number=0.0285&amp;sourceID=14","0.0285")</f>
        <v>0.0285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HYPERLINK("http://141.218.60.56/~jnz1568/getInfo.php?workbook=12_04.xlsx&amp;sheet=U0&amp;row=10280&amp;col=6&amp;number=4.6&amp;sourceID=14","4.6")</f>
        <v>4.6</v>
      </c>
      <c r="G10280" s="4" t="str">
        <f>HYPERLINK("http://141.218.60.56/~jnz1568/getInfo.php?workbook=12_04.xlsx&amp;sheet=U0&amp;row=10280&amp;col=7&amp;number=0.0285&amp;sourceID=14","0.0285")</f>
        <v>0.0285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HYPERLINK("http://141.218.60.56/~jnz1568/getInfo.php?workbook=12_04.xlsx&amp;sheet=U0&amp;row=10281&amp;col=6&amp;number=4.7&amp;sourceID=14","4.7")</f>
        <v>4.7</v>
      </c>
      <c r="G10281" s="4" t="str">
        <f>HYPERLINK("http://141.218.60.56/~jnz1568/getInfo.php?workbook=12_04.xlsx&amp;sheet=U0&amp;row=10281&amp;col=7&amp;number=0.0286&amp;sourceID=14","0.0286")</f>
        <v>0.0286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HYPERLINK("http://141.218.60.56/~jnz1568/getInfo.php?workbook=12_04.xlsx&amp;sheet=U0&amp;row=10282&amp;col=6&amp;number=4.8&amp;sourceID=14","4.8")</f>
        <v>4.8</v>
      </c>
      <c r="G10282" s="4" t="str">
        <f>HYPERLINK("http://141.218.60.56/~jnz1568/getInfo.php?workbook=12_04.xlsx&amp;sheet=U0&amp;row=10282&amp;col=7&amp;number=0.0287&amp;sourceID=14","0.0287")</f>
        <v>0.0287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HYPERLINK("http://141.218.60.56/~jnz1568/getInfo.php?workbook=12_04.xlsx&amp;sheet=U0&amp;row=10283&amp;col=6&amp;number=4.9&amp;sourceID=14","4.9")</f>
        <v>4.9</v>
      </c>
      <c r="G10283" s="4" t="str">
        <f>HYPERLINK("http://141.218.60.56/~jnz1568/getInfo.php?workbook=12_04.xlsx&amp;sheet=U0&amp;row=10283&amp;col=7&amp;number=0.0289&amp;sourceID=14","0.0289")</f>
        <v>0.0289</v>
      </c>
    </row>
    <row r="10284" spans="1:7">
      <c r="A10284" s="3">
        <v>12</v>
      </c>
      <c r="B10284" s="3">
        <v>4</v>
      </c>
      <c r="C10284" s="3">
        <v>4</v>
      </c>
      <c r="D10284" s="3">
        <v>108</v>
      </c>
      <c r="E10284" s="3">
        <v>1</v>
      </c>
      <c r="F10284" s="4" t="str">
        <f>HYPERLINK("http://141.218.60.56/~jnz1568/getInfo.php?workbook=12_04.xlsx&amp;sheet=U0&amp;row=10284&amp;col=6&amp;number=3&amp;sourceID=14","3")</f>
        <v>3</v>
      </c>
      <c r="G10284" s="4" t="str">
        <f>HYPERLINK("http://141.218.60.56/~jnz1568/getInfo.php?workbook=12_04.xlsx&amp;sheet=U0&amp;row=10284&amp;col=7&amp;number=0.00751&amp;sourceID=14","0.00751")</f>
        <v>0.00751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HYPERLINK("http://141.218.60.56/~jnz1568/getInfo.php?workbook=12_04.xlsx&amp;sheet=U0&amp;row=10285&amp;col=6&amp;number=3.1&amp;sourceID=14","3.1")</f>
        <v>3.1</v>
      </c>
      <c r="G10285" s="4" t="str">
        <f>HYPERLINK("http://141.218.60.56/~jnz1568/getInfo.php?workbook=12_04.xlsx&amp;sheet=U0&amp;row=10285&amp;col=7&amp;number=0.00751&amp;sourceID=14","0.00751")</f>
        <v>0.00751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HYPERLINK("http://141.218.60.56/~jnz1568/getInfo.php?workbook=12_04.xlsx&amp;sheet=U0&amp;row=10286&amp;col=6&amp;number=3.2&amp;sourceID=14","3.2")</f>
        <v>3.2</v>
      </c>
      <c r="G10286" s="4" t="str">
        <f>HYPERLINK("http://141.218.60.56/~jnz1568/getInfo.php?workbook=12_04.xlsx&amp;sheet=U0&amp;row=10286&amp;col=7&amp;number=0.00751&amp;sourceID=14","0.00751")</f>
        <v>0.00751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HYPERLINK("http://141.218.60.56/~jnz1568/getInfo.php?workbook=12_04.xlsx&amp;sheet=U0&amp;row=10287&amp;col=6&amp;number=3.3&amp;sourceID=14","3.3")</f>
        <v>3.3</v>
      </c>
      <c r="G10287" s="4" t="str">
        <f>HYPERLINK("http://141.218.60.56/~jnz1568/getInfo.php?workbook=12_04.xlsx&amp;sheet=U0&amp;row=10287&amp;col=7&amp;number=0.0075&amp;sourceID=14","0.0075")</f>
        <v>0.0075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HYPERLINK("http://141.218.60.56/~jnz1568/getInfo.php?workbook=12_04.xlsx&amp;sheet=U0&amp;row=10288&amp;col=6&amp;number=3.4&amp;sourceID=14","3.4")</f>
        <v>3.4</v>
      </c>
      <c r="G10288" s="4" t="str">
        <f>HYPERLINK("http://141.218.60.56/~jnz1568/getInfo.php?workbook=12_04.xlsx&amp;sheet=U0&amp;row=10288&amp;col=7&amp;number=0.0075&amp;sourceID=14","0.0075")</f>
        <v>0.0075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HYPERLINK("http://141.218.60.56/~jnz1568/getInfo.php?workbook=12_04.xlsx&amp;sheet=U0&amp;row=10289&amp;col=6&amp;number=3.5&amp;sourceID=14","3.5")</f>
        <v>3.5</v>
      </c>
      <c r="G10289" s="4" t="str">
        <f>HYPERLINK("http://141.218.60.56/~jnz1568/getInfo.php?workbook=12_04.xlsx&amp;sheet=U0&amp;row=10289&amp;col=7&amp;number=0.0075&amp;sourceID=14","0.0075")</f>
        <v>0.0075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HYPERLINK("http://141.218.60.56/~jnz1568/getInfo.php?workbook=12_04.xlsx&amp;sheet=U0&amp;row=10290&amp;col=6&amp;number=3.6&amp;sourceID=14","3.6")</f>
        <v>3.6</v>
      </c>
      <c r="G10290" s="4" t="str">
        <f>HYPERLINK("http://141.218.60.56/~jnz1568/getInfo.php?workbook=12_04.xlsx&amp;sheet=U0&amp;row=10290&amp;col=7&amp;number=0.0075&amp;sourceID=14","0.0075")</f>
        <v>0.0075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HYPERLINK("http://141.218.60.56/~jnz1568/getInfo.php?workbook=12_04.xlsx&amp;sheet=U0&amp;row=10291&amp;col=6&amp;number=3.7&amp;sourceID=14","3.7")</f>
        <v>3.7</v>
      </c>
      <c r="G10291" s="4" t="str">
        <f>HYPERLINK("http://141.218.60.56/~jnz1568/getInfo.php?workbook=12_04.xlsx&amp;sheet=U0&amp;row=10291&amp;col=7&amp;number=0.0075&amp;sourceID=14","0.0075")</f>
        <v>0.0075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HYPERLINK("http://141.218.60.56/~jnz1568/getInfo.php?workbook=12_04.xlsx&amp;sheet=U0&amp;row=10292&amp;col=6&amp;number=3.8&amp;sourceID=14","3.8")</f>
        <v>3.8</v>
      </c>
      <c r="G10292" s="4" t="str">
        <f>HYPERLINK("http://141.218.60.56/~jnz1568/getInfo.php?workbook=12_04.xlsx&amp;sheet=U0&amp;row=10292&amp;col=7&amp;number=0.00749&amp;sourceID=14","0.00749")</f>
        <v>0.00749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HYPERLINK("http://141.218.60.56/~jnz1568/getInfo.php?workbook=12_04.xlsx&amp;sheet=U0&amp;row=10293&amp;col=6&amp;number=3.9&amp;sourceID=14","3.9")</f>
        <v>3.9</v>
      </c>
      <c r="G10293" s="4" t="str">
        <f>HYPERLINK("http://141.218.60.56/~jnz1568/getInfo.php?workbook=12_04.xlsx&amp;sheet=U0&amp;row=10293&amp;col=7&amp;number=0.00749&amp;sourceID=14","0.00749")</f>
        <v>0.00749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HYPERLINK("http://141.218.60.56/~jnz1568/getInfo.php?workbook=12_04.xlsx&amp;sheet=U0&amp;row=10294&amp;col=6&amp;number=4&amp;sourceID=14","4")</f>
        <v>4</v>
      </c>
      <c r="G10294" s="4" t="str">
        <f>HYPERLINK("http://141.218.60.56/~jnz1568/getInfo.php?workbook=12_04.xlsx&amp;sheet=U0&amp;row=10294&amp;col=7&amp;number=0.00748&amp;sourceID=14","0.00748")</f>
        <v>0.00748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HYPERLINK("http://141.218.60.56/~jnz1568/getInfo.php?workbook=12_04.xlsx&amp;sheet=U0&amp;row=10295&amp;col=6&amp;number=4.1&amp;sourceID=14","4.1")</f>
        <v>4.1</v>
      </c>
      <c r="G10295" s="4" t="str">
        <f>HYPERLINK("http://141.218.60.56/~jnz1568/getInfo.php?workbook=12_04.xlsx&amp;sheet=U0&amp;row=10295&amp;col=7&amp;number=0.00747&amp;sourceID=14","0.00747")</f>
        <v>0.00747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HYPERLINK("http://141.218.60.56/~jnz1568/getInfo.php?workbook=12_04.xlsx&amp;sheet=U0&amp;row=10296&amp;col=6&amp;number=4.2&amp;sourceID=14","4.2")</f>
        <v>4.2</v>
      </c>
      <c r="G10296" s="4" t="str">
        <f>HYPERLINK("http://141.218.60.56/~jnz1568/getInfo.php?workbook=12_04.xlsx&amp;sheet=U0&amp;row=10296&amp;col=7&amp;number=0.00746&amp;sourceID=14","0.00746")</f>
        <v>0.00746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HYPERLINK("http://141.218.60.56/~jnz1568/getInfo.php?workbook=12_04.xlsx&amp;sheet=U0&amp;row=10297&amp;col=6&amp;number=4.3&amp;sourceID=14","4.3")</f>
        <v>4.3</v>
      </c>
      <c r="G10297" s="4" t="str">
        <f>HYPERLINK("http://141.218.60.56/~jnz1568/getInfo.php?workbook=12_04.xlsx&amp;sheet=U0&amp;row=10297&amp;col=7&amp;number=0.00745&amp;sourceID=14","0.00745")</f>
        <v>0.00745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HYPERLINK("http://141.218.60.56/~jnz1568/getInfo.php?workbook=12_04.xlsx&amp;sheet=U0&amp;row=10298&amp;col=6&amp;number=4.4&amp;sourceID=14","4.4")</f>
        <v>4.4</v>
      </c>
      <c r="G10298" s="4" t="str">
        <f>HYPERLINK("http://141.218.60.56/~jnz1568/getInfo.php?workbook=12_04.xlsx&amp;sheet=U0&amp;row=10298&amp;col=7&amp;number=0.00744&amp;sourceID=14","0.00744")</f>
        <v>0.00744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HYPERLINK("http://141.218.60.56/~jnz1568/getInfo.php?workbook=12_04.xlsx&amp;sheet=U0&amp;row=10299&amp;col=6&amp;number=4.5&amp;sourceID=14","4.5")</f>
        <v>4.5</v>
      </c>
      <c r="G10299" s="4" t="str">
        <f>HYPERLINK("http://141.218.60.56/~jnz1568/getInfo.php?workbook=12_04.xlsx&amp;sheet=U0&amp;row=10299&amp;col=7&amp;number=0.00742&amp;sourceID=14","0.00742")</f>
        <v>0.00742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HYPERLINK("http://141.218.60.56/~jnz1568/getInfo.php?workbook=12_04.xlsx&amp;sheet=U0&amp;row=10300&amp;col=6&amp;number=4.6&amp;sourceID=14","4.6")</f>
        <v>4.6</v>
      </c>
      <c r="G10300" s="4" t="str">
        <f>HYPERLINK("http://141.218.60.56/~jnz1568/getInfo.php?workbook=12_04.xlsx&amp;sheet=U0&amp;row=10300&amp;col=7&amp;number=0.00739&amp;sourceID=14","0.00739")</f>
        <v>0.00739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HYPERLINK("http://141.218.60.56/~jnz1568/getInfo.php?workbook=12_04.xlsx&amp;sheet=U0&amp;row=10301&amp;col=6&amp;number=4.7&amp;sourceID=14","4.7")</f>
        <v>4.7</v>
      </c>
      <c r="G10301" s="4" t="str">
        <f>HYPERLINK("http://141.218.60.56/~jnz1568/getInfo.php?workbook=12_04.xlsx&amp;sheet=U0&amp;row=10301&amp;col=7&amp;number=0.00736&amp;sourceID=14","0.00736")</f>
        <v>0.00736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HYPERLINK("http://141.218.60.56/~jnz1568/getInfo.php?workbook=12_04.xlsx&amp;sheet=U0&amp;row=10302&amp;col=6&amp;number=4.8&amp;sourceID=14","4.8")</f>
        <v>4.8</v>
      </c>
      <c r="G10302" s="4" t="str">
        <f>HYPERLINK("http://141.218.60.56/~jnz1568/getInfo.php?workbook=12_04.xlsx&amp;sheet=U0&amp;row=10302&amp;col=7&amp;number=0.00733&amp;sourceID=14","0.00733")</f>
        <v>0.00733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HYPERLINK("http://141.218.60.56/~jnz1568/getInfo.php?workbook=12_04.xlsx&amp;sheet=U0&amp;row=10303&amp;col=6&amp;number=4.9&amp;sourceID=14","4.9")</f>
        <v>4.9</v>
      </c>
      <c r="G10303" s="4" t="str">
        <f>HYPERLINK("http://141.218.60.56/~jnz1568/getInfo.php?workbook=12_04.xlsx&amp;sheet=U0&amp;row=10303&amp;col=7&amp;number=0.00728&amp;sourceID=14","0.00728")</f>
        <v>0.00728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2015-05-03T22:17:42Z</dcterms:created>
  <dcterms:modified xsi:type="dcterms:W3CDTF">2015-05-03T22:17:42Z</dcterms:modified>
</cp:coreProperties>
</file>